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sdx" ContentType="application/vnd.ms-visio.drawing"/>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harts/chart6.xml" ContentType="application/vnd.openxmlformats-officedocument.drawingml.chart+xml"/>
  <Override PartName="/xl/theme/themeOverride1.xml" ContentType="application/vnd.openxmlformats-officedocument.themeOverride+xml"/>
  <Override PartName="/xl/charts/chart7.xml" ContentType="application/vnd.openxmlformats-officedocument.drawingml.chart+xml"/>
  <Override PartName="/xl/theme/themeOverride2.xml" ContentType="application/vnd.openxmlformats-officedocument.themeOverride+xml"/>
  <Override PartName="/xl/drawings/drawing5.xml" ContentType="application/vnd.openxmlformats-officedocument.drawing+xml"/>
  <Override PartName="/xl/charts/chart8.xml" ContentType="application/vnd.openxmlformats-officedocument.drawingml.chart+xml"/>
  <Override PartName="/xl/theme/themeOverride3.xml" ContentType="application/vnd.openxmlformats-officedocument.themeOverrid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harts/chart9.xml" ContentType="application/vnd.openxmlformats-officedocument.drawingml.chart+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filterPrivacy="1" updateLinks="never" codeName="ThisWorkbook" defaultThemeVersion="124226"/>
  <xr:revisionPtr revIDLastSave="0" documentId="13_ncr:1_{B9B2BD9F-6820-4DB3-A6FD-CCEB4A430D87}" xr6:coauthVersionLast="36" xr6:coauthVersionMax="36" xr10:uidLastSave="{00000000-0000-0000-0000-000000000000}"/>
  <workbookProtection workbookAlgorithmName="SHA-512" workbookHashValue="JaABroiyJcZUspk05iuNwb2q+/Nay94DJnTAwaXH/YGP0ALdCM7ENf1Q8KXwOtT6dnsZrFIb2gdAewzg4MDqqA==" workbookSaltValue="Yz0Wh5Z6F70+OxlkB7ppww==" workbookSpinCount="100000" lockStructure="1"/>
  <bookViews>
    <workbookView xWindow="-12" yWindow="-12" windowWidth="23064" windowHeight="5112" tabRatio="855" firstSheet="6" activeTab="12" xr2:uid="{00000000-000D-0000-FFFF-FFFF00000000}"/>
  </bookViews>
  <sheets>
    <sheet name="Main" sheetId="8" r:id="rId1"/>
    <sheet name="Coefficients" sheetId="17" state="hidden" r:id="rId2"/>
    <sheet name="Device Resistance Tables" sheetId="14" r:id="rId3"/>
    <sheet name="NTC Thermistor Comparison" sheetId="5" r:id="rId4"/>
    <sheet name="4th Order Polynomial Tmp vs Res" sheetId="3" r:id="rId5"/>
    <sheet name="4th Order Polynomial Tmp vs Vdc" sheetId="20" r:id="rId6"/>
    <sheet name="Steinhart-Hart" sheetId="1" r:id="rId7"/>
    <sheet name="Constant Current Source" sheetId="19" r:id="rId8"/>
    <sheet name="Lookup table" sheetId="16" r:id="rId9"/>
    <sheet name="Interpolation From Lookup Table" sheetId="7" r:id="rId10"/>
    <sheet name="Threshold Detection" sheetId="6" r:id="rId11"/>
    <sheet name="Averaging" sheetId="18" r:id="rId12"/>
    <sheet name="Low Pass Filter" sheetId="21" r:id="rId13"/>
    <sheet name="Basic Formulas" sheetId="13" r:id="rId14"/>
  </sheets>
  <externalReferences>
    <externalReference r:id="rId15"/>
  </externalReferences>
  <calcPr calcId="191029"/>
</workbook>
</file>

<file path=xl/calcChain.xml><?xml version="1.0" encoding="utf-8"?>
<calcChain xmlns="http://schemas.openxmlformats.org/spreadsheetml/2006/main">
  <c r="B57" i="21" l="1"/>
  <c r="B50" i="21" l="1"/>
  <c r="B55" i="21"/>
  <c r="C62" i="21" s="1"/>
  <c r="C63" i="21" s="1"/>
  <c r="C64" i="21" s="1"/>
  <c r="C65" i="21" s="1"/>
  <c r="C66" i="21" s="1"/>
  <c r="C67" i="21" s="1"/>
  <c r="C68" i="21" s="1"/>
  <c r="C69" i="21" s="1"/>
  <c r="C70" i="21" s="1"/>
  <c r="C71" i="21" s="1"/>
  <c r="C72" i="21" s="1"/>
  <c r="C73" i="21" s="1"/>
  <c r="C74" i="21" s="1"/>
  <c r="C75" i="21" s="1"/>
  <c r="C76" i="21" s="1"/>
  <c r="C77" i="21" s="1"/>
  <c r="C78" i="21" s="1"/>
  <c r="C79" i="21" s="1"/>
  <c r="C80" i="21" s="1"/>
  <c r="C81" i="21" s="1"/>
  <c r="C82" i="21" s="1"/>
  <c r="C83" i="21" s="1"/>
  <c r="C84" i="21" s="1"/>
  <c r="C85" i="21" s="1"/>
  <c r="C86" i="21" s="1"/>
  <c r="C87" i="21" s="1"/>
  <c r="C88" i="21" s="1"/>
  <c r="C89" i="21" s="1"/>
  <c r="C90" i="21" s="1"/>
  <c r="C91" i="21" s="1"/>
  <c r="C92" i="21" s="1"/>
  <c r="C93" i="21" s="1"/>
  <c r="C94" i="21" s="1"/>
  <c r="C95" i="21" s="1"/>
  <c r="C96" i="21" s="1"/>
  <c r="C97" i="21" s="1"/>
  <c r="C98" i="21" s="1"/>
  <c r="C99" i="21" s="1"/>
  <c r="C100" i="21" s="1"/>
  <c r="C101" i="21" s="1"/>
  <c r="C102" i="21" s="1"/>
  <c r="C103" i="21" s="1"/>
  <c r="C104" i="21" s="1"/>
  <c r="C105" i="21" s="1"/>
  <c r="C106" i="21" s="1"/>
  <c r="C107" i="21" s="1"/>
  <c r="C108" i="21" s="1"/>
  <c r="C109" i="21" s="1"/>
  <c r="C110" i="21" s="1"/>
  <c r="C111" i="21" s="1"/>
  <c r="C112" i="21" s="1"/>
  <c r="C113" i="21" s="1"/>
  <c r="C114" i="21" s="1"/>
  <c r="C115" i="21" s="1"/>
  <c r="C116" i="21" s="1"/>
  <c r="C117" i="21" s="1"/>
  <c r="C118" i="21" s="1"/>
  <c r="C119" i="21" s="1"/>
  <c r="C120" i="21" s="1"/>
  <c r="C121" i="21" s="1"/>
  <c r="C122" i="21" s="1"/>
  <c r="C123" i="21" s="1"/>
  <c r="C124" i="21" s="1"/>
  <c r="C125" i="21" s="1"/>
  <c r="C126" i="21" s="1"/>
  <c r="C127" i="21" s="1"/>
  <c r="C128" i="21" s="1"/>
  <c r="C129" i="21" s="1"/>
  <c r="C130" i="21" s="1"/>
  <c r="C131" i="21" s="1"/>
  <c r="C132" i="21" s="1"/>
  <c r="C133" i="21" s="1"/>
  <c r="C134" i="21" s="1"/>
  <c r="C135" i="21" s="1"/>
  <c r="C136" i="21" s="1"/>
  <c r="C137" i="21" s="1"/>
  <c r="C138" i="21" s="1"/>
  <c r="C139" i="21" s="1"/>
  <c r="C140" i="21" s="1"/>
  <c r="C141" i="21" s="1"/>
  <c r="C142" i="21" s="1"/>
  <c r="C143" i="21" s="1"/>
  <c r="C144" i="21" s="1"/>
  <c r="C145" i="21" s="1"/>
  <c r="C146" i="21" s="1"/>
  <c r="C147" i="21" s="1"/>
  <c r="C148" i="21" s="1"/>
  <c r="C149" i="21" s="1"/>
  <c r="C150" i="21" s="1"/>
  <c r="C151" i="21" s="1"/>
  <c r="C152" i="21" s="1"/>
  <c r="C153" i="21" s="1"/>
  <c r="C154" i="21" s="1"/>
  <c r="C155" i="21" s="1"/>
  <c r="C156" i="21" s="1"/>
  <c r="C157" i="21" s="1"/>
  <c r="C158" i="21" s="1"/>
  <c r="C159" i="21" s="1"/>
  <c r="C160" i="21" s="1"/>
  <c r="C161" i="21" s="1"/>
  <c r="C162" i="21" s="1"/>
  <c r="C163" i="21" s="1"/>
  <c r="C164" i="21" s="1"/>
  <c r="C165" i="21" s="1"/>
  <c r="C166" i="21" s="1"/>
  <c r="C167" i="21" s="1"/>
  <c r="C168" i="21" s="1"/>
  <c r="C169" i="21" s="1"/>
  <c r="C170" i="21" s="1"/>
  <c r="C171" i="21" s="1"/>
  <c r="C172" i="21" s="1"/>
  <c r="C173" i="21" s="1"/>
  <c r="C174" i="21" s="1"/>
  <c r="C175" i="21" s="1"/>
  <c r="C176" i="21" s="1"/>
  <c r="C177" i="21" s="1"/>
  <c r="C178" i="21" s="1"/>
  <c r="C179" i="21" s="1"/>
  <c r="C180" i="21" s="1"/>
  <c r="C181" i="21" s="1"/>
  <c r="C182" i="21" s="1"/>
  <c r="C183" i="21" s="1"/>
  <c r="C184" i="21" s="1"/>
  <c r="C185" i="21" s="1"/>
  <c r="C186" i="21" s="1"/>
  <c r="C187" i="21" s="1"/>
  <c r="C188" i="21" s="1"/>
  <c r="C189" i="21" s="1"/>
  <c r="C190" i="21" s="1"/>
  <c r="C191" i="21" s="1"/>
  <c r="C192" i="21" s="1"/>
  <c r="C193" i="21" s="1"/>
  <c r="C194" i="21" s="1"/>
  <c r="C195" i="21" s="1"/>
  <c r="C196" i="21" s="1"/>
  <c r="C197" i="21" s="1"/>
  <c r="C198" i="21" s="1"/>
  <c r="C199" i="21" s="1"/>
  <c r="C200" i="21" s="1"/>
  <c r="C201" i="21" s="1"/>
  <c r="C202" i="21" s="1"/>
  <c r="C203" i="21" s="1"/>
  <c r="C204" i="21" s="1"/>
  <c r="C205" i="21" s="1"/>
  <c r="C206" i="21" s="1"/>
  <c r="C207" i="21" s="1"/>
  <c r="C208" i="21" s="1"/>
  <c r="C209" i="21" s="1"/>
  <c r="C210" i="21" s="1"/>
  <c r="C211" i="21" s="1"/>
  <c r="C212" i="21" s="1"/>
  <c r="C213" i="21" s="1"/>
  <c r="C214" i="21" s="1"/>
  <c r="C215" i="21" s="1"/>
  <c r="C216" i="21" s="1"/>
  <c r="C217" i="21" s="1"/>
  <c r="C218" i="21" s="1"/>
  <c r="C219" i="21" s="1"/>
  <c r="C220" i="21" s="1"/>
  <c r="C221" i="21" s="1"/>
  <c r="C222" i="21" s="1"/>
  <c r="C223" i="21" s="1"/>
  <c r="C224" i="21" s="1"/>
  <c r="C225" i="21" s="1"/>
  <c r="C226" i="21" s="1"/>
  <c r="C227" i="21" s="1"/>
  <c r="C228" i="21" s="1"/>
  <c r="C229" i="21" s="1"/>
  <c r="C230" i="21" s="1"/>
  <c r="C231" i="21" s="1"/>
  <c r="C232" i="21" s="1"/>
  <c r="C233" i="21" s="1"/>
  <c r="C234" i="21" s="1"/>
  <c r="C235" i="21" s="1"/>
  <c r="C236" i="21" s="1"/>
  <c r="C237" i="21" s="1"/>
  <c r="C238" i="21" s="1"/>
  <c r="C239" i="21" s="1"/>
  <c r="C240" i="21" s="1"/>
  <c r="C241" i="21" s="1"/>
  <c r="B54" i="21"/>
  <c r="B32" i="6" l="1"/>
  <c r="C85" i="3" l="1"/>
  <c r="C84" i="3"/>
  <c r="C32" i="3"/>
  <c r="D32" i="3"/>
  <c r="E32" i="3"/>
  <c r="F32" i="3"/>
  <c r="G32" i="3"/>
  <c r="C33" i="3"/>
  <c r="D33" i="3"/>
  <c r="E33" i="3"/>
  <c r="F33" i="3"/>
  <c r="G33" i="3"/>
  <c r="C34" i="3"/>
  <c r="D34" i="3"/>
  <c r="E34" i="3"/>
  <c r="F34" i="3"/>
  <c r="G34" i="3"/>
  <c r="C35" i="3"/>
  <c r="D35" i="3"/>
  <c r="E35" i="3"/>
  <c r="F35" i="3"/>
  <c r="G35" i="3"/>
  <c r="C36" i="3"/>
  <c r="D36" i="3"/>
  <c r="E36" i="3"/>
  <c r="F36" i="3"/>
  <c r="G36" i="3"/>
  <c r="B40" i="3" l="1"/>
  <c r="C77" i="3" s="1"/>
  <c r="F40" i="3"/>
  <c r="C81" i="3" s="1"/>
  <c r="B37" i="6" s="1"/>
  <c r="D40" i="3"/>
  <c r="C79" i="3" s="1"/>
  <c r="B35" i="6" s="1"/>
  <c r="E40" i="3"/>
  <c r="C80" i="3" s="1"/>
  <c r="B36" i="6" s="1"/>
  <c r="C40" i="3"/>
  <c r="C78" i="3" s="1"/>
  <c r="B34" i="6" s="1"/>
  <c r="C86" i="3" l="1"/>
  <c r="B33" i="6"/>
  <c r="B25" i="20"/>
  <c r="D98" i="20" s="1"/>
  <c r="B24" i="20"/>
  <c r="D99" i="20" s="1"/>
  <c r="B23" i="20"/>
  <c r="B22" i="20"/>
  <c r="B205" i="17" l="1"/>
  <c r="B204" i="17"/>
  <c r="B203" i="17"/>
  <c r="B199" i="17"/>
  <c r="B198" i="17"/>
  <c r="B197" i="17"/>
  <c r="B193" i="17"/>
  <c r="B192" i="17"/>
  <c r="B191" i="17"/>
  <c r="B187" i="17"/>
  <c r="B186" i="17"/>
  <c r="B185" i="17"/>
  <c r="B181" i="17"/>
  <c r="B180" i="17"/>
  <c r="B179" i="17"/>
  <c r="B175" i="17"/>
  <c r="B174" i="17"/>
  <c r="B173" i="17"/>
  <c r="B169" i="17"/>
  <c r="B168" i="17"/>
  <c r="B167" i="17"/>
  <c r="B163" i="17"/>
  <c r="B162" i="17"/>
  <c r="B161" i="17"/>
  <c r="B157" i="17"/>
  <c r="B156" i="17"/>
  <c r="B155" i="17"/>
  <c r="B151" i="17"/>
  <c r="B150" i="17"/>
  <c r="B149" i="17"/>
  <c r="B145" i="17"/>
  <c r="B144" i="17"/>
  <c r="B143" i="17"/>
  <c r="B139" i="17"/>
  <c r="B138" i="17"/>
  <c r="B137" i="17"/>
  <c r="B133" i="17"/>
  <c r="B132" i="17"/>
  <c r="B131" i="17"/>
  <c r="B127" i="17"/>
  <c r="B126" i="17"/>
  <c r="B125" i="17"/>
  <c r="B121" i="17"/>
  <c r="B120" i="17"/>
  <c r="B119" i="17"/>
  <c r="B115" i="17"/>
  <c r="B114" i="17"/>
  <c r="B113" i="17"/>
  <c r="B109" i="17"/>
  <c r="B108" i="17"/>
  <c r="B107" i="17"/>
  <c r="B103" i="17"/>
  <c r="B102" i="17"/>
  <c r="B101" i="17"/>
  <c r="B97" i="17"/>
  <c r="B96" i="17"/>
  <c r="B95" i="17"/>
  <c r="B91" i="17"/>
  <c r="B90" i="17"/>
  <c r="B89" i="17"/>
  <c r="B85" i="17"/>
  <c r="B84" i="17"/>
  <c r="B83" i="17"/>
  <c r="B79" i="17"/>
  <c r="B78" i="17"/>
  <c r="B77" i="17"/>
  <c r="B73" i="17"/>
  <c r="B72" i="17"/>
  <c r="B71" i="17"/>
  <c r="B67" i="17"/>
  <c r="B66" i="17"/>
  <c r="B65" i="17"/>
  <c r="B61" i="17"/>
  <c r="B60" i="17"/>
  <c r="B59" i="17"/>
  <c r="B55" i="17"/>
  <c r="B54" i="17"/>
  <c r="B53" i="17"/>
  <c r="B49" i="17"/>
  <c r="B48" i="17"/>
  <c r="B47" i="17"/>
  <c r="B31" i="19" l="1"/>
  <c r="B30" i="19"/>
  <c r="B29" i="19"/>
  <c r="B28" i="19"/>
  <c r="B166" i="17"/>
  <c r="B148" i="17"/>
  <c r="B130" i="17"/>
  <c r="B202" i="17"/>
  <c r="B124" i="17"/>
  <c r="B118" i="17"/>
  <c r="B112" i="17"/>
  <c r="B106" i="17"/>
  <c r="B100" i="17"/>
  <c r="B196" i="17"/>
  <c r="B190" i="17"/>
  <c r="B184" i="17"/>
  <c r="B178" i="17"/>
  <c r="B172" i="17"/>
  <c r="B160" i="17"/>
  <c r="B154" i="17"/>
  <c r="B142" i="17"/>
  <c r="B136" i="17"/>
  <c r="B94" i="17"/>
  <c r="B88" i="17"/>
  <c r="B82" i="17"/>
  <c r="B76" i="17"/>
  <c r="B70" i="17"/>
  <c r="B64" i="17"/>
  <c r="B58" i="17"/>
  <c r="B52" i="17"/>
  <c r="B46" i="17"/>
  <c r="B35" i="19" l="1"/>
  <c r="B19" i="5"/>
  <c r="B19" i="14" l="1"/>
  <c r="B29" i="5" l="1"/>
  <c r="Q22" i="8" s="1"/>
  <c r="B22" i="3"/>
  <c r="B24" i="3"/>
  <c r="B26" i="1"/>
  <c r="B24" i="1"/>
  <c r="B30" i="7"/>
  <c r="B25" i="6"/>
  <c r="B29" i="6"/>
  <c r="B27" i="6"/>
  <c r="B28" i="6"/>
  <c r="B44" i="6" s="1"/>
  <c r="B33" i="7"/>
  <c r="D108" i="7" s="1"/>
  <c r="B31" i="16"/>
  <c r="D277" i="16" s="1"/>
  <c r="B27" i="1"/>
  <c r="C76" i="1" s="1"/>
  <c r="B25" i="3"/>
  <c r="D119" i="3" s="1"/>
  <c r="B26" i="5"/>
  <c r="B54" i="6" l="1"/>
  <c r="S37" i="5" l="1"/>
  <c r="S38" i="5"/>
  <c r="S39" i="5"/>
  <c r="S40" i="5"/>
  <c r="S41" i="5"/>
  <c r="S42" i="5"/>
  <c r="S43" i="5"/>
  <c r="S44" i="5"/>
  <c r="S45" i="5"/>
  <c r="S46" i="5"/>
  <c r="S47" i="5"/>
  <c r="S48" i="5"/>
  <c r="S49" i="5"/>
  <c r="S50" i="5"/>
  <c r="S51" i="5"/>
  <c r="S52" i="5"/>
  <c r="S53" i="5"/>
  <c r="S54" i="5"/>
  <c r="S55" i="5"/>
  <c r="S56" i="5"/>
  <c r="S57" i="5"/>
  <c r="S58" i="5"/>
  <c r="S59" i="5"/>
  <c r="S60" i="5"/>
  <c r="S61" i="5"/>
  <c r="S62" i="5"/>
  <c r="S63" i="5"/>
  <c r="S64" i="5"/>
  <c r="S65" i="5"/>
  <c r="S66" i="5"/>
  <c r="S67" i="5"/>
  <c r="S68" i="5"/>
  <c r="S69" i="5"/>
  <c r="S70" i="5"/>
  <c r="S71" i="5"/>
  <c r="S72" i="5"/>
  <c r="S73" i="5"/>
  <c r="S74" i="5"/>
  <c r="S75" i="5"/>
  <c r="S76" i="5"/>
  <c r="S77" i="5"/>
  <c r="S78" i="5"/>
  <c r="S79" i="5"/>
  <c r="S80" i="5"/>
  <c r="S81" i="5"/>
  <c r="S82" i="5"/>
  <c r="S83" i="5"/>
  <c r="S84" i="5"/>
  <c r="S85" i="5"/>
  <c r="S86" i="5"/>
  <c r="S87" i="5"/>
  <c r="S88" i="5"/>
  <c r="S89" i="5"/>
  <c r="S90" i="5"/>
  <c r="S91" i="5"/>
  <c r="S92" i="5"/>
  <c r="S93" i="5"/>
  <c r="S94" i="5"/>
  <c r="S95" i="5"/>
  <c r="S96" i="5"/>
  <c r="S97" i="5"/>
  <c r="S98" i="5"/>
  <c r="S99" i="5"/>
  <c r="S100" i="5"/>
  <c r="S101" i="5"/>
  <c r="S102" i="5"/>
  <c r="S103" i="5"/>
  <c r="S104" i="5"/>
  <c r="S105" i="5"/>
  <c r="S106" i="5"/>
  <c r="S107" i="5"/>
  <c r="S108" i="5"/>
  <c r="S109" i="5"/>
  <c r="S110" i="5"/>
  <c r="S111" i="5"/>
  <c r="S112" i="5"/>
  <c r="S113" i="5"/>
  <c r="S114" i="5"/>
  <c r="S115" i="5"/>
  <c r="S116" i="5"/>
  <c r="S117" i="5"/>
  <c r="S118" i="5"/>
  <c r="S119" i="5"/>
  <c r="S120" i="5"/>
  <c r="S121" i="5"/>
  <c r="S122" i="5"/>
  <c r="S123" i="5"/>
  <c r="S124" i="5"/>
  <c r="S125" i="5"/>
  <c r="S126" i="5"/>
  <c r="S127" i="5"/>
  <c r="S128" i="5"/>
  <c r="S129" i="5"/>
  <c r="S130" i="5"/>
  <c r="S131" i="5"/>
  <c r="S132" i="5"/>
  <c r="S133" i="5"/>
  <c r="S134" i="5"/>
  <c r="S135" i="5"/>
  <c r="S136" i="5"/>
  <c r="S137" i="5"/>
  <c r="S138" i="5"/>
  <c r="S139" i="5"/>
  <c r="S140" i="5"/>
  <c r="S141" i="5"/>
  <c r="S142" i="5"/>
  <c r="S143" i="5"/>
  <c r="S144" i="5"/>
  <c r="S145" i="5"/>
  <c r="S146" i="5"/>
  <c r="S147" i="5"/>
  <c r="S148" i="5"/>
  <c r="S149" i="5"/>
  <c r="S150" i="5"/>
  <c r="S151" i="5"/>
  <c r="S152" i="5"/>
  <c r="S153" i="5"/>
  <c r="S154" i="5"/>
  <c r="S155" i="5"/>
  <c r="S156" i="5"/>
  <c r="S157" i="5"/>
  <c r="S158" i="5"/>
  <c r="S159" i="5"/>
  <c r="S160" i="5"/>
  <c r="S161" i="5"/>
  <c r="S162" i="5"/>
  <c r="S163" i="5"/>
  <c r="S164" i="5"/>
  <c r="S165" i="5"/>
  <c r="S166" i="5"/>
  <c r="S167" i="5"/>
  <c r="S168" i="5"/>
  <c r="S169" i="5"/>
  <c r="S170" i="5"/>
  <c r="S171" i="5"/>
  <c r="S172" i="5"/>
  <c r="S173" i="5"/>
  <c r="S174" i="5"/>
  <c r="S175" i="5"/>
  <c r="S176" i="5"/>
  <c r="S177" i="5"/>
  <c r="S178" i="5"/>
  <c r="S179" i="5"/>
  <c r="S180" i="5"/>
  <c r="S181" i="5"/>
  <c r="S182" i="5"/>
  <c r="S183" i="5"/>
  <c r="S184" i="5"/>
  <c r="S185" i="5"/>
  <c r="S186" i="5"/>
  <c r="S187" i="5"/>
  <c r="S188" i="5"/>
  <c r="S189" i="5"/>
  <c r="S190" i="5"/>
  <c r="S191" i="5"/>
  <c r="S192" i="5"/>
  <c r="S193" i="5"/>
  <c r="S194" i="5"/>
  <c r="S195" i="5"/>
  <c r="S196" i="5"/>
  <c r="S197" i="5"/>
  <c r="S198" i="5"/>
  <c r="S199" i="5"/>
  <c r="S200" i="5"/>
  <c r="S201" i="5"/>
  <c r="S202" i="5"/>
  <c r="S203" i="5"/>
  <c r="S204" i="5"/>
  <c r="S205" i="5"/>
  <c r="S206" i="5"/>
  <c r="S207" i="5"/>
  <c r="S208" i="5"/>
  <c r="S209" i="5"/>
  <c r="S210" i="5"/>
  <c r="S211" i="5"/>
  <c r="S212" i="5"/>
  <c r="S213" i="5"/>
  <c r="S214" i="5"/>
  <c r="S215" i="5"/>
  <c r="S216" i="5"/>
  <c r="S217" i="5"/>
  <c r="S218" i="5"/>
  <c r="S219" i="5"/>
  <c r="S220" i="5"/>
  <c r="S221" i="5"/>
  <c r="S222" i="5"/>
  <c r="S223" i="5"/>
  <c r="S224" i="5"/>
  <c r="S225" i="5"/>
  <c r="S226" i="5"/>
  <c r="S227" i="5"/>
  <c r="S228" i="5"/>
  <c r="S229" i="5"/>
  <c r="S230" i="5"/>
  <c r="S231" i="5"/>
  <c r="S232" i="5"/>
  <c r="S233" i="5"/>
  <c r="S234" i="5"/>
  <c r="S235" i="5"/>
  <c r="S236" i="5"/>
  <c r="S237" i="5"/>
  <c r="S238" i="5"/>
  <c r="S239" i="5"/>
  <c r="S240" i="5"/>
  <c r="S241" i="5"/>
  <c r="S242" i="5"/>
  <c r="S243" i="5"/>
  <c r="S244" i="5"/>
  <c r="S245" i="5"/>
  <c r="S246" i="5"/>
  <c r="S36" i="5"/>
  <c r="Q36" i="5"/>
  <c r="Q37" i="5"/>
  <c r="Q38" i="5"/>
  <c r="Q39" i="5"/>
  <c r="Q40" i="5"/>
  <c r="Q41" i="5"/>
  <c r="Q42" i="5"/>
  <c r="Q43" i="5"/>
  <c r="Q44" i="5"/>
  <c r="Q45" i="5"/>
  <c r="Q46" i="5"/>
  <c r="Q47" i="5"/>
  <c r="Q48" i="5"/>
  <c r="Q49" i="5"/>
  <c r="Q50" i="5"/>
  <c r="Q51" i="5"/>
  <c r="Q52" i="5"/>
  <c r="Q53" i="5"/>
  <c r="Q54" i="5"/>
  <c r="Q55" i="5"/>
  <c r="Q56" i="5"/>
  <c r="Q57" i="5"/>
  <c r="Q58" i="5"/>
  <c r="Q59"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3" i="5"/>
  <c r="Q104" i="5"/>
  <c r="Q105" i="5"/>
  <c r="Q106" i="5"/>
  <c r="Q107" i="5"/>
  <c r="Q108" i="5"/>
  <c r="Q109" i="5"/>
  <c r="Q110" i="5"/>
  <c r="Q111" i="5"/>
  <c r="Q112" i="5"/>
  <c r="Q113" i="5"/>
  <c r="Q114" i="5"/>
  <c r="Q115" i="5"/>
  <c r="Q116" i="5"/>
  <c r="Q117" i="5"/>
  <c r="Q118" i="5"/>
  <c r="Q119" i="5"/>
  <c r="Q120" i="5"/>
  <c r="Q121" i="5"/>
  <c r="Q122" i="5"/>
  <c r="Q123" i="5"/>
  <c r="Q124" i="5"/>
  <c r="Q125" i="5"/>
  <c r="Q126" i="5"/>
  <c r="Q127" i="5"/>
  <c r="Q128" i="5"/>
  <c r="Q129" i="5"/>
  <c r="Q130" i="5"/>
  <c r="Q131" i="5"/>
  <c r="Q132" i="5"/>
  <c r="Q133" i="5"/>
  <c r="Q134" i="5"/>
  <c r="Q135" i="5"/>
  <c r="Q136" i="5"/>
  <c r="Q137" i="5"/>
  <c r="Q138" i="5"/>
  <c r="Q139" i="5"/>
  <c r="Q140" i="5"/>
  <c r="Q141" i="5"/>
  <c r="Q142" i="5"/>
  <c r="Q143" i="5"/>
  <c r="Q144" i="5"/>
  <c r="Q145" i="5"/>
  <c r="Q146" i="5"/>
  <c r="Q147" i="5"/>
  <c r="Q148" i="5"/>
  <c r="Q149" i="5"/>
  <c r="Q150" i="5"/>
  <c r="Q151" i="5"/>
  <c r="Q152" i="5"/>
  <c r="Q153" i="5"/>
  <c r="Q154" i="5"/>
  <c r="Q155" i="5"/>
  <c r="Q156" i="5"/>
  <c r="Q157" i="5"/>
  <c r="Q158" i="5"/>
  <c r="Q159" i="5"/>
  <c r="Q160" i="5"/>
  <c r="Q161" i="5"/>
  <c r="Q162" i="5"/>
  <c r="Q163" i="5"/>
  <c r="Q164" i="5"/>
  <c r="Q165" i="5"/>
  <c r="Q166" i="5"/>
  <c r="Q167" i="5"/>
  <c r="Q168" i="5"/>
  <c r="Q169" i="5"/>
  <c r="Q170" i="5"/>
  <c r="Q171" i="5"/>
  <c r="Q172" i="5"/>
  <c r="Q173" i="5"/>
  <c r="Q174" i="5"/>
  <c r="Q175" i="5"/>
  <c r="Q176" i="5"/>
  <c r="Q177" i="5"/>
  <c r="Q178" i="5"/>
  <c r="Q179" i="5"/>
  <c r="Q180" i="5"/>
  <c r="Q181" i="5"/>
  <c r="Q182" i="5"/>
  <c r="Q183" i="5"/>
  <c r="Q184" i="5"/>
  <c r="Q185" i="5"/>
  <c r="Q186" i="5"/>
  <c r="Q187" i="5"/>
  <c r="Q188" i="5"/>
  <c r="Q189" i="5"/>
  <c r="Q190" i="5"/>
  <c r="Q191" i="5"/>
  <c r="Q192" i="5"/>
  <c r="Q193" i="5"/>
  <c r="Q194" i="5"/>
  <c r="Q195" i="5"/>
  <c r="Q196" i="5"/>
  <c r="Q197" i="5"/>
  <c r="Q198" i="5"/>
  <c r="Q199" i="5"/>
  <c r="Q200" i="5"/>
  <c r="Q201" i="5"/>
  <c r="Q202" i="5"/>
  <c r="Q203" i="5"/>
  <c r="Q204" i="5"/>
  <c r="Q205" i="5"/>
  <c r="Q206" i="5"/>
  <c r="Q207" i="5"/>
  <c r="Q208" i="5"/>
  <c r="Q209" i="5"/>
  <c r="Q210" i="5"/>
  <c r="Q211" i="5"/>
  <c r="Q212" i="5"/>
  <c r="Q213" i="5"/>
  <c r="Q214" i="5"/>
  <c r="Q215" i="5"/>
  <c r="Q216" i="5"/>
  <c r="Q217" i="5"/>
  <c r="Q218" i="5"/>
  <c r="Q219" i="5"/>
  <c r="Q220" i="5"/>
  <c r="Q221" i="5"/>
  <c r="Q222" i="5"/>
  <c r="Q223" i="5"/>
  <c r="Q224" i="5"/>
  <c r="Q225" i="5"/>
  <c r="Q226" i="5"/>
  <c r="Q227" i="5"/>
  <c r="Q228" i="5"/>
  <c r="Q229" i="5"/>
  <c r="Q230" i="5"/>
  <c r="Q231" i="5"/>
  <c r="Q232" i="5"/>
  <c r="Q233" i="5"/>
  <c r="Q234" i="5"/>
  <c r="Q235" i="5"/>
  <c r="Q236" i="5"/>
  <c r="Q237" i="5"/>
  <c r="Q238" i="5"/>
  <c r="Q239" i="5"/>
  <c r="Q240" i="5"/>
  <c r="Q241" i="5"/>
  <c r="Q242" i="5"/>
  <c r="Q243" i="5"/>
  <c r="Q244" i="5"/>
  <c r="Q245" i="5"/>
  <c r="Q246" i="5"/>
  <c r="B23" i="13"/>
  <c r="B26" i="6"/>
  <c r="B31" i="7"/>
  <c r="D109" i="7" s="1"/>
  <c r="B29" i="16"/>
  <c r="B25" i="1"/>
  <c r="D46" i="1" s="1"/>
  <c r="B23" i="3"/>
  <c r="B55" i="6" l="1"/>
  <c r="B45" i="6"/>
  <c r="G22" i="13"/>
  <c r="B47" i="13"/>
  <c r="B39" i="13"/>
  <c r="G39" i="13" s="1"/>
  <c r="B31" i="13"/>
  <c r="R227" i="5"/>
  <c r="T227" i="5"/>
  <c r="U227" i="5"/>
  <c r="R228" i="5"/>
  <c r="T228" i="5"/>
  <c r="U228" i="5"/>
  <c r="R229" i="5"/>
  <c r="T229" i="5"/>
  <c r="U229" i="5"/>
  <c r="R230" i="5"/>
  <c r="T230" i="5"/>
  <c r="U230" i="5"/>
  <c r="R231" i="5"/>
  <c r="T231" i="5"/>
  <c r="U231" i="5"/>
  <c r="R232" i="5"/>
  <c r="T232" i="5"/>
  <c r="U232" i="5"/>
  <c r="R233" i="5"/>
  <c r="T233" i="5"/>
  <c r="U233" i="5"/>
  <c r="R234" i="5"/>
  <c r="T234" i="5"/>
  <c r="U234" i="5"/>
  <c r="R235" i="5"/>
  <c r="T235" i="5"/>
  <c r="U235" i="5"/>
  <c r="R236" i="5"/>
  <c r="T236" i="5"/>
  <c r="U236" i="5"/>
  <c r="R237" i="5"/>
  <c r="T237" i="5"/>
  <c r="U237" i="5"/>
  <c r="R238" i="5"/>
  <c r="T238" i="5"/>
  <c r="U238" i="5"/>
  <c r="R239" i="5"/>
  <c r="T239" i="5"/>
  <c r="U239" i="5"/>
  <c r="R240" i="5"/>
  <c r="T240" i="5"/>
  <c r="U240" i="5"/>
  <c r="R241" i="5"/>
  <c r="T241" i="5"/>
  <c r="U241" i="5"/>
  <c r="R242" i="5"/>
  <c r="T242" i="5"/>
  <c r="U242" i="5"/>
  <c r="R243" i="5"/>
  <c r="T243" i="5"/>
  <c r="U243" i="5"/>
  <c r="R244" i="5"/>
  <c r="T244" i="5"/>
  <c r="U244" i="5"/>
  <c r="R245" i="5"/>
  <c r="T245" i="5"/>
  <c r="U245" i="5"/>
  <c r="R246" i="5"/>
  <c r="T246" i="5"/>
  <c r="U246" i="5"/>
  <c r="Q291" i="14"/>
  <c r="Q292" i="14"/>
  <c r="Q293" i="14"/>
  <c r="Q294" i="14"/>
  <c r="T37" i="5" l="1"/>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36" i="5"/>
  <c r="B18" i="14" l="1"/>
  <c r="U37" i="5" l="1"/>
  <c r="U38" i="5"/>
  <c r="U39" i="5"/>
  <c r="U40" i="5"/>
  <c r="U41" i="5"/>
  <c r="U42" i="5"/>
  <c r="U43" i="5"/>
  <c r="U44" i="5"/>
  <c r="U45" i="5"/>
  <c r="U46" i="5"/>
  <c r="U47" i="5"/>
  <c r="U48" i="5"/>
  <c r="U49" i="5"/>
  <c r="U50" i="5"/>
  <c r="U51" i="5"/>
  <c r="U52" i="5"/>
  <c r="U53" i="5"/>
  <c r="U54" i="5"/>
  <c r="U55" i="5"/>
  <c r="U56" i="5"/>
  <c r="U57" i="5"/>
  <c r="U58" i="5"/>
  <c r="U59" i="5"/>
  <c r="U60" i="5"/>
  <c r="U61" i="5"/>
  <c r="U62" i="5"/>
  <c r="U63" i="5"/>
  <c r="U64" i="5"/>
  <c r="U65" i="5"/>
  <c r="U66" i="5"/>
  <c r="U67" i="5"/>
  <c r="U68" i="5"/>
  <c r="U69" i="5"/>
  <c r="U70" i="5"/>
  <c r="U71" i="5"/>
  <c r="U72" i="5"/>
  <c r="U73" i="5"/>
  <c r="U74" i="5"/>
  <c r="U75" i="5"/>
  <c r="U76" i="5"/>
  <c r="U77" i="5"/>
  <c r="U78" i="5"/>
  <c r="U79" i="5"/>
  <c r="U80" i="5"/>
  <c r="U81" i="5"/>
  <c r="U82" i="5"/>
  <c r="U83" i="5"/>
  <c r="U84" i="5"/>
  <c r="U85" i="5"/>
  <c r="U86" i="5"/>
  <c r="U87" i="5"/>
  <c r="U88" i="5"/>
  <c r="U89" i="5"/>
  <c r="U90" i="5"/>
  <c r="U91" i="5"/>
  <c r="U92" i="5"/>
  <c r="U93" i="5"/>
  <c r="U94" i="5"/>
  <c r="U95" i="5"/>
  <c r="U96" i="5"/>
  <c r="U97" i="5"/>
  <c r="U98" i="5"/>
  <c r="U99" i="5"/>
  <c r="U100" i="5"/>
  <c r="U101" i="5"/>
  <c r="U102" i="5"/>
  <c r="U103" i="5"/>
  <c r="U104" i="5"/>
  <c r="U105" i="5"/>
  <c r="U106" i="5"/>
  <c r="U107" i="5"/>
  <c r="U108" i="5"/>
  <c r="U109" i="5"/>
  <c r="U110" i="5"/>
  <c r="U111" i="5"/>
  <c r="U112" i="5"/>
  <c r="U113" i="5"/>
  <c r="U114" i="5"/>
  <c r="U115" i="5"/>
  <c r="U116" i="5"/>
  <c r="U117" i="5"/>
  <c r="U118" i="5"/>
  <c r="U119" i="5"/>
  <c r="U120" i="5"/>
  <c r="U121" i="5"/>
  <c r="U122" i="5"/>
  <c r="U123" i="5"/>
  <c r="U124" i="5"/>
  <c r="U125" i="5"/>
  <c r="U126" i="5"/>
  <c r="U127" i="5"/>
  <c r="U128" i="5"/>
  <c r="U129" i="5"/>
  <c r="U130" i="5"/>
  <c r="U131" i="5"/>
  <c r="U132" i="5"/>
  <c r="U133" i="5"/>
  <c r="U134" i="5"/>
  <c r="U135" i="5"/>
  <c r="U136" i="5"/>
  <c r="U137" i="5"/>
  <c r="U138" i="5"/>
  <c r="U139" i="5"/>
  <c r="U140" i="5"/>
  <c r="U141" i="5"/>
  <c r="U142" i="5"/>
  <c r="U143" i="5"/>
  <c r="U144" i="5"/>
  <c r="U145" i="5"/>
  <c r="U146" i="5"/>
  <c r="U147" i="5"/>
  <c r="U148" i="5"/>
  <c r="U149" i="5"/>
  <c r="U150" i="5"/>
  <c r="U151" i="5"/>
  <c r="U152" i="5"/>
  <c r="U153" i="5"/>
  <c r="U154" i="5"/>
  <c r="U155" i="5"/>
  <c r="U156" i="5"/>
  <c r="U157" i="5"/>
  <c r="U158" i="5"/>
  <c r="U159" i="5"/>
  <c r="U160" i="5"/>
  <c r="U161" i="5"/>
  <c r="U162" i="5"/>
  <c r="U163" i="5"/>
  <c r="U164" i="5"/>
  <c r="U165" i="5"/>
  <c r="U166" i="5"/>
  <c r="U167" i="5"/>
  <c r="U168" i="5"/>
  <c r="U169" i="5"/>
  <c r="U170" i="5"/>
  <c r="U171" i="5"/>
  <c r="U172" i="5"/>
  <c r="U173" i="5"/>
  <c r="U174" i="5"/>
  <c r="U175" i="5"/>
  <c r="U176" i="5"/>
  <c r="U177" i="5"/>
  <c r="U178" i="5"/>
  <c r="U179" i="5"/>
  <c r="U180" i="5"/>
  <c r="U181" i="5"/>
  <c r="U182" i="5"/>
  <c r="U183" i="5"/>
  <c r="U184" i="5"/>
  <c r="U185" i="5"/>
  <c r="U186" i="5"/>
  <c r="U187" i="5"/>
  <c r="U188" i="5"/>
  <c r="U189" i="5"/>
  <c r="U190" i="5"/>
  <c r="U191" i="5"/>
  <c r="U192" i="5"/>
  <c r="U193" i="5"/>
  <c r="U194" i="5"/>
  <c r="U195" i="5"/>
  <c r="U196" i="5"/>
  <c r="U197" i="5"/>
  <c r="U198" i="5"/>
  <c r="U199" i="5"/>
  <c r="U200" i="5"/>
  <c r="U201" i="5"/>
  <c r="U202" i="5"/>
  <c r="U203" i="5"/>
  <c r="U204" i="5"/>
  <c r="U205" i="5"/>
  <c r="U206" i="5"/>
  <c r="U207" i="5"/>
  <c r="U208" i="5"/>
  <c r="U209" i="5"/>
  <c r="U210" i="5"/>
  <c r="U211" i="5"/>
  <c r="U212" i="5"/>
  <c r="U213" i="5"/>
  <c r="U214" i="5"/>
  <c r="U215" i="5"/>
  <c r="U216" i="5"/>
  <c r="U217" i="5"/>
  <c r="U218" i="5"/>
  <c r="U219" i="5"/>
  <c r="U220" i="5"/>
  <c r="U221" i="5"/>
  <c r="U222" i="5"/>
  <c r="U223" i="5"/>
  <c r="U224" i="5"/>
  <c r="U225" i="5"/>
  <c r="U226" i="5"/>
  <c r="U36" i="5"/>
  <c r="R38" i="5"/>
  <c r="R39" i="5"/>
  <c r="R40" i="5"/>
  <c r="R41" i="5"/>
  <c r="R42" i="5"/>
  <c r="R43" i="5"/>
  <c r="R44" i="5"/>
  <c r="R45" i="5"/>
  <c r="R46" i="5"/>
  <c r="R47" i="5"/>
  <c r="R48" i="5"/>
  <c r="R49" i="5"/>
  <c r="R50" i="5"/>
  <c r="R51" i="5"/>
  <c r="R52" i="5"/>
  <c r="R53" i="5"/>
  <c r="R54" i="5"/>
  <c r="R55" i="5"/>
  <c r="R56" i="5"/>
  <c r="R57" i="5"/>
  <c r="R58" i="5"/>
  <c r="R59" i="5"/>
  <c r="R60" i="5"/>
  <c r="R61" i="5"/>
  <c r="R62" i="5"/>
  <c r="R63" i="5"/>
  <c r="R64" i="5"/>
  <c r="R65" i="5"/>
  <c r="R66" i="5"/>
  <c r="R67" i="5"/>
  <c r="R68" i="5"/>
  <c r="R69" i="5"/>
  <c r="R70" i="5"/>
  <c r="R71" i="5"/>
  <c r="R72" i="5"/>
  <c r="R73" i="5"/>
  <c r="R74" i="5"/>
  <c r="R75" i="5"/>
  <c r="R76" i="5"/>
  <c r="R77" i="5"/>
  <c r="R78" i="5"/>
  <c r="R79" i="5"/>
  <c r="R80" i="5"/>
  <c r="R81" i="5"/>
  <c r="R82" i="5"/>
  <c r="R83" i="5"/>
  <c r="R84" i="5"/>
  <c r="R85" i="5"/>
  <c r="R86" i="5"/>
  <c r="R87" i="5"/>
  <c r="R88" i="5"/>
  <c r="R89" i="5"/>
  <c r="R90" i="5"/>
  <c r="R91" i="5"/>
  <c r="R92" i="5"/>
  <c r="R93" i="5"/>
  <c r="R94" i="5"/>
  <c r="R95" i="5"/>
  <c r="R96" i="5"/>
  <c r="R97" i="5"/>
  <c r="R98" i="5"/>
  <c r="R99" i="5"/>
  <c r="R100" i="5"/>
  <c r="R101" i="5"/>
  <c r="R102" i="5"/>
  <c r="R103" i="5"/>
  <c r="R104" i="5"/>
  <c r="R105" i="5"/>
  <c r="R106" i="5"/>
  <c r="R107" i="5"/>
  <c r="R108" i="5"/>
  <c r="R109" i="5"/>
  <c r="R110" i="5"/>
  <c r="R111" i="5"/>
  <c r="R112" i="5"/>
  <c r="R113" i="5"/>
  <c r="R114" i="5"/>
  <c r="R115" i="5"/>
  <c r="R116" i="5"/>
  <c r="R117" i="5"/>
  <c r="R118" i="5"/>
  <c r="R119" i="5"/>
  <c r="R120" i="5"/>
  <c r="R121" i="5"/>
  <c r="R122" i="5"/>
  <c r="R123" i="5"/>
  <c r="R124" i="5"/>
  <c r="R125" i="5"/>
  <c r="R126" i="5"/>
  <c r="R127" i="5"/>
  <c r="R128" i="5"/>
  <c r="R129" i="5"/>
  <c r="R130" i="5"/>
  <c r="R131" i="5"/>
  <c r="R132" i="5"/>
  <c r="R133" i="5"/>
  <c r="R134" i="5"/>
  <c r="R135" i="5"/>
  <c r="R136" i="5"/>
  <c r="R137" i="5"/>
  <c r="R138" i="5"/>
  <c r="R139" i="5"/>
  <c r="R140" i="5"/>
  <c r="R141" i="5"/>
  <c r="R142" i="5"/>
  <c r="R143" i="5"/>
  <c r="R144" i="5"/>
  <c r="R145" i="5"/>
  <c r="R146" i="5"/>
  <c r="R147" i="5"/>
  <c r="R148" i="5"/>
  <c r="R149" i="5"/>
  <c r="R150" i="5"/>
  <c r="R151" i="5"/>
  <c r="R152" i="5"/>
  <c r="R153" i="5"/>
  <c r="R154" i="5"/>
  <c r="R155" i="5"/>
  <c r="R156" i="5"/>
  <c r="R157" i="5"/>
  <c r="R158" i="5"/>
  <c r="R159" i="5"/>
  <c r="R160" i="5"/>
  <c r="R161" i="5"/>
  <c r="R162" i="5"/>
  <c r="R163" i="5"/>
  <c r="R164" i="5"/>
  <c r="R165" i="5"/>
  <c r="R166" i="5"/>
  <c r="R167" i="5"/>
  <c r="R168" i="5"/>
  <c r="R169" i="5"/>
  <c r="R170" i="5"/>
  <c r="R171" i="5"/>
  <c r="R172" i="5"/>
  <c r="R173" i="5"/>
  <c r="R174" i="5"/>
  <c r="R175" i="5"/>
  <c r="R176" i="5"/>
  <c r="R177" i="5"/>
  <c r="R178" i="5"/>
  <c r="R179" i="5"/>
  <c r="R180" i="5"/>
  <c r="R181" i="5"/>
  <c r="R182" i="5"/>
  <c r="R183" i="5"/>
  <c r="R184" i="5"/>
  <c r="R185" i="5"/>
  <c r="R186" i="5"/>
  <c r="R187" i="5"/>
  <c r="R188" i="5"/>
  <c r="R189" i="5"/>
  <c r="R190" i="5"/>
  <c r="R191" i="5"/>
  <c r="R192" i="5"/>
  <c r="R193" i="5"/>
  <c r="R194" i="5"/>
  <c r="R195" i="5"/>
  <c r="R196" i="5"/>
  <c r="R197" i="5"/>
  <c r="R198" i="5"/>
  <c r="R199" i="5"/>
  <c r="R200" i="5"/>
  <c r="R201" i="5"/>
  <c r="R202" i="5"/>
  <c r="R203" i="5"/>
  <c r="R204" i="5"/>
  <c r="R205" i="5"/>
  <c r="R206" i="5"/>
  <c r="R207" i="5"/>
  <c r="R208" i="5"/>
  <c r="R209" i="5"/>
  <c r="R210" i="5"/>
  <c r="R211" i="5"/>
  <c r="R212" i="5"/>
  <c r="R213" i="5"/>
  <c r="R214" i="5"/>
  <c r="R215" i="5"/>
  <c r="R216" i="5"/>
  <c r="R217" i="5"/>
  <c r="R218" i="5"/>
  <c r="R219" i="5"/>
  <c r="R220" i="5"/>
  <c r="R221" i="5"/>
  <c r="R222" i="5"/>
  <c r="R223" i="5"/>
  <c r="R224" i="5"/>
  <c r="R225" i="5"/>
  <c r="R226" i="5"/>
  <c r="R37" i="5"/>
  <c r="B24" i="13"/>
  <c r="B18" i="13"/>
  <c r="B28" i="16"/>
  <c r="B32" i="1"/>
  <c r="B17" i="14"/>
  <c r="G23" i="13" l="1"/>
  <c r="B56" i="6"/>
  <c r="B46" i="6" l="1"/>
  <c r="B40" i="13"/>
  <c r="B32" i="7"/>
  <c r="D110" i="7" s="1"/>
  <c r="B30" i="16"/>
  <c r="D279" i="16" s="1"/>
  <c r="B52" i="1"/>
  <c r="D121" i="3"/>
  <c r="B32" i="13" l="1"/>
  <c r="G30" i="13" s="1"/>
  <c r="G31" i="13" s="1"/>
  <c r="Q286" i="14" l="1"/>
  <c r="Q287" i="14"/>
  <c r="Q288" i="14"/>
  <c r="Q289" i="14"/>
  <c r="Q290" i="14"/>
  <c r="V41" i="5" l="1"/>
  <c r="V153" i="5" l="1"/>
  <c r="V38" i="5"/>
  <c r="V78" i="5"/>
  <c r="V130" i="5"/>
  <c r="V96" i="5"/>
  <c r="V122" i="5"/>
  <c r="V143" i="5"/>
  <c r="V204" i="5"/>
  <c r="V97" i="5"/>
  <c r="V215" i="5"/>
  <c r="V171" i="5"/>
  <c r="V126" i="5"/>
  <c r="V116" i="5"/>
  <c r="V137" i="5"/>
  <c r="V164" i="5"/>
  <c r="V214" i="5"/>
  <c r="V52" i="5"/>
  <c r="V220" i="5"/>
  <c r="V205" i="5"/>
  <c r="V152" i="5"/>
  <c r="V180" i="5"/>
  <c r="V63" i="5"/>
  <c r="V91" i="5"/>
  <c r="V178" i="5"/>
  <c r="V222" i="5"/>
  <c r="V62" i="5"/>
  <c r="V197" i="5"/>
  <c r="V175" i="5"/>
  <c r="V192" i="5"/>
  <c r="V121" i="5"/>
  <c r="V221" i="5"/>
  <c r="V166" i="5"/>
  <c r="V110" i="5"/>
  <c r="V150" i="5"/>
  <c r="V107" i="5"/>
  <c r="V39" i="5"/>
  <c r="V148" i="5"/>
  <c r="V114" i="5"/>
  <c r="V83" i="5"/>
  <c r="V74" i="5"/>
  <c r="V165" i="5"/>
  <c r="V131" i="5"/>
  <c r="V156" i="5"/>
  <c r="V155" i="5"/>
  <c r="V106" i="5"/>
  <c r="V90" i="5"/>
  <c r="V75" i="5"/>
  <c r="V203" i="5"/>
  <c r="V194" i="5"/>
  <c r="V224" i="5"/>
  <c r="V57" i="5"/>
  <c r="V182" i="5"/>
  <c r="V89" i="5"/>
  <c r="V119" i="5"/>
  <c r="V53" i="5"/>
  <c r="V191" i="5"/>
  <c r="V200" i="5"/>
  <c r="V102" i="5"/>
  <c r="V210" i="5"/>
  <c r="V219" i="5"/>
  <c r="V226" i="5"/>
  <c r="V42" i="5"/>
  <c r="V37" i="5"/>
  <c r="V112" i="5"/>
  <c r="V168" i="5"/>
  <c r="V199" i="5"/>
  <c r="V202" i="5"/>
  <c r="V87" i="5"/>
  <c r="V128" i="5"/>
  <c r="V217" i="5"/>
  <c r="V170" i="5"/>
  <c r="V173" i="5"/>
  <c r="V49" i="5"/>
  <c r="V93" i="5"/>
  <c r="V142" i="5"/>
  <c r="V213" i="5"/>
  <c r="V154" i="5"/>
  <c r="V184" i="5"/>
  <c r="V177" i="5"/>
  <c r="V161" i="5"/>
  <c r="V195" i="5"/>
  <c r="V50" i="5"/>
  <c r="V181" i="5"/>
  <c r="V212" i="5"/>
  <c r="V179" i="5"/>
  <c r="V159" i="5"/>
  <c r="V174" i="5"/>
  <c r="V113" i="5"/>
  <c r="V94" i="5"/>
  <c r="V77" i="5"/>
  <c r="V79" i="5"/>
  <c r="V162" i="5"/>
  <c r="V82" i="5"/>
  <c r="V185" i="5"/>
  <c r="V198" i="5"/>
  <c r="V141" i="5"/>
  <c r="V101" i="5"/>
  <c r="V70" i="5"/>
  <c r="V207" i="5"/>
  <c r="V176" i="5"/>
  <c r="V134" i="5"/>
  <c r="V187" i="5"/>
  <c r="V98" i="5"/>
  <c r="V105" i="5"/>
  <c r="V209" i="5"/>
  <c r="V138" i="5"/>
  <c r="V172" i="5"/>
  <c r="V145" i="5"/>
  <c r="V73" i="5"/>
  <c r="V196" i="5"/>
  <c r="V211" i="5"/>
  <c r="V201" i="5"/>
  <c r="V61" i="5"/>
  <c r="V183" i="5"/>
  <c r="V60" i="5"/>
  <c r="V103" i="5"/>
  <c r="V71" i="5"/>
  <c r="V140" i="5"/>
  <c r="V167" i="5"/>
  <c r="V190" i="5"/>
  <c r="V86" i="5"/>
  <c r="V157" i="5"/>
  <c r="V208" i="5"/>
  <c r="V43" i="5"/>
  <c r="V67" i="5"/>
  <c r="V123" i="5"/>
  <c r="V81" i="5"/>
  <c r="V125" i="5"/>
  <c r="V169" i="5"/>
  <c r="V193" i="5"/>
  <c r="V206" i="5"/>
  <c r="V216" i="5"/>
  <c r="V54" i="5"/>
  <c r="V133" i="5"/>
  <c r="V223" i="5"/>
  <c r="V149" i="5"/>
  <c r="V99" i="5"/>
  <c r="V139" i="5"/>
  <c r="V69" i="5"/>
  <c r="V144" i="5"/>
  <c r="V84" i="5"/>
  <c r="V146" i="5"/>
  <c r="V225" i="5"/>
  <c r="V109" i="5"/>
  <c r="V129" i="5"/>
  <c r="V163" i="5"/>
  <c r="V158" i="5"/>
  <c r="V136" i="5"/>
  <c r="V132" i="5"/>
  <c r="V51" i="5"/>
  <c r="V58" i="5"/>
  <c r="V160" i="5"/>
  <c r="V108" i="5"/>
  <c r="V47" i="5"/>
  <c r="V88" i="5"/>
  <c r="V117" i="5"/>
  <c r="V76" i="5"/>
  <c r="V147" i="5"/>
  <c r="V189" i="5"/>
  <c r="V92" i="5"/>
  <c r="V111" i="5"/>
  <c r="V188" i="5"/>
  <c r="V186" i="5"/>
  <c r="V218" i="5"/>
  <c r="V72" i="5"/>
  <c r="V124" i="5"/>
  <c r="V127" i="5"/>
  <c r="V59" i="5"/>
  <c r="V95" i="5"/>
  <c r="V85" i="5"/>
  <c r="V100" i="5"/>
  <c r="V44" i="5"/>
  <c r="V118" i="5"/>
  <c r="V115" i="5"/>
  <c r="V151" i="5"/>
  <c r="V55" i="5"/>
  <c r="V46" i="5"/>
  <c r="V66" i="5"/>
  <c r="V40" i="5"/>
  <c r="V48" i="5"/>
  <c r="V45" i="5"/>
  <c r="V135" i="5"/>
  <c r="V80" i="5"/>
  <c r="V65" i="5"/>
  <c r="V104" i="5"/>
  <c r="V56" i="5"/>
  <c r="V120" i="5"/>
  <c r="V68" i="5"/>
  <c r="V64" i="5"/>
  <c r="D278" i="16"/>
  <c r="B52" i="6"/>
  <c r="B51" i="6"/>
  <c r="B42" i="6"/>
  <c r="B41" i="6"/>
  <c r="D252" i="14" l="1"/>
  <c r="Q253" i="14"/>
  <c r="Q254" i="14"/>
  <c r="Q255" i="14"/>
  <c r="Q256" i="14"/>
  <c r="Q257" i="14"/>
  <c r="Q258" i="14"/>
  <c r="Q259" i="14"/>
  <c r="Q260" i="14"/>
  <c r="Q261" i="14"/>
  <c r="Q262" i="14"/>
  <c r="Q263" i="14"/>
  <c r="Q264" i="14"/>
  <c r="Q265" i="14"/>
  <c r="Q266" i="14"/>
  <c r="Q267" i="14"/>
  <c r="Q268" i="14"/>
  <c r="Q269" i="14"/>
  <c r="Q270" i="14"/>
  <c r="Q271" i="14"/>
  <c r="Q272" i="14"/>
  <c r="Q273" i="14"/>
  <c r="Q274" i="14"/>
  <c r="Q275" i="14"/>
  <c r="Q276" i="14"/>
  <c r="Q277" i="14"/>
  <c r="Q278" i="14"/>
  <c r="Q279" i="14"/>
  <c r="Q280" i="14"/>
  <c r="Q281" i="14"/>
  <c r="Q282" i="14"/>
  <c r="Q283" i="14"/>
  <c r="Q284" i="14"/>
  <c r="Q285" i="14"/>
  <c r="Q252" i="14"/>
  <c r="B45" i="16" l="1"/>
  <c r="C77" i="1" l="1"/>
  <c r="D120" i="3"/>
  <c r="B25" i="14" l="1"/>
  <c r="D253" i="14" s="1"/>
  <c r="B26" i="14" l="1"/>
  <c r="B27" i="14" l="1"/>
  <c r="B28" i="14" s="1"/>
  <c r="D254" i="14"/>
  <c r="D255" i="14" l="1"/>
  <c r="B29" i="14"/>
  <c r="D256" i="14"/>
  <c r="D257" i="14" l="1"/>
  <c r="B30" i="14"/>
  <c r="B31" i="14" l="1"/>
  <c r="D258" i="14"/>
  <c r="B32" i="14" l="1"/>
  <c r="D259" i="14"/>
  <c r="B33" i="14" l="1"/>
  <c r="D260" i="14"/>
  <c r="D261" i="14" l="1"/>
  <c r="B34" i="14"/>
  <c r="D262" i="14" l="1"/>
  <c r="B35" i="14"/>
  <c r="D263" i="14" l="1"/>
  <c r="B36" i="14"/>
  <c r="D264" i="14" l="1"/>
  <c r="B37" i="14"/>
  <c r="D265" i="14" l="1"/>
  <c r="B38" i="14"/>
  <c r="D266" i="14" l="1"/>
  <c r="B39" i="14"/>
  <c r="D267" i="14" l="1"/>
  <c r="B40" i="14"/>
  <c r="D268" i="14" l="1"/>
  <c r="B41" i="14"/>
  <c r="D269" i="14" l="1"/>
  <c r="B42" i="14"/>
  <c r="D270" i="14" l="1"/>
  <c r="B43" i="14"/>
  <c r="D271" i="14" l="1"/>
  <c r="B44" i="14"/>
  <c r="D272" i="14" l="1"/>
  <c r="B45" i="14"/>
  <c r="D273" i="14" l="1"/>
  <c r="B46" i="14"/>
  <c r="D274" i="14" l="1"/>
  <c r="B47" i="14"/>
  <c r="D275" i="14" l="1"/>
  <c r="B48" i="14"/>
  <c r="D276" i="14" l="1"/>
  <c r="B49" i="14"/>
  <c r="D277" i="14" l="1"/>
  <c r="B50" i="14"/>
  <c r="D278" i="14" l="1"/>
  <c r="B51" i="14"/>
  <c r="D279" i="14" l="1"/>
  <c r="B52" i="14"/>
  <c r="D280" i="14" l="1"/>
  <c r="B53" i="14"/>
  <c r="D281" i="14" l="1"/>
  <c r="B54" i="14"/>
  <c r="D282" i="14" l="1"/>
  <c r="B55" i="14"/>
  <c r="D283" i="14" l="1"/>
  <c r="B56" i="14"/>
  <c r="D284" i="14" l="1"/>
  <c r="B57" i="14"/>
  <c r="D285" i="14" l="1"/>
  <c r="B58" i="14"/>
  <c r="D286" i="14" l="1"/>
  <c r="B59" i="14"/>
  <c r="D287" i="14" l="1"/>
  <c r="B60" i="14"/>
  <c r="D288" i="14" l="1"/>
  <c r="B61" i="14"/>
  <c r="D289" i="14" l="1"/>
  <c r="B62" i="14"/>
  <c r="D290" i="14" l="1"/>
  <c r="B63" i="14"/>
  <c r="D291" i="14" l="1"/>
  <c r="B64" i="14"/>
  <c r="D292" i="14" l="1"/>
  <c r="B65" i="14"/>
  <c r="D293" i="14" l="1"/>
  <c r="B66" i="14"/>
  <c r="D294" i="14" l="1"/>
  <c r="B67" i="14"/>
  <c r="D295" i="14" l="1"/>
  <c r="B68" i="14"/>
  <c r="D296" i="14" l="1"/>
  <c r="B69" i="14"/>
  <c r="D297" i="14" l="1"/>
  <c r="B70" i="14"/>
  <c r="D298" i="14" l="1"/>
  <c r="B71" i="14"/>
  <c r="D299" i="14" l="1"/>
  <c r="B72" i="14"/>
  <c r="D300" i="14" l="1"/>
  <c r="B73" i="14"/>
  <c r="D301" i="14" l="1"/>
  <c r="B74" i="14"/>
  <c r="D302" i="14" l="1"/>
  <c r="B75" i="14"/>
  <c r="D303" i="14" l="1"/>
  <c r="B76" i="14"/>
  <c r="D304" i="14" l="1"/>
  <c r="B77" i="14"/>
  <c r="D305" i="14" l="1"/>
  <c r="B78" i="14"/>
  <c r="D306" i="14" l="1"/>
  <c r="B79" i="14"/>
  <c r="D307" i="14" l="1"/>
  <c r="B80" i="14"/>
  <c r="D308" i="14" l="1"/>
  <c r="B81" i="14"/>
  <c r="D309" i="14" l="1"/>
  <c r="B82" i="14"/>
  <c r="D310" i="14" l="1"/>
  <c r="B83" i="14"/>
  <c r="D311" i="14" l="1"/>
  <c r="B84" i="14"/>
  <c r="D312" i="14" l="1"/>
  <c r="B85" i="14"/>
  <c r="D313" i="14" l="1"/>
  <c r="B86" i="14"/>
  <c r="D314" i="14" l="1"/>
  <c r="B87" i="14"/>
  <c r="D315" i="14" l="1"/>
  <c r="B88" i="14"/>
  <c r="D316" i="14" l="1"/>
  <c r="B89" i="14"/>
  <c r="D317" i="14" l="1"/>
  <c r="B90" i="14"/>
  <c r="D318" i="14" l="1"/>
  <c r="B91" i="14"/>
  <c r="D319" i="14" l="1"/>
  <c r="B92" i="14"/>
  <c r="D320" i="14" l="1"/>
  <c r="B93" i="14"/>
  <c r="D321" i="14" l="1"/>
  <c r="B94" i="14"/>
  <c r="D322" i="14" l="1"/>
  <c r="B95" i="14"/>
  <c r="D323" i="14" l="1"/>
  <c r="B96" i="14"/>
  <c r="D324" i="14" l="1"/>
  <c r="B97" i="14"/>
  <c r="D325" i="14" l="1"/>
  <c r="B98" i="14"/>
  <c r="D326" i="14" l="1"/>
  <c r="B99" i="14"/>
  <c r="D327" i="14" l="1"/>
  <c r="B100" i="14"/>
  <c r="D328" i="14" l="1"/>
  <c r="B101" i="14"/>
  <c r="D329" i="14" l="1"/>
  <c r="B102" i="14"/>
  <c r="D330" i="14" l="1"/>
  <c r="B103" i="14"/>
  <c r="D331" i="14" l="1"/>
  <c r="B104" i="14"/>
  <c r="D332" i="14" l="1"/>
  <c r="B105" i="14"/>
  <c r="D333" i="14" l="1"/>
  <c r="B106" i="14"/>
  <c r="D334" i="14" l="1"/>
  <c r="B107" i="14"/>
  <c r="D335" i="14" l="1"/>
  <c r="B108" i="14"/>
  <c r="D336" i="14" l="1"/>
  <c r="B109" i="14"/>
  <c r="D337" i="14" l="1"/>
  <c r="B110" i="14"/>
  <c r="D338" i="14" l="1"/>
  <c r="B111" i="14"/>
  <c r="D339" i="14" l="1"/>
  <c r="B112" i="14"/>
  <c r="D340" i="14" l="1"/>
  <c r="B113" i="14"/>
  <c r="D341" i="14" l="1"/>
  <c r="B114" i="14"/>
  <c r="D342" i="14" l="1"/>
  <c r="B115" i="14"/>
  <c r="D343" i="14" l="1"/>
  <c r="B116" i="14"/>
  <c r="D344" i="14" l="1"/>
  <c r="B117" i="14"/>
  <c r="D345" i="14" l="1"/>
  <c r="B118" i="14"/>
  <c r="D346" i="14" l="1"/>
  <c r="B119" i="14"/>
  <c r="D347" i="14" l="1"/>
  <c r="B120" i="14"/>
  <c r="D348" i="14" l="1"/>
  <c r="B121" i="14"/>
  <c r="D349" i="14" l="1"/>
  <c r="B122" i="14"/>
  <c r="D350" i="14" l="1"/>
  <c r="B123" i="14"/>
  <c r="D351" i="14" l="1"/>
  <c r="B124" i="14"/>
  <c r="D352" i="14" l="1"/>
  <c r="B125" i="14"/>
  <c r="D353" i="14" l="1"/>
  <c r="B126" i="14"/>
  <c r="D354" i="14" l="1"/>
  <c r="B127" i="14"/>
  <c r="D355" i="14" l="1"/>
  <c r="B128" i="14"/>
  <c r="D356" i="14" l="1"/>
  <c r="B129" i="14"/>
  <c r="D357" i="14" l="1"/>
  <c r="B130" i="14"/>
  <c r="D358" i="14" l="1"/>
  <c r="B131" i="14"/>
  <c r="D359" i="14" l="1"/>
  <c r="B132" i="14"/>
  <c r="D360" i="14" l="1"/>
  <c r="B133" i="14"/>
  <c r="D361" i="14" l="1"/>
  <c r="B134" i="14"/>
  <c r="D362" i="14" l="1"/>
  <c r="B135" i="14"/>
  <c r="D363" i="14" l="1"/>
  <c r="B136" i="14"/>
  <c r="D364" i="14" l="1"/>
  <c r="B137" i="14"/>
  <c r="D365" i="14" l="1"/>
  <c r="B138" i="14"/>
  <c r="D366" i="14" l="1"/>
  <c r="B139" i="14"/>
  <c r="D367" i="14" l="1"/>
  <c r="B140" i="14"/>
  <c r="D368" i="14" l="1"/>
  <c r="B141" i="14"/>
  <c r="D369" i="14" l="1"/>
  <c r="B142" i="14"/>
  <c r="D370" i="14" l="1"/>
  <c r="B143" i="14"/>
  <c r="D371" i="14" l="1"/>
  <c r="B144" i="14"/>
  <c r="D372" i="14" l="1"/>
  <c r="B145" i="14"/>
  <c r="D373" i="14" l="1"/>
  <c r="B146" i="14"/>
  <c r="D374" i="14" l="1"/>
  <c r="B147" i="14"/>
  <c r="D375" i="14" l="1"/>
  <c r="B148" i="14"/>
  <c r="D376" i="14" l="1"/>
  <c r="B149" i="14"/>
  <c r="D377" i="14" l="1"/>
  <c r="B150" i="14"/>
  <c r="D378" i="14" l="1"/>
  <c r="B151" i="14"/>
  <c r="D379" i="14" l="1"/>
  <c r="B152" i="14"/>
  <c r="D380" i="14" l="1"/>
  <c r="B153" i="14"/>
  <c r="D381" i="14" l="1"/>
  <c r="B154" i="14"/>
  <c r="D382" i="14" l="1"/>
  <c r="B155" i="14"/>
  <c r="D383" i="14" l="1"/>
  <c r="B156" i="14"/>
  <c r="D384" i="14" l="1"/>
  <c r="B157" i="14"/>
  <c r="D385" i="14" l="1"/>
  <c r="B158" i="14"/>
  <c r="D386" i="14" l="1"/>
  <c r="B159" i="14"/>
  <c r="D387" i="14" l="1"/>
  <c r="B160" i="14"/>
  <c r="D388" i="14" l="1"/>
  <c r="B161" i="14"/>
  <c r="D389" i="14" l="1"/>
  <c r="B162" i="14"/>
  <c r="D390" i="14" l="1"/>
  <c r="B163" i="14"/>
  <c r="D391" i="14" l="1"/>
  <c r="B164" i="14"/>
  <c r="D392" i="14" l="1"/>
  <c r="B165" i="14"/>
  <c r="D393" i="14" l="1"/>
  <c r="B166" i="14"/>
  <c r="D394" i="14" l="1"/>
  <c r="B167" i="14"/>
  <c r="D395" i="14" l="1"/>
  <c r="B168" i="14"/>
  <c r="D396" i="14" l="1"/>
  <c r="B169" i="14"/>
  <c r="D397" i="14" l="1"/>
  <c r="B170" i="14"/>
  <c r="D398" i="14" l="1"/>
  <c r="B171" i="14"/>
  <c r="D399" i="14" l="1"/>
  <c r="B172" i="14"/>
  <c r="D400" i="14" l="1"/>
  <c r="B173" i="14"/>
  <c r="D401" i="14" l="1"/>
  <c r="B174" i="14"/>
  <c r="D402" i="14" l="1"/>
  <c r="B175" i="14"/>
  <c r="D403" i="14" l="1"/>
  <c r="B176" i="14"/>
  <c r="D404" i="14" l="1"/>
  <c r="B177" i="14"/>
  <c r="D405" i="14" l="1"/>
  <c r="B178" i="14"/>
  <c r="D406" i="14" l="1"/>
  <c r="B179" i="14"/>
  <c r="D407" i="14" l="1"/>
  <c r="B180" i="14"/>
  <c r="D408" i="14" l="1"/>
  <c r="B181" i="14"/>
  <c r="D409" i="14" l="1"/>
  <c r="B182" i="14"/>
  <c r="D410" i="14" l="1"/>
  <c r="B183" i="14"/>
  <c r="D411" i="14" l="1"/>
  <c r="B184" i="14"/>
  <c r="D412" i="14" l="1"/>
  <c r="B185" i="14"/>
  <c r="D413" i="14" l="1"/>
  <c r="B186" i="14"/>
  <c r="C48" i="13"/>
  <c r="E48" i="13" s="1"/>
  <c r="G38" i="13"/>
  <c r="D414" i="14" l="1"/>
  <c r="B187" i="14"/>
  <c r="D415" i="14" l="1"/>
  <c r="B188" i="14"/>
  <c r="D416" i="14" l="1"/>
  <c r="B189" i="14"/>
  <c r="B190" i="14" l="1"/>
  <c r="B191" i="14"/>
  <c r="D418" i="14"/>
  <c r="D417" i="14"/>
  <c r="C52" i="1"/>
  <c r="D32" i="1"/>
  <c r="E35" i="1" s="1"/>
  <c r="D31" i="1"/>
  <c r="E34" i="1" s="1"/>
  <c r="D30" i="1"/>
  <c r="E33" i="1" s="1"/>
  <c r="D47" i="1" l="1"/>
  <c r="E52" i="1"/>
  <c r="B192" i="14"/>
  <c r="D419" i="14"/>
  <c r="C78" i="1" l="1"/>
  <c r="B193" i="14"/>
  <c r="D420" i="14"/>
  <c r="B194" i="14" l="1"/>
  <c r="D421" i="14"/>
  <c r="B21" i="5"/>
  <c r="B195" i="14" l="1"/>
  <c r="D422" i="14"/>
  <c r="B196" i="14" l="1"/>
  <c r="D423" i="14"/>
  <c r="B22" i="5"/>
  <c r="B197" i="14" l="1"/>
  <c r="D424" i="14"/>
  <c r="B198" i="14" l="1"/>
  <c r="D425" i="14"/>
  <c r="B23" i="5"/>
  <c r="B199" i="14" l="1"/>
  <c r="D426" i="14"/>
  <c r="B200" i="14" l="1"/>
  <c r="D427" i="14"/>
  <c r="B24" i="5"/>
  <c r="B201" i="14" l="1"/>
  <c r="D428" i="14"/>
  <c r="E177" i="14"/>
  <c r="D177" i="14" l="1"/>
  <c r="G177" i="14" s="1"/>
  <c r="B202" i="14"/>
  <c r="D429" i="14"/>
  <c r="E187" i="14"/>
  <c r="D187" i="14" s="1"/>
  <c r="G187" i="14" s="1"/>
  <c r="E81" i="14"/>
  <c r="D81" i="14" s="1"/>
  <c r="G81" i="14" s="1"/>
  <c r="E190" i="14"/>
  <c r="E200" i="14"/>
  <c r="E199" i="14"/>
  <c r="D199" i="14" s="1"/>
  <c r="E193" i="14"/>
  <c r="E197" i="14"/>
  <c r="E201" i="14"/>
  <c r="E191" i="14"/>
  <c r="E198" i="14"/>
  <c r="E192" i="14"/>
  <c r="E194" i="14"/>
  <c r="D194" i="14" s="1"/>
  <c r="E196" i="14"/>
  <c r="E195" i="14"/>
  <c r="E186" i="14"/>
  <c r="D186" i="14" s="1"/>
  <c r="G186" i="14" s="1"/>
  <c r="E98" i="14"/>
  <c r="E180" i="14"/>
  <c r="D180" i="14" s="1"/>
  <c r="G180" i="14" s="1"/>
  <c r="E78" i="14"/>
  <c r="D78" i="14" s="1"/>
  <c r="G78" i="14" s="1"/>
  <c r="E113" i="14"/>
  <c r="E118" i="14"/>
  <c r="E108" i="14"/>
  <c r="E92" i="14"/>
  <c r="D92" i="14" s="1"/>
  <c r="G92" i="14" s="1"/>
  <c r="E66" i="14"/>
  <c r="D66" i="14" s="1"/>
  <c r="G66" i="14" s="1"/>
  <c r="E178" i="14"/>
  <c r="D178" i="14" s="1"/>
  <c r="G178" i="14" s="1"/>
  <c r="E114" i="14"/>
  <c r="D114" i="14" s="1"/>
  <c r="E102" i="14"/>
  <c r="E84" i="14"/>
  <c r="E54" i="14"/>
  <c r="E183" i="14"/>
  <c r="D183" i="14" s="1"/>
  <c r="G183" i="14" s="1"/>
  <c r="E175" i="14"/>
  <c r="D175" i="14" s="1"/>
  <c r="G175" i="14" s="1"/>
  <c r="E109" i="14"/>
  <c r="D109" i="14" s="1"/>
  <c r="E97" i="14"/>
  <c r="E74" i="14"/>
  <c r="E70" i="14"/>
  <c r="D70" i="14" s="1"/>
  <c r="G70" i="14" s="1"/>
  <c r="E61" i="14"/>
  <c r="D61" i="14" s="1"/>
  <c r="G61" i="14" s="1"/>
  <c r="E46" i="14"/>
  <c r="D46" i="14" s="1"/>
  <c r="G46" i="14" s="1"/>
  <c r="E86" i="14"/>
  <c r="D86" i="14" s="1"/>
  <c r="G86" i="14" s="1"/>
  <c r="E75" i="14"/>
  <c r="D75" i="14" s="1"/>
  <c r="G75" i="14" s="1"/>
  <c r="E67" i="14"/>
  <c r="D67" i="14" s="1"/>
  <c r="G67" i="14" s="1"/>
  <c r="E57" i="14"/>
  <c r="D57" i="14" s="1"/>
  <c r="G57" i="14" s="1"/>
  <c r="E31" i="14"/>
  <c r="D31" i="14" s="1"/>
  <c r="G31" i="14" s="1"/>
  <c r="E104" i="14"/>
  <c r="D104" i="14" s="1"/>
  <c r="E93" i="14"/>
  <c r="D93" i="14" s="1"/>
  <c r="G93" i="14" s="1"/>
  <c r="E79" i="14"/>
  <c r="E71" i="14"/>
  <c r="D71" i="14" s="1"/>
  <c r="G71" i="14" s="1"/>
  <c r="E62" i="14"/>
  <c r="D62" i="14" s="1"/>
  <c r="G62" i="14" s="1"/>
  <c r="E49" i="14"/>
  <c r="E188" i="14"/>
  <c r="D188" i="14" s="1"/>
  <c r="G188" i="14" s="1"/>
  <c r="E184" i="14"/>
  <c r="E181" i="14"/>
  <c r="D181" i="14" s="1"/>
  <c r="G181" i="14" s="1"/>
  <c r="E176" i="14"/>
  <c r="D176" i="14" s="1"/>
  <c r="G176" i="14" s="1"/>
  <c r="E116" i="14"/>
  <c r="E110" i="14"/>
  <c r="E105" i="14"/>
  <c r="E100" i="14"/>
  <c r="E94" i="14"/>
  <c r="D94" i="14" s="1"/>
  <c r="E88" i="14"/>
  <c r="D88" i="14" s="1"/>
  <c r="G88" i="14" s="1"/>
  <c r="E80" i="14"/>
  <c r="D80" i="14" s="1"/>
  <c r="G80" i="14" s="1"/>
  <c r="E76" i="14"/>
  <c r="D76" i="14" s="1"/>
  <c r="G76" i="14" s="1"/>
  <c r="E72" i="14"/>
  <c r="D72" i="14" s="1"/>
  <c r="G72" i="14" s="1"/>
  <c r="E68" i="14"/>
  <c r="D68" i="14" s="1"/>
  <c r="G68" i="14" s="1"/>
  <c r="E63" i="14"/>
  <c r="D63" i="14" s="1"/>
  <c r="G63" i="14" s="1"/>
  <c r="E58" i="14"/>
  <c r="D58" i="14" s="1"/>
  <c r="G58" i="14" s="1"/>
  <c r="E50" i="14"/>
  <c r="D50" i="14" s="1"/>
  <c r="G50" i="14" s="1"/>
  <c r="E39" i="14"/>
  <c r="E189" i="14"/>
  <c r="D189" i="14" s="1"/>
  <c r="E185" i="14"/>
  <c r="D185" i="14" s="1"/>
  <c r="G185" i="14" s="1"/>
  <c r="E182" i="14"/>
  <c r="D182" i="14" s="1"/>
  <c r="G182" i="14" s="1"/>
  <c r="E179" i="14"/>
  <c r="D179" i="14" s="1"/>
  <c r="E117" i="14"/>
  <c r="E112" i="14"/>
  <c r="E106" i="14"/>
  <c r="E101" i="14"/>
  <c r="E96" i="14"/>
  <c r="E90" i="14"/>
  <c r="D90" i="14" s="1"/>
  <c r="G90" i="14" s="1"/>
  <c r="E82" i="14"/>
  <c r="D82" i="14" s="1"/>
  <c r="G82" i="14" s="1"/>
  <c r="E77" i="14"/>
  <c r="D77" i="14" s="1"/>
  <c r="G77" i="14" s="1"/>
  <c r="E73" i="14"/>
  <c r="D73" i="14" s="1"/>
  <c r="G73" i="14" s="1"/>
  <c r="E69" i="14"/>
  <c r="E65" i="14"/>
  <c r="D65" i="14" s="1"/>
  <c r="G65" i="14" s="1"/>
  <c r="E59" i="14"/>
  <c r="E53" i="14"/>
  <c r="D53" i="14" s="1"/>
  <c r="G53" i="14" s="1"/>
  <c r="E45" i="14"/>
  <c r="D45" i="14" s="1"/>
  <c r="G45" i="14" s="1"/>
  <c r="E55" i="14"/>
  <c r="D55" i="14" s="1"/>
  <c r="G55" i="14" s="1"/>
  <c r="E51" i="14"/>
  <c r="D51" i="14" s="1"/>
  <c r="G51" i="14" s="1"/>
  <c r="E47" i="14"/>
  <c r="D47" i="14" s="1"/>
  <c r="G47" i="14" s="1"/>
  <c r="E43" i="14"/>
  <c r="D43" i="14" s="1"/>
  <c r="G43" i="14" s="1"/>
  <c r="E35" i="14"/>
  <c r="D35" i="14" s="1"/>
  <c r="G35" i="14" s="1"/>
  <c r="E27" i="14"/>
  <c r="D27" i="14" s="1"/>
  <c r="G27" i="14" s="1"/>
  <c r="E41" i="14"/>
  <c r="D41" i="14" s="1"/>
  <c r="G41" i="14" s="1"/>
  <c r="E33" i="14"/>
  <c r="D33" i="14" s="1"/>
  <c r="G33" i="14" s="1"/>
  <c r="E64" i="14"/>
  <c r="E60" i="14"/>
  <c r="D60" i="14" s="1"/>
  <c r="G60" i="14" s="1"/>
  <c r="E56" i="14"/>
  <c r="D56" i="14" s="1"/>
  <c r="G56" i="14" s="1"/>
  <c r="E52" i="14"/>
  <c r="D52" i="14" s="1"/>
  <c r="G52" i="14" s="1"/>
  <c r="E48" i="14"/>
  <c r="D48" i="14" s="1"/>
  <c r="G48" i="14" s="1"/>
  <c r="E44" i="14"/>
  <c r="E37" i="14"/>
  <c r="D37" i="14" s="1"/>
  <c r="G37" i="14" s="1"/>
  <c r="E29" i="14"/>
  <c r="E42" i="14"/>
  <c r="D42" i="14" s="1"/>
  <c r="G42" i="14" s="1"/>
  <c r="E40" i="14"/>
  <c r="D40" i="14" s="1"/>
  <c r="G40" i="14" s="1"/>
  <c r="E38" i="14"/>
  <c r="D38" i="14" s="1"/>
  <c r="G38" i="14" s="1"/>
  <c r="E36" i="14"/>
  <c r="D36" i="14" s="1"/>
  <c r="G36" i="14" s="1"/>
  <c r="E34" i="14"/>
  <c r="E32" i="14"/>
  <c r="D32" i="14" s="1"/>
  <c r="G32" i="14" s="1"/>
  <c r="E30" i="14"/>
  <c r="D30" i="14" s="1"/>
  <c r="G30" i="14" s="1"/>
  <c r="E28" i="14"/>
  <c r="D28" i="14" s="1"/>
  <c r="G28" i="14" s="1"/>
  <c r="E26" i="14"/>
  <c r="D26" i="14" s="1"/>
  <c r="G26" i="14" s="1"/>
  <c r="E89" i="14"/>
  <c r="E85" i="14"/>
  <c r="D85" i="14" s="1"/>
  <c r="G85" i="14" s="1"/>
  <c r="B25" i="5"/>
  <c r="E25" i="14"/>
  <c r="D25" i="14" s="1"/>
  <c r="G25" i="14" s="1"/>
  <c r="E24" i="14"/>
  <c r="E174" i="14"/>
  <c r="D174" i="14" s="1"/>
  <c r="E173" i="14"/>
  <c r="D173" i="14" s="1"/>
  <c r="G173" i="14" s="1"/>
  <c r="E172" i="14"/>
  <c r="D172" i="14" s="1"/>
  <c r="G172" i="14" s="1"/>
  <c r="E171" i="14"/>
  <c r="D171" i="14" s="1"/>
  <c r="G171" i="14" s="1"/>
  <c r="E170" i="14"/>
  <c r="D170" i="14" s="1"/>
  <c r="G170" i="14" s="1"/>
  <c r="E169" i="14"/>
  <c r="D169" i="14" s="1"/>
  <c r="E168" i="14"/>
  <c r="D168" i="14" s="1"/>
  <c r="G168" i="14" s="1"/>
  <c r="E167" i="14"/>
  <c r="D167" i="14" s="1"/>
  <c r="G167" i="14" s="1"/>
  <c r="E166" i="14"/>
  <c r="D166" i="14" s="1"/>
  <c r="G166" i="14" s="1"/>
  <c r="E165" i="14"/>
  <c r="D165" i="14" s="1"/>
  <c r="G165" i="14" s="1"/>
  <c r="E164" i="14"/>
  <c r="D164" i="14" s="1"/>
  <c r="E163" i="14"/>
  <c r="D163" i="14" s="1"/>
  <c r="G163" i="14" s="1"/>
  <c r="E162" i="14"/>
  <c r="D162" i="14" s="1"/>
  <c r="G162" i="14" s="1"/>
  <c r="E161" i="14"/>
  <c r="D161" i="14" s="1"/>
  <c r="G161" i="14" s="1"/>
  <c r="E160" i="14"/>
  <c r="D160" i="14" s="1"/>
  <c r="G160" i="14" s="1"/>
  <c r="E159" i="14"/>
  <c r="D159" i="14" s="1"/>
  <c r="E158" i="14"/>
  <c r="D158" i="14" s="1"/>
  <c r="G158" i="14" s="1"/>
  <c r="E157" i="14"/>
  <c r="D157" i="14" s="1"/>
  <c r="G157" i="14" s="1"/>
  <c r="E156" i="14"/>
  <c r="D156" i="14" s="1"/>
  <c r="G156" i="14" s="1"/>
  <c r="E155" i="14"/>
  <c r="D155" i="14" s="1"/>
  <c r="G155" i="14" s="1"/>
  <c r="E154" i="14"/>
  <c r="D154" i="14" s="1"/>
  <c r="E153" i="14"/>
  <c r="D153" i="14" s="1"/>
  <c r="G153" i="14" s="1"/>
  <c r="E152" i="14"/>
  <c r="D152" i="14" s="1"/>
  <c r="G152" i="14" s="1"/>
  <c r="E151" i="14"/>
  <c r="D151" i="14" s="1"/>
  <c r="G151" i="14" s="1"/>
  <c r="E150" i="14"/>
  <c r="D150" i="14" s="1"/>
  <c r="G150" i="14" s="1"/>
  <c r="E149" i="14"/>
  <c r="D149" i="14" s="1"/>
  <c r="E148" i="14"/>
  <c r="D148" i="14" s="1"/>
  <c r="G148" i="14" s="1"/>
  <c r="E147" i="14"/>
  <c r="D147" i="14" s="1"/>
  <c r="G147" i="14" s="1"/>
  <c r="E146" i="14"/>
  <c r="D146" i="14" s="1"/>
  <c r="G146" i="14" s="1"/>
  <c r="E145" i="14"/>
  <c r="D145" i="14" s="1"/>
  <c r="G145" i="14" s="1"/>
  <c r="E144" i="14"/>
  <c r="D144" i="14" s="1"/>
  <c r="E143" i="14"/>
  <c r="D143" i="14" s="1"/>
  <c r="G143" i="14" s="1"/>
  <c r="E142" i="14"/>
  <c r="D142" i="14" s="1"/>
  <c r="G142" i="14" s="1"/>
  <c r="E141" i="14"/>
  <c r="D141" i="14" s="1"/>
  <c r="G141" i="14" s="1"/>
  <c r="E140" i="14"/>
  <c r="D140" i="14" s="1"/>
  <c r="G140" i="14" s="1"/>
  <c r="E139" i="14"/>
  <c r="D139" i="14" s="1"/>
  <c r="E138" i="14"/>
  <c r="D138" i="14" s="1"/>
  <c r="G138" i="14" s="1"/>
  <c r="E137" i="14"/>
  <c r="D137" i="14" s="1"/>
  <c r="G137" i="14" s="1"/>
  <c r="E136" i="14"/>
  <c r="D136" i="14" s="1"/>
  <c r="G136" i="14" s="1"/>
  <c r="E135" i="14"/>
  <c r="D135" i="14" s="1"/>
  <c r="G135" i="14" s="1"/>
  <c r="E134" i="14"/>
  <c r="D134" i="14" s="1"/>
  <c r="E133" i="14"/>
  <c r="E132" i="14"/>
  <c r="E131" i="14"/>
  <c r="E130" i="14"/>
  <c r="E129" i="14"/>
  <c r="D129" i="14" s="1"/>
  <c r="E128" i="14"/>
  <c r="E127" i="14"/>
  <c r="E126" i="14"/>
  <c r="E125" i="14"/>
  <c r="E124" i="14"/>
  <c r="D124" i="14" s="1"/>
  <c r="E123" i="14"/>
  <c r="E122" i="14"/>
  <c r="E121" i="14"/>
  <c r="E120" i="14"/>
  <c r="E119" i="14"/>
  <c r="D119" i="14" s="1"/>
  <c r="E115" i="14"/>
  <c r="E111" i="14"/>
  <c r="E107" i="14"/>
  <c r="E103" i="14"/>
  <c r="E99" i="14"/>
  <c r="D99" i="14" s="1"/>
  <c r="E95" i="14"/>
  <c r="E91" i="14"/>
  <c r="D91" i="14" s="1"/>
  <c r="G91" i="14" s="1"/>
  <c r="E87" i="14"/>
  <c r="D87" i="14" s="1"/>
  <c r="G87" i="14" s="1"/>
  <c r="E83" i="14"/>
  <c r="D83" i="14" s="1"/>
  <c r="G83" i="14" s="1"/>
  <c r="H405" i="14" l="1"/>
  <c r="C199" i="16"/>
  <c r="D189" i="5"/>
  <c r="C177" i="14"/>
  <c r="C189" i="5" s="1"/>
  <c r="F177" i="14"/>
  <c r="E189" i="5" s="1"/>
  <c r="D192" i="14"/>
  <c r="G192" i="14" s="1"/>
  <c r="D197" i="14"/>
  <c r="G197" i="14" s="1"/>
  <c r="D190" i="14"/>
  <c r="D195" i="14"/>
  <c r="G195" i="14" s="1"/>
  <c r="D198" i="14"/>
  <c r="G198" i="14" s="1"/>
  <c r="D193" i="14"/>
  <c r="G193" i="14" s="1"/>
  <c r="D196" i="14"/>
  <c r="G196" i="14" s="1"/>
  <c r="D191" i="14"/>
  <c r="G191" i="14" s="1"/>
  <c r="G199" i="14"/>
  <c r="Q59" i="14"/>
  <c r="G194" i="14"/>
  <c r="Q58" i="14"/>
  <c r="D200" i="14"/>
  <c r="G200" i="14" s="1"/>
  <c r="D201" i="14"/>
  <c r="G201" i="14" s="1"/>
  <c r="G129" i="14"/>
  <c r="Q45" i="14"/>
  <c r="V45" i="14" s="1"/>
  <c r="G149" i="14"/>
  <c r="Q49" i="14"/>
  <c r="V49" i="14" s="1"/>
  <c r="G169" i="14"/>
  <c r="Q53" i="14"/>
  <c r="V53" i="14" s="1"/>
  <c r="G94" i="14"/>
  <c r="Q38" i="14"/>
  <c r="V38" i="14" s="1"/>
  <c r="G99" i="14"/>
  <c r="Q39" i="14"/>
  <c r="V39" i="14" s="1"/>
  <c r="G134" i="14"/>
  <c r="Q46" i="14"/>
  <c r="V46" i="14" s="1"/>
  <c r="G154" i="14"/>
  <c r="Q50" i="14"/>
  <c r="V50" i="14" s="1"/>
  <c r="G174" i="14"/>
  <c r="Q54" i="14"/>
  <c r="V54" i="14" s="1"/>
  <c r="G109" i="14"/>
  <c r="Q41" i="14"/>
  <c r="V41" i="14" s="1"/>
  <c r="G119" i="14"/>
  <c r="Q43" i="14"/>
  <c r="V43" i="14" s="1"/>
  <c r="G139" i="14"/>
  <c r="Q47" i="14"/>
  <c r="V47" i="14" s="1"/>
  <c r="G159" i="14"/>
  <c r="Q51" i="14"/>
  <c r="V51" i="14" s="1"/>
  <c r="G189" i="14"/>
  <c r="Q57" i="14"/>
  <c r="G104" i="14"/>
  <c r="Q40" i="14"/>
  <c r="V40" i="14" s="1"/>
  <c r="G124" i="14"/>
  <c r="Q44" i="14"/>
  <c r="V44" i="14" s="1"/>
  <c r="G144" i="14"/>
  <c r="Q48" i="14"/>
  <c r="V48" i="14" s="1"/>
  <c r="G164" i="14"/>
  <c r="Q52" i="14"/>
  <c r="V52" i="14" s="1"/>
  <c r="G179" i="14"/>
  <c r="Q55" i="14"/>
  <c r="P55" i="14" s="1"/>
  <c r="G114" i="14"/>
  <c r="Q42" i="14"/>
  <c r="V42" i="14" s="1"/>
  <c r="D115" i="14"/>
  <c r="G115" i="14" s="1"/>
  <c r="D100" i="14"/>
  <c r="G100" i="14" s="1"/>
  <c r="D49" i="14"/>
  <c r="F49" i="14" s="1"/>
  <c r="E61" i="5" s="1"/>
  <c r="D95" i="14"/>
  <c r="G95" i="14" s="1"/>
  <c r="D111" i="14"/>
  <c r="G111" i="14" s="1"/>
  <c r="D121" i="14"/>
  <c r="G121" i="14" s="1"/>
  <c r="D125" i="14"/>
  <c r="G125" i="14" s="1"/>
  <c r="D133" i="14"/>
  <c r="G133" i="14" s="1"/>
  <c r="D34" i="14"/>
  <c r="D46" i="5" s="1"/>
  <c r="D64" i="14"/>
  <c r="D76" i="5" s="1"/>
  <c r="D106" i="14"/>
  <c r="G106" i="14" s="1"/>
  <c r="D116" i="14"/>
  <c r="G116" i="14" s="1"/>
  <c r="D79" i="14"/>
  <c r="D91" i="5" s="1"/>
  <c r="D97" i="14"/>
  <c r="G97" i="14" s="1"/>
  <c r="D54" i="14"/>
  <c r="C54" i="14" s="1"/>
  <c r="C66" i="5" s="1"/>
  <c r="D118" i="14"/>
  <c r="G118" i="14" s="1"/>
  <c r="D98" i="14"/>
  <c r="G98" i="14" s="1"/>
  <c r="D122" i="14"/>
  <c r="G122" i="14" s="1"/>
  <c r="D130" i="14"/>
  <c r="G130" i="14" s="1"/>
  <c r="D29" i="14"/>
  <c r="F29" i="14" s="1"/>
  <c r="E41" i="5" s="1"/>
  <c r="D69" i="14"/>
  <c r="F69" i="14" s="1"/>
  <c r="E81" i="5" s="1"/>
  <c r="D112" i="14"/>
  <c r="G112" i="14" s="1"/>
  <c r="D84" i="14"/>
  <c r="D96" i="5" s="1"/>
  <c r="D103" i="14"/>
  <c r="G103" i="14" s="1"/>
  <c r="D123" i="14"/>
  <c r="G123" i="14" s="1"/>
  <c r="D127" i="14"/>
  <c r="G127" i="14" s="1"/>
  <c r="D131" i="14"/>
  <c r="G131" i="14" s="1"/>
  <c r="D96" i="14"/>
  <c r="G96" i="14" s="1"/>
  <c r="D117" i="14"/>
  <c r="G117" i="14" s="1"/>
  <c r="D105" i="14"/>
  <c r="G105" i="14" s="1"/>
  <c r="D102" i="14"/>
  <c r="G102" i="14" s="1"/>
  <c r="D126" i="14"/>
  <c r="G126" i="14" s="1"/>
  <c r="D113" i="14"/>
  <c r="G113" i="14" s="1"/>
  <c r="E202" i="14"/>
  <c r="D202" i="14" s="1"/>
  <c r="D107" i="14"/>
  <c r="G107" i="14" s="1"/>
  <c r="D120" i="14"/>
  <c r="G120" i="14" s="1"/>
  <c r="D128" i="14"/>
  <c r="G128" i="14" s="1"/>
  <c r="D132" i="14"/>
  <c r="G132" i="14" s="1"/>
  <c r="D89" i="14"/>
  <c r="D101" i="5" s="1"/>
  <c r="D44" i="14"/>
  <c r="F44" i="14" s="1"/>
  <c r="E56" i="5" s="1"/>
  <c r="D59" i="14"/>
  <c r="F59" i="14" s="1"/>
  <c r="E71" i="5" s="1"/>
  <c r="D101" i="14"/>
  <c r="G101" i="14" s="1"/>
  <c r="D39" i="14"/>
  <c r="H267" i="14" s="1"/>
  <c r="D110" i="14"/>
  <c r="G110" i="14" s="1"/>
  <c r="D184" i="14"/>
  <c r="C184" i="14" s="1"/>
  <c r="C196" i="5" s="1"/>
  <c r="D74" i="14"/>
  <c r="C96" i="16" s="1"/>
  <c r="D108" i="14"/>
  <c r="G108" i="14" s="1"/>
  <c r="C216" i="16"/>
  <c r="C221" i="16"/>
  <c r="F119" i="14"/>
  <c r="E131" i="5" s="1"/>
  <c r="F104" i="14"/>
  <c r="E116" i="5" s="1"/>
  <c r="F124" i="14"/>
  <c r="E136" i="5" s="1"/>
  <c r="F114" i="14"/>
  <c r="E126" i="5" s="1"/>
  <c r="F129" i="14"/>
  <c r="E141" i="5" s="1"/>
  <c r="F94" i="14"/>
  <c r="E106" i="5" s="1"/>
  <c r="F99" i="14"/>
  <c r="E111" i="5" s="1"/>
  <c r="F134" i="14"/>
  <c r="E146" i="5" s="1"/>
  <c r="F109" i="14"/>
  <c r="E121" i="5" s="1"/>
  <c r="F139" i="14"/>
  <c r="E151" i="5" s="1"/>
  <c r="C139" i="14"/>
  <c r="C151" i="5" s="1"/>
  <c r="F155" i="14"/>
  <c r="E167" i="5" s="1"/>
  <c r="C155" i="14"/>
  <c r="C167" i="5" s="1"/>
  <c r="F171" i="14"/>
  <c r="E183" i="5" s="1"/>
  <c r="C171" i="14"/>
  <c r="C183" i="5" s="1"/>
  <c r="F175" i="14"/>
  <c r="E187" i="5" s="1"/>
  <c r="C175" i="14"/>
  <c r="C187" i="5" s="1"/>
  <c r="F151" i="14"/>
  <c r="E163" i="5" s="1"/>
  <c r="C151" i="14"/>
  <c r="C163" i="5" s="1"/>
  <c r="F167" i="14"/>
  <c r="E179" i="5" s="1"/>
  <c r="C167" i="14"/>
  <c r="C179" i="5" s="1"/>
  <c r="F136" i="14"/>
  <c r="E148" i="5" s="1"/>
  <c r="C136" i="14"/>
  <c r="C148" i="5" s="1"/>
  <c r="C140" i="14"/>
  <c r="C152" i="5" s="1"/>
  <c r="F140" i="14"/>
  <c r="E152" i="5" s="1"/>
  <c r="F144" i="14"/>
  <c r="E156" i="5" s="1"/>
  <c r="C144" i="14"/>
  <c r="C156" i="5" s="1"/>
  <c r="F148" i="14"/>
  <c r="E160" i="5" s="1"/>
  <c r="C148" i="14"/>
  <c r="C160" i="5" s="1"/>
  <c r="C152" i="14"/>
  <c r="C164" i="5" s="1"/>
  <c r="F152" i="14"/>
  <c r="E164" i="5" s="1"/>
  <c r="F156" i="14"/>
  <c r="E168" i="5" s="1"/>
  <c r="C156" i="14"/>
  <c r="C168" i="5" s="1"/>
  <c r="C160" i="14"/>
  <c r="C172" i="5" s="1"/>
  <c r="F160" i="14"/>
  <c r="E172" i="5" s="1"/>
  <c r="F164" i="14"/>
  <c r="E176" i="5" s="1"/>
  <c r="C164" i="14"/>
  <c r="C168" i="14"/>
  <c r="C180" i="5" s="1"/>
  <c r="F168" i="14"/>
  <c r="E180" i="5" s="1"/>
  <c r="F172" i="14"/>
  <c r="E184" i="5" s="1"/>
  <c r="C172" i="14"/>
  <c r="C184" i="5" s="1"/>
  <c r="F179" i="14"/>
  <c r="E191" i="5" s="1"/>
  <c r="C179" i="14"/>
  <c r="C191" i="5" s="1"/>
  <c r="F135" i="14"/>
  <c r="E147" i="5" s="1"/>
  <c r="C135" i="14"/>
  <c r="C147" i="5" s="1"/>
  <c r="F147" i="14"/>
  <c r="E159" i="5" s="1"/>
  <c r="C147" i="14"/>
  <c r="C159" i="5" s="1"/>
  <c r="F163" i="14"/>
  <c r="E175" i="5" s="1"/>
  <c r="C163" i="14"/>
  <c r="C137" i="14"/>
  <c r="C149" i="5" s="1"/>
  <c r="F137" i="14"/>
  <c r="E149" i="5" s="1"/>
  <c r="F141" i="14"/>
  <c r="E153" i="5" s="1"/>
  <c r="C141" i="14"/>
  <c r="C153" i="5" s="1"/>
  <c r="C145" i="14"/>
  <c r="C157" i="5" s="1"/>
  <c r="F145" i="14"/>
  <c r="E157" i="5" s="1"/>
  <c r="F149" i="14"/>
  <c r="E161" i="5" s="1"/>
  <c r="C149" i="14"/>
  <c r="C161" i="5" s="1"/>
  <c r="F153" i="14"/>
  <c r="E165" i="5" s="1"/>
  <c r="C153" i="14"/>
  <c r="C165" i="5" s="1"/>
  <c r="F157" i="14"/>
  <c r="E169" i="5" s="1"/>
  <c r="C157" i="14"/>
  <c r="C169" i="5" s="1"/>
  <c r="C161" i="14"/>
  <c r="C173" i="5" s="1"/>
  <c r="F161" i="14"/>
  <c r="E173" i="5" s="1"/>
  <c r="F165" i="14"/>
  <c r="E177" i="5" s="1"/>
  <c r="C165" i="14"/>
  <c r="C177" i="5" s="1"/>
  <c r="C169" i="14"/>
  <c r="C181" i="5" s="1"/>
  <c r="F169" i="14"/>
  <c r="E181" i="5" s="1"/>
  <c r="F173" i="14"/>
  <c r="E185" i="5" s="1"/>
  <c r="C173" i="14"/>
  <c r="C185" i="5" s="1"/>
  <c r="C178" i="14"/>
  <c r="C190" i="5" s="1"/>
  <c r="F178" i="14"/>
  <c r="E190" i="5" s="1"/>
  <c r="F143" i="14"/>
  <c r="E155" i="5" s="1"/>
  <c r="C143" i="14"/>
  <c r="C155" i="5" s="1"/>
  <c r="F159" i="14"/>
  <c r="E171" i="5" s="1"/>
  <c r="C159" i="14"/>
  <c r="C171" i="5" s="1"/>
  <c r="C138" i="14"/>
  <c r="C150" i="5" s="1"/>
  <c r="F138" i="14"/>
  <c r="E150" i="5" s="1"/>
  <c r="C142" i="14"/>
  <c r="C154" i="5" s="1"/>
  <c r="F142" i="14"/>
  <c r="E154" i="5" s="1"/>
  <c r="C146" i="14"/>
  <c r="C158" i="5" s="1"/>
  <c r="F146" i="14"/>
  <c r="E158" i="5" s="1"/>
  <c r="C150" i="14"/>
  <c r="C162" i="5" s="1"/>
  <c r="F150" i="14"/>
  <c r="E162" i="5" s="1"/>
  <c r="C154" i="14"/>
  <c r="C166" i="5" s="1"/>
  <c r="F154" i="14"/>
  <c r="E166" i="5" s="1"/>
  <c r="C158" i="14"/>
  <c r="C170" i="5" s="1"/>
  <c r="F158" i="14"/>
  <c r="E170" i="5" s="1"/>
  <c r="C162" i="14"/>
  <c r="C174" i="5" s="1"/>
  <c r="F162" i="14"/>
  <c r="E174" i="5" s="1"/>
  <c r="C166" i="14"/>
  <c r="C178" i="5" s="1"/>
  <c r="F166" i="14"/>
  <c r="E178" i="5" s="1"/>
  <c r="C170" i="14"/>
  <c r="C182" i="5" s="1"/>
  <c r="F170" i="14"/>
  <c r="E182" i="5" s="1"/>
  <c r="C174" i="14"/>
  <c r="C186" i="5" s="1"/>
  <c r="F174" i="14"/>
  <c r="E186" i="5" s="1"/>
  <c r="F176" i="14"/>
  <c r="E188" i="5" s="1"/>
  <c r="C176" i="14"/>
  <c r="C188" i="5" s="1"/>
  <c r="D24" i="14"/>
  <c r="Q24" i="14" s="1"/>
  <c r="G52" i="13"/>
  <c r="G54" i="13" s="1"/>
  <c r="C176" i="16"/>
  <c r="C151" i="16"/>
  <c r="C171" i="16"/>
  <c r="C191" i="16"/>
  <c r="C116" i="16"/>
  <c r="C121" i="16"/>
  <c r="C196" i="16"/>
  <c r="C141" i="16"/>
  <c r="C161" i="16"/>
  <c r="C181" i="16"/>
  <c r="C126" i="16"/>
  <c r="C156" i="16"/>
  <c r="C131" i="16"/>
  <c r="C146" i="16"/>
  <c r="C166" i="16"/>
  <c r="C186" i="16"/>
  <c r="C201" i="16"/>
  <c r="C136" i="16"/>
  <c r="C211" i="16"/>
  <c r="D149" i="5"/>
  <c r="C159" i="16"/>
  <c r="D153" i="5"/>
  <c r="C163" i="16"/>
  <c r="D157" i="5"/>
  <c r="C167" i="16"/>
  <c r="D165" i="5"/>
  <c r="C175" i="16"/>
  <c r="D169" i="5"/>
  <c r="C179" i="16"/>
  <c r="D173" i="5"/>
  <c r="C183" i="16"/>
  <c r="D177" i="5"/>
  <c r="C187" i="16"/>
  <c r="D185" i="5"/>
  <c r="C195" i="16"/>
  <c r="D38" i="5"/>
  <c r="C48" i="16"/>
  <c r="D54" i="5"/>
  <c r="C64" i="16"/>
  <c r="D60" i="5"/>
  <c r="C70" i="16"/>
  <c r="D47" i="5"/>
  <c r="C57" i="16"/>
  <c r="D67" i="5"/>
  <c r="C77" i="16"/>
  <c r="D77" i="5"/>
  <c r="C87" i="16"/>
  <c r="D94" i="5"/>
  <c r="C104" i="16"/>
  <c r="D194" i="5"/>
  <c r="C204" i="16"/>
  <c r="D62" i="5"/>
  <c r="C72" i="16"/>
  <c r="D84" i="5"/>
  <c r="C94" i="16"/>
  <c r="D200" i="5"/>
  <c r="C210" i="16"/>
  <c r="D69" i="5"/>
  <c r="C79" i="16"/>
  <c r="D58" i="5"/>
  <c r="C68" i="16"/>
  <c r="D190" i="5"/>
  <c r="C200" i="16"/>
  <c r="D199" i="5"/>
  <c r="C209" i="16"/>
  <c r="D95" i="5"/>
  <c r="C105" i="16"/>
  <c r="D150" i="5"/>
  <c r="C160" i="16"/>
  <c r="D154" i="5"/>
  <c r="C164" i="16"/>
  <c r="D158" i="5"/>
  <c r="C168" i="16"/>
  <c r="D162" i="5"/>
  <c r="C172" i="16"/>
  <c r="D170" i="5"/>
  <c r="C180" i="16"/>
  <c r="D174" i="5"/>
  <c r="C184" i="16"/>
  <c r="D178" i="5"/>
  <c r="C188" i="16"/>
  <c r="D182" i="5"/>
  <c r="C192" i="16"/>
  <c r="D40" i="5"/>
  <c r="C50" i="16"/>
  <c r="D48" i="5"/>
  <c r="C58" i="16"/>
  <c r="D64" i="5"/>
  <c r="C74" i="16"/>
  <c r="D45" i="5"/>
  <c r="C55" i="16"/>
  <c r="D55" i="5"/>
  <c r="C65" i="16"/>
  <c r="D57" i="5"/>
  <c r="C67" i="16"/>
  <c r="D102" i="5"/>
  <c r="C112" i="16"/>
  <c r="D197" i="5"/>
  <c r="C207" i="16"/>
  <c r="D70" i="5"/>
  <c r="C80" i="16"/>
  <c r="D88" i="5"/>
  <c r="C98" i="16"/>
  <c r="D188" i="5"/>
  <c r="C198" i="16"/>
  <c r="D105" i="5"/>
  <c r="C115" i="16"/>
  <c r="D79" i="5"/>
  <c r="C89" i="16"/>
  <c r="D73" i="5"/>
  <c r="C83" i="16"/>
  <c r="D78" i="5"/>
  <c r="C88" i="16"/>
  <c r="D198" i="5"/>
  <c r="C208" i="16"/>
  <c r="D147" i="5"/>
  <c r="C157" i="16"/>
  <c r="D155" i="5"/>
  <c r="C165" i="16"/>
  <c r="D159" i="5"/>
  <c r="C169" i="16"/>
  <c r="D163" i="5"/>
  <c r="C173" i="16"/>
  <c r="D167" i="5"/>
  <c r="C177" i="16"/>
  <c r="D175" i="5"/>
  <c r="C185" i="16"/>
  <c r="D179" i="5"/>
  <c r="C189" i="16"/>
  <c r="D183" i="5"/>
  <c r="C193" i="16"/>
  <c r="D97" i="5"/>
  <c r="C107" i="16"/>
  <c r="D42" i="5"/>
  <c r="C52" i="16"/>
  <c r="D50" i="5"/>
  <c r="C60" i="16"/>
  <c r="D49" i="5"/>
  <c r="C59" i="16"/>
  <c r="D68" i="5"/>
  <c r="C78" i="16"/>
  <c r="D53" i="5"/>
  <c r="C63" i="16"/>
  <c r="D59" i="5"/>
  <c r="C69" i="16"/>
  <c r="D65" i="5"/>
  <c r="C75" i="16"/>
  <c r="D85" i="5"/>
  <c r="C95" i="16"/>
  <c r="D75" i="5"/>
  <c r="C85" i="16"/>
  <c r="D92" i="5"/>
  <c r="C102" i="16"/>
  <c r="D193" i="5"/>
  <c r="C203" i="16"/>
  <c r="D74" i="5"/>
  <c r="C84" i="16"/>
  <c r="D87" i="5"/>
  <c r="C97" i="16"/>
  <c r="D82" i="5"/>
  <c r="C92" i="16"/>
  <c r="D187" i="5"/>
  <c r="C197" i="16"/>
  <c r="D104" i="5"/>
  <c r="C114" i="16"/>
  <c r="D90" i="5"/>
  <c r="C100" i="16"/>
  <c r="D99" i="5"/>
  <c r="C109" i="16"/>
  <c r="D103" i="5"/>
  <c r="C113" i="16"/>
  <c r="D148" i="5"/>
  <c r="C158" i="16"/>
  <c r="D152" i="5"/>
  <c r="C162" i="16"/>
  <c r="D160" i="5"/>
  <c r="C170" i="16"/>
  <c r="D164" i="5"/>
  <c r="C174" i="16"/>
  <c r="D168" i="5"/>
  <c r="C178" i="16"/>
  <c r="D172" i="5"/>
  <c r="C182" i="16"/>
  <c r="D180" i="5"/>
  <c r="C190" i="16"/>
  <c r="D184" i="5"/>
  <c r="C194" i="16"/>
  <c r="D37" i="5"/>
  <c r="C47" i="16"/>
  <c r="D44" i="5"/>
  <c r="C54" i="16"/>
  <c r="D52" i="5"/>
  <c r="C62" i="16"/>
  <c r="D72" i="5"/>
  <c r="C82" i="16"/>
  <c r="D39" i="5"/>
  <c r="C49" i="16"/>
  <c r="D63" i="5"/>
  <c r="C73" i="16"/>
  <c r="D89" i="5"/>
  <c r="C99" i="16"/>
  <c r="D80" i="5"/>
  <c r="C90" i="16"/>
  <c r="D100" i="5"/>
  <c r="C110" i="16"/>
  <c r="D83" i="5"/>
  <c r="C93" i="16"/>
  <c r="D43" i="5"/>
  <c r="C53" i="16"/>
  <c r="D98" i="5"/>
  <c r="C108" i="16"/>
  <c r="D195" i="5"/>
  <c r="C205" i="16"/>
  <c r="D192" i="5"/>
  <c r="C202" i="16"/>
  <c r="D93" i="5"/>
  <c r="C103" i="16"/>
  <c r="D161" i="5"/>
  <c r="D181" i="5"/>
  <c r="D106" i="5"/>
  <c r="D206" i="5"/>
  <c r="D211" i="5"/>
  <c r="D141" i="5"/>
  <c r="D111" i="5"/>
  <c r="D146" i="5"/>
  <c r="D166" i="5"/>
  <c r="D186" i="5"/>
  <c r="D121" i="5"/>
  <c r="D131" i="5"/>
  <c r="D151" i="5"/>
  <c r="D171" i="5"/>
  <c r="D201" i="5"/>
  <c r="D116" i="5"/>
  <c r="D136" i="5"/>
  <c r="D156" i="5"/>
  <c r="D176" i="5"/>
  <c r="D191" i="5"/>
  <c r="D126" i="5"/>
  <c r="C119" i="14"/>
  <c r="C131" i="5" s="1"/>
  <c r="F85" i="14"/>
  <c r="E97" i="5" s="1"/>
  <c r="C85" i="14"/>
  <c r="C97" i="5" s="1"/>
  <c r="F73" i="14"/>
  <c r="E85" i="5" s="1"/>
  <c r="C73" i="14"/>
  <c r="C85" i="5" s="1"/>
  <c r="F80" i="14"/>
  <c r="E92" i="5" s="1"/>
  <c r="C80" i="14"/>
  <c r="C92" i="5" s="1"/>
  <c r="C104" i="14"/>
  <c r="C116" i="5" s="1"/>
  <c r="C75" i="14"/>
  <c r="C87" i="5" s="1"/>
  <c r="F75" i="14"/>
  <c r="E87" i="5" s="1"/>
  <c r="F70" i="14"/>
  <c r="E82" i="5" s="1"/>
  <c r="C70" i="14"/>
  <c r="C82" i="5" s="1"/>
  <c r="F92" i="14"/>
  <c r="E104" i="5" s="1"/>
  <c r="C92" i="14"/>
  <c r="C104" i="5" s="1"/>
  <c r="F78" i="14"/>
  <c r="E90" i="5" s="1"/>
  <c r="C78" i="14"/>
  <c r="C90" i="5" s="1"/>
  <c r="F87" i="14"/>
  <c r="E99" i="5" s="1"/>
  <c r="C87" i="14"/>
  <c r="C99" i="5" s="1"/>
  <c r="C124" i="14"/>
  <c r="C136" i="5" s="1"/>
  <c r="F77" i="14"/>
  <c r="E89" i="5" s="1"/>
  <c r="C77" i="14"/>
  <c r="C89" i="5" s="1"/>
  <c r="F68" i="14"/>
  <c r="E80" i="5" s="1"/>
  <c r="C68" i="14"/>
  <c r="C80" i="5" s="1"/>
  <c r="F88" i="14"/>
  <c r="E100" i="5" s="1"/>
  <c r="C88" i="14"/>
  <c r="C100" i="5" s="1"/>
  <c r="F71" i="14"/>
  <c r="E83" i="5" s="1"/>
  <c r="C71" i="14"/>
  <c r="C83" i="5" s="1"/>
  <c r="F86" i="14"/>
  <c r="E98" i="5" s="1"/>
  <c r="C86" i="14"/>
  <c r="C98" i="5" s="1"/>
  <c r="C114" i="14"/>
  <c r="C126" i="5" s="1"/>
  <c r="F81" i="14"/>
  <c r="E93" i="5" s="1"/>
  <c r="C81" i="14"/>
  <c r="C93" i="5" s="1"/>
  <c r="C91" i="14"/>
  <c r="C103" i="5" s="1"/>
  <c r="F91" i="14"/>
  <c r="E103" i="5" s="1"/>
  <c r="C129" i="14"/>
  <c r="C141" i="5" s="1"/>
  <c r="F65" i="14"/>
  <c r="E77" i="5" s="1"/>
  <c r="C65" i="14"/>
  <c r="C77" i="5" s="1"/>
  <c r="C82" i="14"/>
  <c r="C94" i="5" s="1"/>
  <c r="F82" i="14"/>
  <c r="E94" i="5" s="1"/>
  <c r="F72" i="14"/>
  <c r="E84" i="5" s="1"/>
  <c r="C72" i="14"/>
  <c r="C84" i="5" s="1"/>
  <c r="C94" i="14"/>
  <c r="C106" i="5" s="1"/>
  <c r="C83" i="14"/>
  <c r="C95" i="5" s="1"/>
  <c r="F83" i="14"/>
  <c r="E95" i="5" s="1"/>
  <c r="C99" i="14"/>
  <c r="C111" i="5" s="1"/>
  <c r="C134" i="14"/>
  <c r="C146" i="5" s="1"/>
  <c r="C90" i="14"/>
  <c r="C102" i="5" s="1"/>
  <c r="F90" i="14"/>
  <c r="E102" i="5" s="1"/>
  <c r="F76" i="14"/>
  <c r="E88" i="5" s="1"/>
  <c r="C76" i="14"/>
  <c r="C88" i="5" s="1"/>
  <c r="F93" i="14"/>
  <c r="E105" i="5" s="1"/>
  <c r="C93" i="14"/>
  <c r="C105" i="5" s="1"/>
  <c r="C67" i="14"/>
  <c r="C79" i="5" s="1"/>
  <c r="F67" i="14"/>
  <c r="E79" i="5" s="1"/>
  <c r="C109" i="14"/>
  <c r="C121" i="5" s="1"/>
  <c r="C66" i="14"/>
  <c r="C78" i="5" s="1"/>
  <c r="F66" i="14"/>
  <c r="E78" i="5" s="1"/>
  <c r="F36" i="14"/>
  <c r="E48" i="5" s="1"/>
  <c r="C36" i="14"/>
  <c r="C48" i="5" s="1"/>
  <c r="F33" i="14"/>
  <c r="E45" i="5" s="1"/>
  <c r="C33" i="14"/>
  <c r="C45" i="5" s="1"/>
  <c r="F45" i="14"/>
  <c r="E57" i="5" s="1"/>
  <c r="C45" i="14"/>
  <c r="C57" i="5" s="1"/>
  <c r="F185" i="14"/>
  <c r="E197" i="5" s="1"/>
  <c r="C185" i="14"/>
  <c r="C197" i="5" s="1"/>
  <c r="C61" i="14"/>
  <c r="C73" i="5" s="1"/>
  <c r="F61" i="14"/>
  <c r="E73" i="5" s="1"/>
  <c r="F26" i="14"/>
  <c r="E38" i="5" s="1"/>
  <c r="C26" i="14"/>
  <c r="C38" i="5" s="1"/>
  <c r="C42" i="14"/>
  <c r="C54" i="5" s="1"/>
  <c r="F42" i="14"/>
  <c r="E54" i="5" s="1"/>
  <c r="F48" i="14"/>
  <c r="E60" i="5" s="1"/>
  <c r="C48" i="14"/>
  <c r="C60" i="5" s="1"/>
  <c r="F35" i="14"/>
  <c r="E47" i="5" s="1"/>
  <c r="C35" i="14"/>
  <c r="C47" i="5" s="1"/>
  <c r="F55" i="14"/>
  <c r="E67" i="5" s="1"/>
  <c r="C55" i="14"/>
  <c r="C67" i="5" s="1"/>
  <c r="F182" i="14"/>
  <c r="E194" i="5" s="1"/>
  <c r="C182" i="14"/>
  <c r="C194" i="5" s="1"/>
  <c r="F50" i="14"/>
  <c r="E62" i="5" s="1"/>
  <c r="C50" i="14"/>
  <c r="C62" i="5" s="1"/>
  <c r="F188" i="14"/>
  <c r="E200" i="5" s="1"/>
  <c r="C188" i="14"/>
  <c r="C200" i="5" s="1"/>
  <c r="C57" i="14"/>
  <c r="C69" i="5" s="1"/>
  <c r="F57" i="14"/>
  <c r="E69" i="5" s="1"/>
  <c r="F46" i="14"/>
  <c r="E58" i="5" s="1"/>
  <c r="C46" i="14"/>
  <c r="C58" i="5" s="1"/>
  <c r="F194" i="14"/>
  <c r="E206" i="5" s="1"/>
  <c r="C194" i="14"/>
  <c r="C206" i="5" s="1"/>
  <c r="F199" i="14"/>
  <c r="E211" i="5" s="1"/>
  <c r="C199" i="14"/>
  <c r="C211" i="5" s="1"/>
  <c r="F187" i="14"/>
  <c r="E199" i="5" s="1"/>
  <c r="C187" i="14"/>
  <c r="C199" i="5" s="1"/>
  <c r="F28" i="14"/>
  <c r="E40" i="5" s="1"/>
  <c r="C28" i="14"/>
  <c r="C40" i="5" s="1"/>
  <c r="F52" i="14"/>
  <c r="E64" i="5" s="1"/>
  <c r="C52" i="14"/>
  <c r="C64" i="5" s="1"/>
  <c r="F30" i="14"/>
  <c r="E42" i="5" s="1"/>
  <c r="C30" i="14"/>
  <c r="C42" i="5" s="1"/>
  <c r="F38" i="14"/>
  <c r="E50" i="5" s="1"/>
  <c r="C38" i="14"/>
  <c r="C50" i="5" s="1"/>
  <c r="C37" i="14"/>
  <c r="C49" i="5" s="1"/>
  <c r="F37" i="14"/>
  <c r="E49" i="5" s="1"/>
  <c r="F56" i="14"/>
  <c r="E68" i="5" s="1"/>
  <c r="C56" i="14"/>
  <c r="C68" i="5" s="1"/>
  <c r="F41" i="14"/>
  <c r="E53" i="5" s="1"/>
  <c r="C41" i="14"/>
  <c r="C53" i="5" s="1"/>
  <c r="F47" i="14"/>
  <c r="E59" i="5" s="1"/>
  <c r="C47" i="14"/>
  <c r="C59" i="5" s="1"/>
  <c r="C53" i="14"/>
  <c r="C65" i="5" s="1"/>
  <c r="F53" i="14"/>
  <c r="E65" i="5" s="1"/>
  <c r="F189" i="14"/>
  <c r="E201" i="5" s="1"/>
  <c r="C189" i="14"/>
  <c r="C201" i="5" s="1"/>
  <c r="F63" i="14"/>
  <c r="E75" i="5" s="1"/>
  <c r="C63" i="14"/>
  <c r="C75" i="5" s="1"/>
  <c r="C181" i="14"/>
  <c r="C193" i="5" s="1"/>
  <c r="F181" i="14"/>
  <c r="E193" i="5" s="1"/>
  <c r="F62" i="14"/>
  <c r="E74" i="5" s="1"/>
  <c r="C62" i="14"/>
  <c r="C74" i="5" s="1"/>
  <c r="C195" i="14"/>
  <c r="C207" i="5" s="1"/>
  <c r="F43" i="14"/>
  <c r="E55" i="5" s="1"/>
  <c r="C43" i="14"/>
  <c r="C55" i="5" s="1"/>
  <c r="F58" i="14"/>
  <c r="E70" i="5" s="1"/>
  <c r="C58" i="14"/>
  <c r="C70" i="5" s="1"/>
  <c r="F186" i="14"/>
  <c r="E198" i="5" s="1"/>
  <c r="C186" i="14"/>
  <c r="C198" i="5" s="1"/>
  <c r="F25" i="14"/>
  <c r="E37" i="5" s="1"/>
  <c r="C25" i="14"/>
  <c r="C37" i="5" s="1"/>
  <c r="F32" i="14"/>
  <c r="E44" i="5" s="1"/>
  <c r="C32" i="14"/>
  <c r="C44" i="5" s="1"/>
  <c r="F40" i="14"/>
  <c r="E52" i="5" s="1"/>
  <c r="C40" i="14"/>
  <c r="C52" i="5" s="1"/>
  <c r="F60" i="14"/>
  <c r="E72" i="5" s="1"/>
  <c r="C60" i="14"/>
  <c r="C72" i="5" s="1"/>
  <c r="F27" i="14"/>
  <c r="E39" i="5" s="1"/>
  <c r="C27" i="14"/>
  <c r="C39" i="5" s="1"/>
  <c r="F51" i="14"/>
  <c r="E63" i="5" s="1"/>
  <c r="C51" i="14"/>
  <c r="C63" i="5" s="1"/>
  <c r="C31" i="14"/>
  <c r="C43" i="5" s="1"/>
  <c r="F31" i="14"/>
  <c r="E43" i="5" s="1"/>
  <c r="F183" i="14"/>
  <c r="E195" i="5" s="1"/>
  <c r="C183" i="14"/>
  <c r="C195" i="5" s="1"/>
  <c r="F180" i="14"/>
  <c r="E192" i="5" s="1"/>
  <c r="C180" i="14"/>
  <c r="C192" i="5" s="1"/>
  <c r="H365" i="14"/>
  <c r="H369" i="14"/>
  <c r="H373" i="14"/>
  <c r="H377" i="14"/>
  <c r="H381" i="14"/>
  <c r="H385" i="14"/>
  <c r="H389" i="14"/>
  <c r="H393" i="14"/>
  <c r="H397" i="14"/>
  <c r="H401" i="14"/>
  <c r="H254" i="14"/>
  <c r="H270" i="14"/>
  <c r="H276" i="14"/>
  <c r="H263" i="14"/>
  <c r="H283" i="14"/>
  <c r="H293" i="14"/>
  <c r="H310" i="14"/>
  <c r="H410" i="14"/>
  <c r="H278" i="14"/>
  <c r="H300" i="14"/>
  <c r="H322" i="14"/>
  <c r="H416" i="14"/>
  <c r="H285" i="14"/>
  <c r="H274" i="14"/>
  <c r="H406" i="14"/>
  <c r="H422" i="14"/>
  <c r="H427" i="14"/>
  <c r="H415" i="14"/>
  <c r="H357" i="14"/>
  <c r="H327" i="14"/>
  <c r="H362" i="14"/>
  <c r="H366" i="14"/>
  <c r="H370" i="14"/>
  <c r="H374" i="14"/>
  <c r="H378" i="14"/>
  <c r="H382" i="14"/>
  <c r="H386" i="14"/>
  <c r="H390" i="14"/>
  <c r="H394" i="14"/>
  <c r="H398" i="14"/>
  <c r="H402" i="14"/>
  <c r="H256" i="14"/>
  <c r="H264" i="14"/>
  <c r="H280" i="14"/>
  <c r="H261" i="14"/>
  <c r="H271" i="14"/>
  <c r="H273" i="14"/>
  <c r="H318" i="14"/>
  <c r="H413" i="14"/>
  <c r="H286" i="14"/>
  <c r="H304" i="14"/>
  <c r="H404" i="14"/>
  <c r="H321" i="14"/>
  <c r="H295" i="14"/>
  <c r="H289" i="14"/>
  <c r="H337" i="14"/>
  <c r="H294" i="14"/>
  <c r="H414" i="14"/>
  <c r="H311" i="14"/>
  <c r="H315" i="14"/>
  <c r="H347" i="14"/>
  <c r="H363" i="14"/>
  <c r="H367" i="14"/>
  <c r="H371" i="14"/>
  <c r="H375" i="14"/>
  <c r="H379" i="14"/>
  <c r="H383" i="14"/>
  <c r="H387" i="14"/>
  <c r="H391" i="14"/>
  <c r="H395" i="14"/>
  <c r="H399" i="14"/>
  <c r="H313" i="14"/>
  <c r="H258" i="14"/>
  <c r="H266" i="14"/>
  <c r="H265" i="14"/>
  <c r="H284" i="14"/>
  <c r="H269" i="14"/>
  <c r="H275" i="14"/>
  <c r="H281" i="14"/>
  <c r="H301" i="14"/>
  <c r="H417" i="14"/>
  <c r="H291" i="14"/>
  <c r="H308" i="14"/>
  <c r="H409" i="14"/>
  <c r="H290" i="14"/>
  <c r="H332" i="14"/>
  <c r="H303" i="14"/>
  <c r="H298" i="14"/>
  <c r="H403" i="14"/>
  <c r="H320" i="14"/>
  <c r="H306" i="14"/>
  <c r="H319" i="14"/>
  <c r="H352" i="14"/>
  <c r="H364" i="14"/>
  <c r="H368" i="14"/>
  <c r="H372" i="14"/>
  <c r="H376" i="14"/>
  <c r="H380" i="14"/>
  <c r="H384" i="14"/>
  <c r="H388" i="14"/>
  <c r="H392" i="14"/>
  <c r="H396" i="14"/>
  <c r="H400" i="14"/>
  <c r="H253" i="14"/>
  <c r="H260" i="14"/>
  <c r="H268" i="14"/>
  <c r="H288" i="14"/>
  <c r="H255" i="14"/>
  <c r="H279" i="14"/>
  <c r="H305" i="14"/>
  <c r="H407" i="14"/>
  <c r="H296" i="14"/>
  <c r="H316" i="14"/>
  <c r="H299" i="14"/>
  <c r="H259" i="14"/>
  <c r="H314" i="14"/>
  <c r="H411" i="14"/>
  <c r="H342" i="14"/>
  <c r="H408" i="14"/>
  <c r="H309" i="14"/>
  <c r="C31" i="1"/>
  <c r="B203" i="14"/>
  <c r="D430" i="14"/>
  <c r="C30" i="1"/>
  <c r="B58" i="1"/>
  <c r="B60" i="1" s="1"/>
  <c r="B59" i="1"/>
  <c r="B61" i="1" s="1"/>
  <c r="G190" i="14" l="1"/>
  <c r="C212" i="16"/>
  <c r="I189" i="5"/>
  <c r="F197" i="14"/>
  <c r="E209" i="5" s="1"/>
  <c r="H189" i="5"/>
  <c r="F189" i="5"/>
  <c r="J189" i="5"/>
  <c r="C197" i="14"/>
  <c r="C209" i="5" s="1"/>
  <c r="H425" i="14"/>
  <c r="F184" i="14"/>
  <c r="E196" i="5" s="1"/>
  <c r="H356" i="14"/>
  <c r="H297" i="14"/>
  <c r="H307" i="14"/>
  <c r="D81" i="5"/>
  <c r="G82" i="5" s="1"/>
  <c r="C192" i="14"/>
  <c r="C204" i="5" s="1"/>
  <c r="C128" i="14"/>
  <c r="C140" i="5" s="1"/>
  <c r="H412" i="14"/>
  <c r="H420" i="14"/>
  <c r="F192" i="14"/>
  <c r="E204" i="5" s="1"/>
  <c r="H336" i="14"/>
  <c r="H317" i="14"/>
  <c r="F54" i="14"/>
  <c r="E66" i="5" s="1"/>
  <c r="F89" i="14"/>
  <c r="E101" i="5" s="1"/>
  <c r="J101" i="5" s="1"/>
  <c r="C84" i="14"/>
  <c r="C96" i="5" s="1"/>
  <c r="I96" i="5" s="1"/>
  <c r="C102" i="14"/>
  <c r="C114" i="5" s="1"/>
  <c r="H353" i="14"/>
  <c r="H330" i="14"/>
  <c r="F84" i="14"/>
  <c r="E96" i="5" s="1"/>
  <c r="J96" i="5" s="1"/>
  <c r="H282" i="14"/>
  <c r="C108" i="14"/>
  <c r="C120" i="5" s="1"/>
  <c r="H312" i="14"/>
  <c r="D66" i="5"/>
  <c r="I66" i="5" s="1"/>
  <c r="D204" i="5"/>
  <c r="F204" i="5" s="1"/>
  <c r="C125" i="14"/>
  <c r="C137" i="5" s="1"/>
  <c r="C111" i="14"/>
  <c r="C123" i="5" s="1"/>
  <c r="C89" i="14"/>
  <c r="C101" i="5" s="1"/>
  <c r="I101" i="5" s="1"/>
  <c r="C124" i="16"/>
  <c r="C76" i="16"/>
  <c r="C130" i="16"/>
  <c r="C150" i="16"/>
  <c r="H428" i="14"/>
  <c r="C56" i="16"/>
  <c r="H426" i="14"/>
  <c r="F198" i="14"/>
  <c r="E210" i="5" s="1"/>
  <c r="F34" i="14"/>
  <c r="E46" i="5" s="1"/>
  <c r="J46" i="5" s="1"/>
  <c r="H421" i="14"/>
  <c r="C127" i="14"/>
  <c r="C139" i="5" s="1"/>
  <c r="D205" i="5"/>
  <c r="G206" i="5" s="1"/>
  <c r="D209" i="5"/>
  <c r="F209" i="5" s="1"/>
  <c r="C132" i="14"/>
  <c r="C144" i="5" s="1"/>
  <c r="D86" i="5"/>
  <c r="G86" i="5" s="1"/>
  <c r="D71" i="5"/>
  <c r="H71" i="5" s="1"/>
  <c r="H287" i="14"/>
  <c r="C198" i="14"/>
  <c r="C210" i="5" s="1"/>
  <c r="C59" i="14"/>
  <c r="C71" i="5" s="1"/>
  <c r="D212" i="5"/>
  <c r="G212" i="5" s="1"/>
  <c r="C200" i="14"/>
  <c r="C212" i="5" s="1"/>
  <c r="F200" i="14"/>
  <c r="E212" i="5" s="1"/>
  <c r="D210" i="5"/>
  <c r="G211" i="5" s="1"/>
  <c r="D61" i="5"/>
  <c r="F61" i="5" s="1"/>
  <c r="D118" i="5"/>
  <c r="F118" i="5" s="1"/>
  <c r="H277" i="14"/>
  <c r="H358" i="14"/>
  <c r="H334" i="14"/>
  <c r="D208" i="5"/>
  <c r="H208" i="5" s="1"/>
  <c r="C106" i="14"/>
  <c r="C118" i="5" s="1"/>
  <c r="F201" i="14"/>
  <c r="E213" i="5" s="1"/>
  <c r="H355" i="14"/>
  <c r="H329" i="14"/>
  <c r="C39" i="14"/>
  <c r="C51" i="5" s="1"/>
  <c r="H359" i="14"/>
  <c r="D51" i="5"/>
  <c r="G51" i="5" s="1"/>
  <c r="D143" i="5"/>
  <c r="F143" i="5" s="1"/>
  <c r="C196" i="14"/>
  <c r="C208" i="5" s="1"/>
  <c r="H424" i="14"/>
  <c r="F196" i="14"/>
  <c r="E208" i="5" s="1"/>
  <c r="C107" i="14"/>
  <c r="C119" i="5" s="1"/>
  <c r="C131" i="14"/>
  <c r="C143" i="5" s="1"/>
  <c r="D142" i="5"/>
  <c r="F39" i="14"/>
  <c r="E51" i="5" s="1"/>
  <c r="C49" i="14"/>
  <c r="C61" i="5" s="1"/>
  <c r="C130" i="14"/>
  <c r="C142" i="5" s="1"/>
  <c r="H335" i="14"/>
  <c r="C140" i="16"/>
  <c r="C116" i="14"/>
  <c r="C128" i="5" s="1"/>
  <c r="F191" i="14"/>
  <c r="E203" i="5" s="1"/>
  <c r="H354" i="14"/>
  <c r="C126" i="14"/>
  <c r="C138" i="5" s="1"/>
  <c r="D207" i="5"/>
  <c r="I207" i="5" s="1"/>
  <c r="D120" i="5"/>
  <c r="G121" i="5" s="1"/>
  <c r="D114" i="5"/>
  <c r="F114" i="5" s="1"/>
  <c r="C152" i="16"/>
  <c r="D139" i="5"/>
  <c r="H139" i="5" s="1"/>
  <c r="D109" i="5"/>
  <c r="H109" i="5" s="1"/>
  <c r="H257" i="14"/>
  <c r="H361" i="14"/>
  <c r="F195" i="14"/>
  <c r="E207" i="5" s="1"/>
  <c r="J207" i="5" s="1"/>
  <c r="C133" i="14"/>
  <c r="C145" i="5" s="1"/>
  <c r="D203" i="5"/>
  <c r="H203" i="5" s="1"/>
  <c r="D108" i="5"/>
  <c r="F108" i="5" s="1"/>
  <c r="D130" i="5"/>
  <c r="F130" i="5" s="1"/>
  <c r="D145" i="5"/>
  <c r="F145" i="5" s="1"/>
  <c r="H419" i="14"/>
  <c r="H272" i="14"/>
  <c r="H423" i="14"/>
  <c r="H331" i="14"/>
  <c r="H344" i="14"/>
  <c r="C29" i="14"/>
  <c r="C41" i="5" s="1"/>
  <c r="D41" i="5"/>
  <c r="F41" i="5" s="1"/>
  <c r="D115" i="5"/>
  <c r="H115" i="5" s="1"/>
  <c r="D107" i="5"/>
  <c r="F107" i="5" s="1"/>
  <c r="H324" i="14"/>
  <c r="H323" i="14"/>
  <c r="H346" i="14"/>
  <c r="C191" i="14"/>
  <c r="C203" i="5" s="1"/>
  <c r="C118" i="14"/>
  <c r="C130" i="5" s="1"/>
  <c r="C95" i="14"/>
  <c r="C107" i="5" s="1"/>
  <c r="C96" i="14"/>
  <c r="C108" i="5" s="1"/>
  <c r="C103" i="14"/>
  <c r="C115" i="5" s="1"/>
  <c r="D138" i="5"/>
  <c r="H138" i="5" s="1"/>
  <c r="D128" i="5"/>
  <c r="F128" i="5" s="1"/>
  <c r="H349" i="14"/>
  <c r="H350" i="14"/>
  <c r="C201" i="14"/>
  <c r="C213" i="5" s="1"/>
  <c r="C112" i="14"/>
  <c r="C124" i="5" s="1"/>
  <c r="F64" i="14"/>
  <c r="E76" i="5" s="1"/>
  <c r="J76" i="5" s="1"/>
  <c r="C121" i="14"/>
  <c r="C133" i="5" s="1"/>
  <c r="F74" i="14"/>
  <c r="E86" i="5" s="1"/>
  <c r="D202" i="5"/>
  <c r="H202" i="5" s="1"/>
  <c r="C127" i="16"/>
  <c r="C122" i="16"/>
  <c r="C134" i="16"/>
  <c r="C86" i="16"/>
  <c r="C215" i="16"/>
  <c r="H360" i="14"/>
  <c r="H418" i="14"/>
  <c r="H328" i="14"/>
  <c r="H340" i="14"/>
  <c r="H292" i="14"/>
  <c r="C193" i="14"/>
  <c r="C205" i="5" s="1"/>
  <c r="C190" i="14"/>
  <c r="C202" i="5" s="1"/>
  <c r="C100" i="14"/>
  <c r="C112" i="5" s="1"/>
  <c r="C64" i="14"/>
  <c r="C76" i="5" s="1"/>
  <c r="I76" i="5" s="1"/>
  <c r="C74" i="14"/>
  <c r="C86" i="5" s="1"/>
  <c r="C154" i="16"/>
  <c r="D117" i="5"/>
  <c r="D112" i="5"/>
  <c r="F112" i="5" s="1"/>
  <c r="D133" i="5"/>
  <c r="F133" i="5" s="1"/>
  <c r="C219" i="16"/>
  <c r="H302" i="14"/>
  <c r="H333" i="14"/>
  <c r="H429" i="14"/>
  <c r="H325" i="14"/>
  <c r="F193" i="14"/>
  <c r="E205" i="5" s="1"/>
  <c r="F190" i="14"/>
  <c r="E202" i="5" s="1"/>
  <c r="C122" i="14"/>
  <c r="C134" i="5" s="1"/>
  <c r="C97" i="14"/>
  <c r="C109" i="5" s="1"/>
  <c r="C101" i="14"/>
  <c r="C113" i="5" s="1"/>
  <c r="C105" i="14"/>
  <c r="C117" i="5" s="1"/>
  <c r="C123" i="16"/>
  <c r="D144" i="5"/>
  <c r="H144" i="5" s="1"/>
  <c r="C149" i="16"/>
  <c r="D213" i="5"/>
  <c r="D134" i="5"/>
  <c r="F134" i="5" s="1"/>
  <c r="C213" i="16"/>
  <c r="C217" i="16"/>
  <c r="G202" i="14"/>
  <c r="F202" i="14"/>
  <c r="E214" i="5" s="1"/>
  <c r="H430" i="14"/>
  <c r="D214" i="5"/>
  <c r="C202" i="14"/>
  <c r="C214" i="5" s="1"/>
  <c r="R58" i="14"/>
  <c r="V58" i="14"/>
  <c r="C222" i="16"/>
  <c r="R59" i="14"/>
  <c r="V59" i="14"/>
  <c r="C223" i="16"/>
  <c r="C218" i="16"/>
  <c r="C220" i="16"/>
  <c r="C214" i="16"/>
  <c r="C139" i="16"/>
  <c r="D125" i="5"/>
  <c r="F125" i="5" s="1"/>
  <c r="D135" i="5"/>
  <c r="F135" i="5" s="1"/>
  <c r="C143" i="16"/>
  <c r="H348" i="14"/>
  <c r="H343" i="14"/>
  <c r="H345" i="14"/>
  <c r="H262" i="14"/>
  <c r="C34" i="14"/>
  <c r="C46" i="5" s="1"/>
  <c r="I46" i="5" s="1"/>
  <c r="C115" i="14"/>
  <c r="C127" i="5" s="1"/>
  <c r="C120" i="14"/>
  <c r="C132" i="5" s="1"/>
  <c r="C117" i="14"/>
  <c r="C129" i="5" s="1"/>
  <c r="C123" i="14"/>
  <c r="C135" i="5" s="1"/>
  <c r="D56" i="5"/>
  <c r="G57" i="5" s="1"/>
  <c r="C145" i="16"/>
  <c r="C135" i="16"/>
  <c r="D127" i="5"/>
  <c r="H127" i="5" s="1"/>
  <c r="H338" i="14"/>
  <c r="H339" i="14"/>
  <c r="H341" i="14"/>
  <c r="H326" i="14"/>
  <c r="C44" i="14"/>
  <c r="C56" i="5" s="1"/>
  <c r="C113" i="14"/>
  <c r="C125" i="5" s="1"/>
  <c r="C69" i="14"/>
  <c r="C81" i="5" s="1"/>
  <c r="C79" i="14"/>
  <c r="C91" i="5" s="1"/>
  <c r="I91" i="5" s="1"/>
  <c r="C132" i="16"/>
  <c r="D132" i="5"/>
  <c r="H132" i="5" s="1"/>
  <c r="C120" i="16"/>
  <c r="C66" i="16"/>
  <c r="H351" i="14"/>
  <c r="C98" i="14"/>
  <c r="C110" i="5" s="1"/>
  <c r="F79" i="14"/>
  <c r="E91" i="5" s="1"/>
  <c r="J91" i="5" s="1"/>
  <c r="C110" i="14"/>
  <c r="C122" i="5" s="1"/>
  <c r="D122" i="5"/>
  <c r="F122" i="5" s="1"/>
  <c r="C137" i="16"/>
  <c r="C133" i="16"/>
  <c r="F110" i="14"/>
  <c r="E122" i="5" s="1"/>
  <c r="F127" i="14"/>
  <c r="E139" i="5" s="1"/>
  <c r="C65" i="7"/>
  <c r="C67" i="7"/>
  <c r="R45" i="14"/>
  <c r="F121" i="14"/>
  <c r="E133" i="5" s="1"/>
  <c r="F118" i="14"/>
  <c r="E130" i="5" s="1"/>
  <c r="R44" i="14"/>
  <c r="R43" i="14"/>
  <c r="C72" i="7"/>
  <c r="R38" i="14"/>
  <c r="R42" i="14"/>
  <c r="R40" i="14"/>
  <c r="G39" i="14"/>
  <c r="Q27" i="14"/>
  <c r="V27" i="14" s="1"/>
  <c r="F132" i="14"/>
  <c r="E144" i="5" s="1"/>
  <c r="G69" i="14"/>
  <c r="Q33" i="14"/>
  <c r="V33" i="14" s="1"/>
  <c r="G54" i="14"/>
  <c r="Q30" i="14"/>
  <c r="V30" i="14" s="1"/>
  <c r="F100" i="14"/>
  <c r="E112" i="5" s="1"/>
  <c r="R55" i="14"/>
  <c r="V55" i="14"/>
  <c r="G184" i="14"/>
  <c r="Q56" i="14"/>
  <c r="G89" i="14"/>
  <c r="Q37" i="14"/>
  <c r="S265" i="14" s="1"/>
  <c r="C224" i="16"/>
  <c r="G29" i="14"/>
  <c r="Q25" i="14"/>
  <c r="P25" i="14" s="1"/>
  <c r="G59" i="14"/>
  <c r="Q31" i="14"/>
  <c r="V31" i="14" s="1"/>
  <c r="F105" i="14"/>
  <c r="E117" i="5" s="1"/>
  <c r="G84" i="14"/>
  <c r="Q36" i="14"/>
  <c r="S264" i="14" s="1"/>
  <c r="G79" i="14"/>
  <c r="Q35" i="14"/>
  <c r="S263" i="14" s="1"/>
  <c r="G64" i="14"/>
  <c r="Q32" i="14"/>
  <c r="V32" i="14" s="1"/>
  <c r="G49" i="14"/>
  <c r="Q29" i="14"/>
  <c r="V29" i="14" s="1"/>
  <c r="R57" i="14"/>
  <c r="V57" i="14"/>
  <c r="G74" i="14"/>
  <c r="Q34" i="14"/>
  <c r="R34" i="14" s="1"/>
  <c r="G44" i="14"/>
  <c r="Q28" i="14"/>
  <c r="S256" i="14" s="1"/>
  <c r="G34" i="14"/>
  <c r="Q26" i="14"/>
  <c r="V26" i="14" s="1"/>
  <c r="C142" i="16"/>
  <c r="C125" i="16"/>
  <c r="D124" i="5"/>
  <c r="F124" i="5" s="1"/>
  <c r="C119" i="16"/>
  <c r="C138" i="16"/>
  <c r="C128" i="16"/>
  <c r="C155" i="16"/>
  <c r="C206" i="16"/>
  <c r="C91" i="16"/>
  <c r="F120" i="14"/>
  <c r="E132" i="5" s="1"/>
  <c r="F96" i="14"/>
  <c r="E108" i="5" s="1"/>
  <c r="F122" i="14"/>
  <c r="E134" i="5" s="1"/>
  <c r="F133" i="14"/>
  <c r="E145" i="5" s="1"/>
  <c r="D113" i="5"/>
  <c r="C129" i="16"/>
  <c r="C118" i="16"/>
  <c r="C153" i="16"/>
  <c r="C144" i="16"/>
  <c r="C147" i="16"/>
  <c r="C117" i="16"/>
  <c r="C81" i="16"/>
  <c r="C106" i="16"/>
  <c r="F101" i="14"/>
  <c r="E113" i="5" s="1"/>
  <c r="F126" i="14"/>
  <c r="E138" i="5" s="1"/>
  <c r="F103" i="14"/>
  <c r="E115" i="5" s="1"/>
  <c r="F112" i="14"/>
  <c r="E124" i="5" s="1"/>
  <c r="F97" i="14"/>
  <c r="E109" i="5" s="1"/>
  <c r="F116" i="14"/>
  <c r="E128" i="5" s="1"/>
  <c r="F95" i="14"/>
  <c r="E107" i="5" s="1"/>
  <c r="D196" i="5"/>
  <c r="F196" i="5" s="1"/>
  <c r="D140" i="5"/>
  <c r="F140" i="5" s="1"/>
  <c r="D119" i="5"/>
  <c r="D129" i="5"/>
  <c r="F129" i="5" s="1"/>
  <c r="C148" i="16"/>
  <c r="D110" i="5"/>
  <c r="H110" i="5" s="1"/>
  <c r="D137" i="5"/>
  <c r="G137" i="5" s="1"/>
  <c r="D123" i="5"/>
  <c r="F123" i="5" s="1"/>
  <c r="C61" i="16"/>
  <c r="C111" i="16"/>
  <c r="C51" i="16"/>
  <c r="C101" i="16"/>
  <c r="C71" i="16"/>
  <c r="P24" i="14"/>
  <c r="G24" i="14"/>
  <c r="F108" i="14"/>
  <c r="E120" i="5" s="1"/>
  <c r="F128" i="14"/>
  <c r="E140" i="5" s="1"/>
  <c r="F107" i="14"/>
  <c r="E119" i="5" s="1"/>
  <c r="F113" i="14"/>
  <c r="E125" i="5" s="1"/>
  <c r="F102" i="14"/>
  <c r="E114" i="5" s="1"/>
  <c r="F117" i="14"/>
  <c r="E129" i="5" s="1"/>
  <c r="F131" i="14"/>
  <c r="E143" i="5" s="1"/>
  <c r="F123" i="14"/>
  <c r="E135" i="5" s="1"/>
  <c r="F130" i="14"/>
  <c r="E142" i="5" s="1"/>
  <c r="F98" i="14"/>
  <c r="E110" i="5" s="1"/>
  <c r="F106" i="14"/>
  <c r="E118" i="5" s="1"/>
  <c r="F125" i="14"/>
  <c r="E137" i="5" s="1"/>
  <c r="F111" i="14"/>
  <c r="E123" i="5" s="1"/>
  <c r="F115" i="14"/>
  <c r="E127" i="5" s="1"/>
  <c r="F126" i="5"/>
  <c r="H126" i="5"/>
  <c r="F201" i="5"/>
  <c r="H201" i="5"/>
  <c r="F146" i="5"/>
  <c r="H146" i="5"/>
  <c r="F98" i="5"/>
  <c r="H98" i="5"/>
  <c r="F44" i="5"/>
  <c r="H44" i="5"/>
  <c r="F164" i="5"/>
  <c r="H164" i="5"/>
  <c r="F90" i="5"/>
  <c r="H90" i="5"/>
  <c r="F74" i="5"/>
  <c r="H74" i="5"/>
  <c r="F49" i="5"/>
  <c r="H49" i="5"/>
  <c r="F183" i="5"/>
  <c r="H183" i="5"/>
  <c r="F155" i="5"/>
  <c r="H155" i="5"/>
  <c r="F69" i="5"/>
  <c r="H69" i="5"/>
  <c r="F62" i="5"/>
  <c r="H62" i="5"/>
  <c r="F47" i="5"/>
  <c r="H47" i="5"/>
  <c r="F185" i="5"/>
  <c r="H185" i="5"/>
  <c r="F153" i="5"/>
  <c r="H153" i="5"/>
  <c r="F101" i="5"/>
  <c r="H101" i="5"/>
  <c r="F116" i="5"/>
  <c r="H116" i="5"/>
  <c r="F131" i="5"/>
  <c r="H131" i="5"/>
  <c r="F166" i="5"/>
  <c r="H166" i="5"/>
  <c r="F211" i="5"/>
  <c r="H211" i="5"/>
  <c r="F106" i="5"/>
  <c r="H106" i="5"/>
  <c r="F161" i="5"/>
  <c r="H161" i="5"/>
  <c r="F198" i="5"/>
  <c r="H198" i="5"/>
  <c r="F78" i="5"/>
  <c r="H78" i="5"/>
  <c r="F79" i="5"/>
  <c r="H79" i="5"/>
  <c r="F188" i="5"/>
  <c r="H188" i="5"/>
  <c r="F88" i="5"/>
  <c r="H88" i="5"/>
  <c r="F197" i="5"/>
  <c r="H197" i="5"/>
  <c r="F102" i="5"/>
  <c r="H102" i="5"/>
  <c r="F55" i="5"/>
  <c r="H55" i="5"/>
  <c r="F64" i="5"/>
  <c r="H64" i="5"/>
  <c r="F40" i="5"/>
  <c r="H40" i="5"/>
  <c r="F178" i="5"/>
  <c r="H178" i="5"/>
  <c r="F170" i="5"/>
  <c r="H170" i="5"/>
  <c r="F158" i="5"/>
  <c r="H158" i="5"/>
  <c r="F150" i="5"/>
  <c r="H150" i="5"/>
  <c r="F199" i="5"/>
  <c r="H199" i="5"/>
  <c r="F191" i="5"/>
  <c r="H191" i="5"/>
  <c r="F76" i="5"/>
  <c r="H76" i="5"/>
  <c r="F100" i="5"/>
  <c r="H100" i="5"/>
  <c r="F72" i="5"/>
  <c r="H72" i="5"/>
  <c r="F152" i="5"/>
  <c r="H152" i="5"/>
  <c r="F103" i="5"/>
  <c r="H103" i="5"/>
  <c r="F75" i="5"/>
  <c r="H75" i="5"/>
  <c r="F53" i="5"/>
  <c r="H53" i="5"/>
  <c r="F163" i="5"/>
  <c r="H163" i="5"/>
  <c r="F165" i="5"/>
  <c r="H165" i="5"/>
  <c r="F156" i="5"/>
  <c r="H156" i="5"/>
  <c r="F171" i="5"/>
  <c r="H171" i="5"/>
  <c r="F121" i="5"/>
  <c r="H121" i="5"/>
  <c r="F111" i="5"/>
  <c r="H111" i="5"/>
  <c r="F46" i="5"/>
  <c r="H46" i="5"/>
  <c r="F93" i="5"/>
  <c r="H93" i="5"/>
  <c r="F73" i="5"/>
  <c r="H73" i="5"/>
  <c r="F105" i="5"/>
  <c r="H105" i="5"/>
  <c r="F70" i="5"/>
  <c r="H70" i="5"/>
  <c r="F57" i="5"/>
  <c r="H57" i="5"/>
  <c r="F45" i="5"/>
  <c r="H45" i="5"/>
  <c r="F48" i="5"/>
  <c r="H48" i="5"/>
  <c r="F182" i="5"/>
  <c r="H182" i="5"/>
  <c r="F174" i="5"/>
  <c r="H174" i="5"/>
  <c r="F162" i="5"/>
  <c r="H162" i="5"/>
  <c r="F154" i="5"/>
  <c r="H154" i="5"/>
  <c r="F95" i="5"/>
  <c r="H95" i="5"/>
  <c r="F176" i="5"/>
  <c r="H176" i="5"/>
  <c r="F96" i="5"/>
  <c r="H96" i="5"/>
  <c r="F206" i="5"/>
  <c r="H206" i="5"/>
  <c r="F83" i="5"/>
  <c r="H83" i="5"/>
  <c r="F63" i="5"/>
  <c r="H63" i="5"/>
  <c r="F184" i="5"/>
  <c r="H184" i="5"/>
  <c r="F172" i="5"/>
  <c r="H172" i="5"/>
  <c r="F82" i="5"/>
  <c r="H82" i="5"/>
  <c r="F65" i="5"/>
  <c r="H65" i="5"/>
  <c r="F42" i="5"/>
  <c r="H42" i="5"/>
  <c r="F175" i="5"/>
  <c r="H175" i="5"/>
  <c r="F77" i="5"/>
  <c r="H77" i="5"/>
  <c r="F54" i="5"/>
  <c r="H54" i="5"/>
  <c r="F173" i="5"/>
  <c r="H173" i="5"/>
  <c r="C69" i="7"/>
  <c r="F136" i="5"/>
  <c r="H136" i="5"/>
  <c r="F151" i="5"/>
  <c r="H151" i="5"/>
  <c r="F186" i="5"/>
  <c r="H186" i="5"/>
  <c r="F141" i="5"/>
  <c r="H141" i="5"/>
  <c r="F91" i="5"/>
  <c r="H91" i="5"/>
  <c r="F181" i="5"/>
  <c r="H181" i="5"/>
  <c r="F192" i="5"/>
  <c r="H192" i="5"/>
  <c r="F195" i="5"/>
  <c r="H195" i="5"/>
  <c r="F43" i="5"/>
  <c r="H43" i="5"/>
  <c r="F80" i="5"/>
  <c r="H80" i="5"/>
  <c r="F89" i="5"/>
  <c r="H89" i="5"/>
  <c r="F39" i="5"/>
  <c r="H39" i="5"/>
  <c r="F52" i="5"/>
  <c r="H52" i="5"/>
  <c r="F37" i="5"/>
  <c r="H37" i="5"/>
  <c r="F180" i="5"/>
  <c r="H180" i="5"/>
  <c r="F168" i="5"/>
  <c r="H168" i="5"/>
  <c r="F160" i="5"/>
  <c r="H160" i="5"/>
  <c r="F148" i="5"/>
  <c r="H148" i="5"/>
  <c r="F99" i="5"/>
  <c r="H99" i="5"/>
  <c r="F104" i="5"/>
  <c r="H104" i="5"/>
  <c r="F187" i="5"/>
  <c r="H187" i="5"/>
  <c r="F87" i="5"/>
  <c r="H87" i="5"/>
  <c r="F193" i="5"/>
  <c r="H193" i="5"/>
  <c r="F92" i="5"/>
  <c r="H92" i="5"/>
  <c r="F85" i="5"/>
  <c r="H85" i="5"/>
  <c r="F59" i="5"/>
  <c r="H59" i="5"/>
  <c r="F68" i="5"/>
  <c r="H68" i="5"/>
  <c r="F50" i="5"/>
  <c r="H50" i="5"/>
  <c r="F97" i="5"/>
  <c r="H97" i="5"/>
  <c r="F179" i="5"/>
  <c r="H179" i="5"/>
  <c r="F167" i="5"/>
  <c r="H167" i="5"/>
  <c r="F159" i="5"/>
  <c r="H159" i="5"/>
  <c r="F147" i="5"/>
  <c r="H147" i="5"/>
  <c r="F190" i="5"/>
  <c r="H190" i="5"/>
  <c r="F58" i="5"/>
  <c r="H58" i="5"/>
  <c r="F200" i="5"/>
  <c r="H200" i="5"/>
  <c r="F84" i="5"/>
  <c r="H84" i="5"/>
  <c r="F194" i="5"/>
  <c r="H194" i="5"/>
  <c r="F94" i="5"/>
  <c r="H94" i="5"/>
  <c r="F67" i="5"/>
  <c r="H67" i="5"/>
  <c r="F60" i="5"/>
  <c r="H60" i="5"/>
  <c r="F38" i="5"/>
  <c r="H38" i="5"/>
  <c r="F177" i="5"/>
  <c r="H177" i="5"/>
  <c r="F169" i="5"/>
  <c r="H169" i="5"/>
  <c r="F157" i="5"/>
  <c r="H157" i="5"/>
  <c r="F149" i="5"/>
  <c r="H149" i="5"/>
  <c r="C70" i="7"/>
  <c r="C68" i="7"/>
  <c r="R41" i="14"/>
  <c r="C66" i="7"/>
  <c r="R46" i="14"/>
  <c r="R39" i="14"/>
  <c r="C64" i="7"/>
  <c r="C71" i="7"/>
  <c r="C81" i="7"/>
  <c r="C77" i="7"/>
  <c r="P51" i="14"/>
  <c r="C75" i="7"/>
  <c r="P49" i="14"/>
  <c r="C76" i="7"/>
  <c r="P50" i="14"/>
  <c r="C79" i="7"/>
  <c r="P53" i="14"/>
  <c r="C74" i="7"/>
  <c r="P48" i="14"/>
  <c r="C80" i="7"/>
  <c r="P54" i="14"/>
  <c r="C78" i="7"/>
  <c r="P52" i="14"/>
  <c r="C73" i="7"/>
  <c r="P47" i="14"/>
  <c r="J67" i="5"/>
  <c r="I116" i="5"/>
  <c r="I131" i="5"/>
  <c r="I166" i="5"/>
  <c r="I211" i="5"/>
  <c r="I106" i="5"/>
  <c r="I161" i="5"/>
  <c r="I98" i="5"/>
  <c r="I83" i="5"/>
  <c r="I100" i="5"/>
  <c r="I63" i="5"/>
  <c r="I72" i="5"/>
  <c r="I44" i="5"/>
  <c r="I184" i="5"/>
  <c r="I172" i="5"/>
  <c r="I164" i="5"/>
  <c r="I152" i="5"/>
  <c r="I103" i="5"/>
  <c r="I90" i="5"/>
  <c r="I82" i="5"/>
  <c r="I74" i="5"/>
  <c r="I75" i="5"/>
  <c r="I65" i="5"/>
  <c r="I53" i="5"/>
  <c r="I49" i="5"/>
  <c r="I42" i="5"/>
  <c r="I183" i="5"/>
  <c r="I163" i="5"/>
  <c r="I155" i="5"/>
  <c r="I73" i="5"/>
  <c r="I105" i="5"/>
  <c r="I70" i="5"/>
  <c r="I57" i="5"/>
  <c r="I45" i="5"/>
  <c r="I48" i="5"/>
  <c r="I182" i="5"/>
  <c r="I174" i="5"/>
  <c r="I162" i="5"/>
  <c r="I154" i="5"/>
  <c r="I95" i="5"/>
  <c r="I69" i="5"/>
  <c r="I62" i="5"/>
  <c r="I77" i="5"/>
  <c r="I47" i="5"/>
  <c r="I54" i="5"/>
  <c r="I185" i="5"/>
  <c r="I173" i="5"/>
  <c r="I165" i="5"/>
  <c r="I153" i="5"/>
  <c r="I126" i="5"/>
  <c r="I191" i="5"/>
  <c r="I201" i="5"/>
  <c r="I146" i="5"/>
  <c r="I206" i="5"/>
  <c r="I156" i="5"/>
  <c r="I171" i="5"/>
  <c r="I121" i="5"/>
  <c r="I111" i="5"/>
  <c r="I93" i="5"/>
  <c r="I192" i="5"/>
  <c r="I195" i="5"/>
  <c r="I43" i="5"/>
  <c r="I80" i="5"/>
  <c r="I89" i="5"/>
  <c r="I39" i="5"/>
  <c r="I52" i="5"/>
  <c r="I37" i="5"/>
  <c r="I180" i="5"/>
  <c r="I168" i="5"/>
  <c r="I160" i="5"/>
  <c r="I148" i="5"/>
  <c r="I99" i="5"/>
  <c r="I104" i="5"/>
  <c r="I187" i="5"/>
  <c r="I87" i="5"/>
  <c r="I193" i="5"/>
  <c r="I92" i="5"/>
  <c r="I85" i="5"/>
  <c r="I59" i="5"/>
  <c r="I68" i="5"/>
  <c r="I50" i="5"/>
  <c r="I97" i="5"/>
  <c r="I179" i="5"/>
  <c r="I167" i="5"/>
  <c r="I159" i="5"/>
  <c r="I147" i="5"/>
  <c r="I198" i="5"/>
  <c r="I78" i="5"/>
  <c r="I79" i="5"/>
  <c r="I188" i="5"/>
  <c r="I88" i="5"/>
  <c r="I197" i="5"/>
  <c r="I102" i="5"/>
  <c r="I55" i="5"/>
  <c r="I64" i="5"/>
  <c r="I40" i="5"/>
  <c r="I178" i="5"/>
  <c r="I170" i="5"/>
  <c r="I158" i="5"/>
  <c r="I150" i="5"/>
  <c r="I199" i="5"/>
  <c r="I190" i="5"/>
  <c r="I58" i="5"/>
  <c r="I200" i="5"/>
  <c r="I84" i="5"/>
  <c r="I194" i="5"/>
  <c r="I94" i="5"/>
  <c r="I67" i="5"/>
  <c r="I60" i="5"/>
  <c r="I38" i="5"/>
  <c r="I177" i="5"/>
  <c r="I169" i="5"/>
  <c r="I157" i="5"/>
  <c r="I149" i="5"/>
  <c r="I136" i="5"/>
  <c r="I151" i="5"/>
  <c r="I186" i="5"/>
  <c r="I141" i="5"/>
  <c r="I181" i="5"/>
  <c r="H252" i="14"/>
  <c r="C24" i="14"/>
  <c r="C36" i="5" s="1"/>
  <c r="F24" i="14"/>
  <c r="E36" i="5" s="1"/>
  <c r="D36" i="5"/>
  <c r="C46" i="16"/>
  <c r="R49" i="14"/>
  <c r="B53" i="6"/>
  <c r="G50" i="6" s="1"/>
  <c r="G51" i="6" s="1"/>
  <c r="B43" i="6"/>
  <c r="G40" i="6" s="1"/>
  <c r="G41" i="6" s="1"/>
  <c r="J200" i="5"/>
  <c r="J102" i="5"/>
  <c r="J147" i="5"/>
  <c r="J93" i="5"/>
  <c r="J80" i="5"/>
  <c r="J97" i="5"/>
  <c r="J87" i="5"/>
  <c r="J151" i="5"/>
  <c r="J206" i="5"/>
  <c r="J211" i="5"/>
  <c r="J171" i="5"/>
  <c r="J155" i="5"/>
  <c r="J188" i="5"/>
  <c r="J146" i="5"/>
  <c r="J45" i="5"/>
  <c r="J184" i="5"/>
  <c r="J152" i="5"/>
  <c r="J136" i="5"/>
  <c r="P42" i="14"/>
  <c r="R52" i="14"/>
  <c r="P44" i="14"/>
  <c r="P40" i="14"/>
  <c r="R51" i="14"/>
  <c r="P43" i="14"/>
  <c r="P39" i="14"/>
  <c r="P45" i="14"/>
  <c r="R50" i="14"/>
  <c r="R53" i="14"/>
  <c r="R48" i="14"/>
  <c r="P41" i="14"/>
  <c r="P46" i="14"/>
  <c r="R47" i="14"/>
  <c r="R54" i="14"/>
  <c r="P38" i="14"/>
  <c r="J166" i="5"/>
  <c r="J176" i="5"/>
  <c r="B51" i="13"/>
  <c r="B53" i="13" s="1"/>
  <c r="B52" i="13"/>
  <c r="B54" i="13" s="1"/>
  <c r="J168" i="5"/>
  <c r="J37" i="5"/>
  <c r="J64" i="5"/>
  <c r="J84" i="5"/>
  <c r="J194" i="5"/>
  <c r="J157" i="5"/>
  <c r="J141" i="5"/>
  <c r="J158" i="5"/>
  <c r="J192" i="5"/>
  <c r="J52" i="5"/>
  <c r="J160" i="5"/>
  <c r="J193" i="5"/>
  <c r="J201" i="5"/>
  <c r="J68" i="5"/>
  <c r="J40" i="5"/>
  <c r="J199" i="5"/>
  <c r="J60" i="5"/>
  <c r="J170" i="5"/>
  <c r="J121" i="5"/>
  <c r="J190" i="5"/>
  <c r="J177" i="5"/>
  <c r="J78" i="5"/>
  <c r="J94" i="5"/>
  <c r="J89" i="5"/>
  <c r="J85" i="5"/>
  <c r="J167" i="5"/>
  <c r="J159" i="5"/>
  <c r="J44" i="5"/>
  <c r="C175" i="5"/>
  <c r="I175" i="5" s="1"/>
  <c r="J47" i="5"/>
  <c r="J161" i="5"/>
  <c r="J174" i="5"/>
  <c r="C176" i="5"/>
  <c r="I176" i="5" s="1"/>
  <c r="J183" i="5"/>
  <c r="J175" i="5"/>
  <c r="J173" i="5"/>
  <c r="J73" i="5"/>
  <c r="J57" i="5"/>
  <c r="J48" i="5"/>
  <c r="J98" i="5"/>
  <c r="J72" i="5"/>
  <c r="J65" i="5"/>
  <c r="J49" i="5"/>
  <c r="J69" i="5"/>
  <c r="J191" i="5"/>
  <c r="J63" i="5"/>
  <c r="J150" i="5"/>
  <c r="J104" i="5"/>
  <c r="J59" i="5"/>
  <c r="J50" i="5"/>
  <c r="J105" i="5"/>
  <c r="J154" i="5"/>
  <c r="J62" i="5"/>
  <c r="J77" i="5"/>
  <c r="J169" i="5"/>
  <c r="J43" i="5"/>
  <c r="J172" i="5"/>
  <c r="J156" i="5"/>
  <c r="J103" i="5"/>
  <c r="J99" i="5"/>
  <c r="J79" i="5"/>
  <c r="J55" i="5"/>
  <c r="J162" i="5"/>
  <c r="J90" i="5"/>
  <c r="J82" i="5"/>
  <c r="J95" i="5"/>
  <c r="J54" i="5"/>
  <c r="J38" i="5"/>
  <c r="J165" i="5"/>
  <c r="G189" i="5"/>
  <c r="J126" i="5"/>
  <c r="J195" i="5"/>
  <c r="J83" i="5"/>
  <c r="J100" i="5"/>
  <c r="J39" i="5"/>
  <c r="J180" i="5"/>
  <c r="J164" i="5"/>
  <c r="J148" i="5"/>
  <c r="J131" i="5"/>
  <c r="J198" i="5"/>
  <c r="J70" i="5"/>
  <c r="J182" i="5"/>
  <c r="J111" i="5"/>
  <c r="J187" i="5"/>
  <c r="J116" i="5"/>
  <c r="J74" i="5"/>
  <c r="J92" i="5"/>
  <c r="J75" i="5"/>
  <c r="J53" i="5"/>
  <c r="J42" i="5"/>
  <c r="J179" i="5"/>
  <c r="J163" i="5"/>
  <c r="J88" i="5"/>
  <c r="J178" i="5"/>
  <c r="J58" i="5"/>
  <c r="J106" i="5"/>
  <c r="J185" i="5"/>
  <c r="J181" i="5"/>
  <c r="J153" i="5"/>
  <c r="J149" i="5"/>
  <c r="J197" i="5"/>
  <c r="J186" i="5"/>
  <c r="G195" i="5"/>
  <c r="G83" i="5"/>
  <c r="G191" i="5"/>
  <c r="G63" i="5"/>
  <c r="G172" i="5"/>
  <c r="G156" i="5"/>
  <c r="G103" i="5"/>
  <c r="G99" i="5"/>
  <c r="G79" i="5"/>
  <c r="G55" i="5"/>
  <c r="G150" i="5"/>
  <c r="G90" i="5"/>
  <c r="G104" i="5"/>
  <c r="G74" i="5"/>
  <c r="G59" i="5"/>
  <c r="G50" i="5"/>
  <c r="G105" i="5"/>
  <c r="G178" i="5"/>
  <c r="G154" i="5"/>
  <c r="G95" i="5"/>
  <c r="G91" i="5"/>
  <c r="G77" i="5"/>
  <c r="G185" i="5"/>
  <c r="G169" i="5"/>
  <c r="G153" i="5"/>
  <c r="G192" i="5"/>
  <c r="G75" i="5"/>
  <c r="G65" i="5"/>
  <c r="G49" i="5"/>
  <c r="G183" i="5"/>
  <c r="G179" i="5"/>
  <c r="G175" i="5"/>
  <c r="G163" i="5"/>
  <c r="G159" i="5"/>
  <c r="G166" i="5"/>
  <c r="G106" i="5"/>
  <c r="G84" i="5"/>
  <c r="G94" i="5"/>
  <c r="G76" i="5"/>
  <c r="G173" i="5"/>
  <c r="G157" i="5"/>
  <c r="G45" i="5"/>
  <c r="G158" i="5"/>
  <c r="G80" i="5"/>
  <c r="G89" i="5"/>
  <c r="G44" i="5"/>
  <c r="G101" i="5"/>
  <c r="G176" i="5"/>
  <c r="G160" i="5"/>
  <c r="G96" i="5"/>
  <c r="G102" i="5"/>
  <c r="G170" i="5"/>
  <c r="G85" i="5"/>
  <c r="G68" i="5"/>
  <c r="G97" i="5"/>
  <c r="G167" i="5"/>
  <c r="G151" i="5"/>
  <c r="G78" i="5"/>
  <c r="G40" i="5"/>
  <c r="G190" i="5"/>
  <c r="G69" i="5"/>
  <c r="G194" i="5"/>
  <c r="G47" i="5"/>
  <c r="G46" i="5"/>
  <c r="G177" i="5"/>
  <c r="G161" i="5"/>
  <c r="G73" i="5"/>
  <c r="G174" i="5"/>
  <c r="G93" i="5"/>
  <c r="G187" i="5"/>
  <c r="G193" i="5"/>
  <c r="G201" i="5"/>
  <c r="G98" i="5"/>
  <c r="G43" i="5"/>
  <c r="G100" i="5"/>
  <c r="G39" i="5"/>
  <c r="G184" i="5"/>
  <c r="G180" i="5"/>
  <c r="G168" i="5"/>
  <c r="G164" i="5"/>
  <c r="G152" i="5"/>
  <c r="G148" i="5"/>
  <c r="G147" i="5"/>
  <c r="G198" i="5"/>
  <c r="G188" i="5"/>
  <c r="G70" i="5"/>
  <c r="G182" i="5"/>
  <c r="G162" i="5"/>
  <c r="G92" i="5"/>
  <c r="G53" i="5"/>
  <c r="G171" i="5"/>
  <c r="G155" i="5"/>
  <c r="G88" i="5"/>
  <c r="G64" i="5"/>
  <c r="G199" i="5"/>
  <c r="G58" i="5"/>
  <c r="G200" i="5"/>
  <c r="G60" i="5"/>
  <c r="G54" i="5"/>
  <c r="G38" i="5"/>
  <c r="G181" i="5"/>
  <c r="G165" i="5"/>
  <c r="G149" i="5"/>
  <c r="G48" i="5"/>
  <c r="G186" i="5"/>
  <c r="S273" i="14"/>
  <c r="S282" i="14"/>
  <c r="S277" i="14"/>
  <c r="S271" i="14"/>
  <c r="S280" i="14"/>
  <c r="S279" i="14"/>
  <c r="S272" i="14"/>
  <c r="S281" i="14"/>
  <c r="S269" i="14"/>
  <c r="S268" i="14"/>
  <c r="S283" i="14"/>
  <c r="S270" i="14"/>
  <c r="B204" i="14"/>
  <c r="D431" i="14"/>
  <c r="E203" i="14"/>
  <c r="S278" i="14"/>
  <c r="S275" i="14"/>
  <c r="S267" i="14"/>
  <c r="S266" i="14"/>
  <c r="E30" i="1"/>
  <c r="E31" i="1"/>
  <c r="S252" i="14"/>
  <c r="J114" i="5" l="1"/>
  <c r="J144" i="5"/>
  <c r="J107" i="5"/>
  <c r="K190" i="5"/>
  <c r="J142" i="5"/>
  <c r="J81" i="5"/>
  <c r="I81" i="5"/>
  <c r="H81" i="5"/>
  <c r="G81" i="5"/>
  <c r="F81" i="5"/>
  <c r="K82" i="5" s="1"/>
  <c r="F208" i="5"/>
  <c r="K209" i="5" s="1"/>
  <c r="H66" i="5"/>
  <c r="G67" i="5"/>
  <c r="F66" i="5"/>
  <c r="K66" i="5" s="1"/>
  <c r="G66" i="5"/>
  <c r="J66" i="5"/>
  <c r="G209" i="5"/>
  <c r="J204" i="5"/>
  <c r="G208" i="5"/>
  <c r="J209" i="5"/>
  <c r="I204" i="5"/>
  <c r="I209" i="5"/>
  <c r="H204" i="5"/>
  <c r="H128" i="5"/>
  <c r="H209" i="5"/>
  <c r="G207" i="5"/>
  <c r="H207" i="5"/>
  <c r="F207" i="5"/>
  <c r="K207" i="5" s="1"/>
  <c r="H143" i="5"/>
  <c r="J143" i="5"/>
  <c r="F144" i="5"/>
  <c r="K145" i="5" s="1"/>
  <c r="G87" i="5"/>
  <c r="H86" i="5"/>
  <c r="F86" i="5"/>
  <c r="K87" i="5" s="1"/>
  <c r="G143" i="5"/>
  <c r="J208" i="5"/>
  <c r="G122" i="5"/>
  <c r="H122" i="5"/>
  <c r="G72" i="5"/>
  <c r="I134" i="5"/>
  <c r="G71" i="5"/>
  <c r="J61" i="5"/>
  <c r="H61" i="5"/>
  <c r="G62" i="5"/>
  <c r="J71" i="5"/>
  <c r="F71" i="5"/>
  <c r="K72" i="5" s="1"/>
  <c r="I61" i="5"/>
  <c r="G61" i="5"/>
  <c r="I71" i="5"/>
  <c r="G142" i="5"/>
  <c r="F202" i="5"/>
  <c r="K202" i="5" s="1"/>
  <c r="H107" i="5"/>
  <c r="J128" i="5"/>
  <c r="H142" i="5"/>
  <c r="F142" i="5"/>
  <c r="K142" i="5" s="1"/>
  <c r="G134" i="5"/>
  <c r="H133" i="5"/>
  <c r="H134" i="5"/>
  <c r="J133" i="5"/>
  <c r="G108" i="5"/>
  <c r="H108" i="5"/>
  <c r="J108" i="5"/>
  <c r="J51" i="5"/>
  <c r="I133" i="5"/>
  <c r="G126" i="5"/>
  <c r="G107" i="5"/>
  <c r="H125" i="5"/>
  <c r="J125" i="5"/>
  <c r="G205" i="5"/>
  <c r="F127" i="5"/>
  <c r="K127" i="5" s="1"/>
  <c r="J145" i="5"/>
  <c r="G52" i="5"/>
  <c r="J134" i="5"/>
  <c r="I108" i="5"/>
  <c r="H205" i="5"/>
  <c r="I205" i="5"/>
  <c r="F205" i="5"/>
  <c r="K205" i="5" s="1"/>
  <c r="J205" i="5"/>
  <c r="I208" i="5"/>
  <c r="I86" i="5"/>
  <c r="J86" i="5"/>
  <c r="J139" i="5"/>
  <c r="G119" i="5"/>
  <c r="G118" i="5"/>
  <c r="F139" i="5"/>
  <c r="K140" i="5" s="1"/>
  <c r="J118" i="5"/>
  <c r="G41" i="5"/>
  <c r="J130" i="5"/>
  <c r="I41" i="5"/>
  <c r="H118" i="5"/>
  <c r="J41" i="5"/>
  <c r="G133" i="5"/>
  <c r="I51" i="5"/>
  <c r="J212" i="5"/>
  <c r="G132" i="5"/>
  <c r="J122" i="5"/>
  <c r="I142" i="5"/>
  <c r="I118" i="5"/>
  <c r="G56" i="5"/>
  <c r="F210" i="5"/>
  <c r="K211" i="5" s="1"/>
  <c r="F203" i="5"/>
  <c r="G210" i="5"/>
  <c r="G204" i="5"/>
  <c r="I210" i="5"/>
  <c r="J210" i="5"/>
  <c r="F138" i="5"/>
  <c r="G213" i="5"/>
  <c r="I203" i="5"/>
  <c r="I212" i="5"/>
  <c r="H51" i="5"/>
  <c r="J138" i="5"/>
  <c r="J214" i="5"/>
  <c r="H210" i="5"/>
  <c r="F51" i="5"/>
  <c r="K52" i="5" s="1"/>
  <c r="H212" i="5"/>
  <c r="G135" i="5"/>
  <c r="G139" i="5"/>
  <c r="I196" i="5"/>
  <c r="H213" i="5"/>
  <c r="F212" i="5"/>
  <c r="I138" i="5"/>
  <c r="G197" i="5"/>
  <c r="I132" i="5"/>
  <c r="H56" i="5"/>
  <c r="F213" i="5"/>
  <c r="I213" i="5"/>
  <c r="F56" i="5"/>
  <c r="K56" i="5" s="1"/>
  <c r="J213" i="5"/>
  <c r="I56" i="5"/>
  <c r="I114" i="5"/>
  <c r="H114" i="5"/>
  <c r="H112" i="5"/>
  <c r="J112" i="5"/>
  <c r="J56" i="5"/>
  <c r="G112" i="5"/>
  <c r="I107" i="5"/>
  <c r="J117" i="5"/>
  <c r="I120" i="5"/>
  <c r="H120" i="5"/>
  <c r="F119" i="5"/>
  <c r="H214" i="5"/>
  <c r="F120" i="5"/>
  <c r="K121" i="5" s="1"/>
  <c r="J120" i="5"/>
  <c r="I122" i="5"/>
  <c r="J203" i="5"/>
  <c r="I143" i="5"/>
  <c r="I128" i="5"/>
  <c r="H117" i="5"/>
  <c r="J132" i="5"/>
  <c r="G109" i="5"/>
  <c r="F109" i="5"/>
  <c r="K109" i="5" s="1"/>
  <c r="J109" i="5"/>
  <c r="G131" i="5"/>
  <c r="G110" i="5"/>
  <c r="I130" i="5"/>
  <c r="H130" i="5"/>
  <c r="I119" i="5"/>
  <c r="I115" i="5"/>
  <c r="H41" i="5"/>
  <c r="I139" i="5"/>
  <c r="G42" i="5"/>
  <c r="G115" i="5"/>
  <c r="I214" i="5"/>
  <c r="I112" i="5"/>
  <c r="K181" i="5"/>
  <c r="I109" i="5"/>
  <c r="G127" i="5"/>
  <c r="I145" i="5"/>
  <c r="I117" i="5"/>
  <c r="F137" i="5"/>
  <c r="K137" i="5" s="1"/>
  <c r="F115" i="5"/>
  <c r="K115" i="5" s="1"/>
  <c r="F214" i="5"/>
  <c r="F117" i="5"/>
  <c r="K118" i="5" s="1"/>
  <c r="G116" i="5"/>
  <c r="G117" i="5"/>
  <c r="G146" i="5"/>
  <c r="G128" i="5"/>
  <c r="G214" i="5"/>
  <c r="H145" i="5"/>
  <c r="J127" i="5"/>
  <c r="I113" i="5"/>
  <c r="I127" i="5"/>
  <c r="J115" i="5"/>
  <c r="I144" i="5"/>
  <c r="J110" i="5"/>
  <c r="J140" i="5"/>
  <c r="J124" i="5"/>
  <c r="G145" i="5"/>
  <c r="G144" i="5"/>
  <c r="G202" i="5"/>
  <c r="G203" i="5"/>
  <c r="G141" i="5"/>
  <c r="G111" i="5"/>
  <c r="I202" i="5"/>
  <c r="G140" i="5"/>
  <c r="J202" i="5"/>
  <c r="H135" i="5"/>
  <c r="D203" i="14"/>
  <c r="G203" i="14" s="1"/>
  <c r="I125" i="5"/>
  <c r="F132" i="5"/>
  <c r="K132" i="5" s="1"/>
  <c r="G136" i="5"/>
  <c r="G196" i="5"/>
  <c r="J135" i="5"/>
  <c r="J196" i="5"/>
  <c r="I135" i="5"/>
  <c r="H196" i="5"/>
  <c r="H140" i="5"/>
  <c r="S261" i="14"/>
  <c r="P28" i="14"/>
  <c r="F113" i="5"/>
  <c r="K114" i="5" s="1"/>
  <c r="R28" i="14"/>
  <c r="P36" i="14"/>
  <c r="P37" i="14"/>
  <c r="S253" i="14"/>
  <c r="P27" i="14"/>
  <c r="S259" i="14"/>
  <c r="R25" i="14"/>
  <c r="P33" i="14"/>
  <c r="R30" i="14"/>
  <c r="S255" i="14"/>
  <c r="S257" i="14"/>
  <c r="P30" i="14"/>
  <c r="R27" i="14"/>
  <c r="S262" i="14"/>
  <c r="S258" i="14"/>
  <c r="P34" i="14"/>
  <c r="P35" i="14"/>
  <c r="C56" i="7"/>
  <c r="C57" i="7"/>
  <c r="C52" i="7"/>
  <c r="V34" i="14"/>
  <c r="C60" i="7"/>
  <c r="V35" i="14"/>
  <c r="R35" i="14"/>
  <c r="R56" i="14"/>
  <c r="V56" i="14"/>
  <c r="P32" i="14"/>
  <c r="V28" i="14"/>
  <c r="C54" i="7"/>
  <c r="V36" i="14"/>
  <c r="C62" i="7"/>
  <c r="R36" i="14"/>
  <c r="V37" i="14"/>
  <c r="C63" i="7"/>
  <c r="R37" i="14"/>
  <c r="C53" i="7"/>
  <c r="C61" i="7"/>
  <c r="V25" i="14"/>
  <c r="C51" i="7"/>
  <c r="C50" i="7"/>
  <c r="V24" i="14"/>
  <c r="R26" i="14"/>
  <c r="S260" i="14"/>
  <c r="I137" i="5"/>
  <c r="H137" i="5"/>
  <c r="H119" i="5"/>
  <c r="J137" i="5"/>
  <c r="G138" i="5"/>
  <c r="G120" i="5"/>
  <c r="P26" i="14"/>
  <c r="S254" i="14"/>
  <c r="J119" i="5"/>
  <c r="G114" i="5"/>
  <c r="G130" i="5"/>
  <c r="G124" i="5"/>
  <c r="G123" i="5"/>
  <c r="J123" i="5"/>
  <c r="J113" i="5"/>
  <c r="H113" i="5"/>
  <c r="I123" i="5"/>
  <c r="I129" i="5"/>
  <c r="H123" i="5"/>
  <c r="H129" i="5"/>
  <c r="H124" i="5"/>
  <c r="R32" i="14"/>
  <c r="C58" i="7"/>
  <c r="G125" i="5"/>
  <c r="G113" i="5"/>
  <c r="G129" i="5"/>
  <c r="J129" i="5"/>
  <c r="I124" i="5"/>
  <c r="K46" i="5"/>
  <c r="R24" i="14"/>
  <c r="F110" i="5"/>
  <c r="C55" i="7"/>
  <c r="P29" i="14"/>
  <c r="R29" i="14"/>
  <c r="C59" i="7"/>
  <c r="R33" i="14"/>
  <c r="R31" i="14"/>
  <c r="I110" i="5"/>
  <c r="I140" i="5"/>
  <c r="P56" i="14"/>
  <c r="P31" i="14"/>
  <c r="H36" i="5"/>
  <c r="F36" i="5"/>
  <c r="K100" i="5"/>
  <c r="K96" i="5"/>
  <c r="K141" i="5"/>
  <c r="G37" i="5"/>
  <c r="I36" i="5"/>
  <c r="K193" i="5"/>
  <c r="K157" i="5"/>
  <c r="K64" i="5"/>
  <c r="J36" i="5"/>
  <c r="K179" i="5"/>
  <c r="K84" i="5"/>
  <c r="K186" i="5"/>
  <c r="K180" i="5"/>
  <c r="K80" i="5"/>
  <c r="K155" i="5"/>
  <c r="K174" i="5"/>
  <c r="K151" i="5"/>
  <c r="K192" i="5"/>
  <c r="K92" i="5"/>
  <c r="K196" i="5"/>
  <c r="K48" i="5"/>
  <c r="K160" i="5"/>
  <c r="K162" i="5"/>
  <c r="K85" i="5"/>
  <c r="K170" i="5"/>
  <c r="K60" i="5"/>
  <c r="K73" i="5"/>
  <c r="K78" i="5"/>
  <c r="K97" i="5"/>
  <c r="K108" i="5"/>
  <c r="K164" i="5"/>
  <c r="K152" i="5"/>
  <c r="K131" i="5"/>
  <c r="K104" i="5"/>
  <c r="K161" i="5"/>
  <c r="K58" i="5"/>
  <c r="K122" i="5"/>
  <c r="K130" i="5"/>
  <c r="K125" i="5"/>
  <c r="K184" i="5"/>
  <c r="K168" i="5"/>
  <c r="B55" i="13"/>
  <c r="B57" i="13" s="1"/>
  <c r="B58" i="13" s="1"/>
  <c r="K38" i="5"/>
  <c r="K70" i="5"/>
  <c r="K177" i="5"/>
  <c r="K167" i="5"/>
  <c r="K106" i="5"/>
  <c r="K75" i="5"/>
  <c r="K146" i="5"/>
  <c r="K197" i="5"/>
  <c r="K98" i="5"/>
  <c r="K173" i="5"/>
  <c r="K42" i="5"/>
  <c r="K171" i="5"/>
  <c r="K200" i="5"/>
  <c r="K165" i="5"/>
  <c r="K54" i="5"/>
  <c r="K149" i="5"/>
  <c r="K176" i="5"/>
  <c r="K199" i="5"/>
  <c r="K124" i="5"/>
  <c r="K76" i="5"/>
  <c r="K53" i="5"/>
  <c r="K102" i="5"/>
  <c r="K188" i="5"/>
  <c r="K39" i="5"/>
  <c r="K43" i="5"/>
  <c r="K159" i="5"/>
  <c r="K183" i="5"/>
  <c r="K77" i="5"/>
  <c r="K178" i="5"/>
  <c r="K129" i="5"/>
  <c r="K79" i="5"/>
  <c r="K63" i="5"/>
  <c r="K147" i="5"/>
  <c r="K126" i="5"/>
  <c r="K187" i="5"/>
  <c r="K40" i="5"/>
  <c r="K68" i="5"/>
  <c r="K44" i="5"/>
  <c r="K61" i="5"/>
  <c r="K123" i="5"/>
  <c r="K65" i="5"/>
  <c r="K185" i="5"/>
  <c r="K90" i="5"/>
  <c r="K41" i="5"/>
  <c r="K55" i="5"/>
  <c r="K99" i="5"/>
  <c r="K103" i="5"/>
  <c r="K172" i="5"/>
  <c r="K134" i="5"/>
  <c r="K135" i="5"/>
  <c r="K182" i="5"/>
  <c r="K198" i="5"/>
  <c r="K148" i="5"/>
  <c r="K201" i="5"/>
  <c r="K93" i="5"/>
  <c r="K163" i="5"/>
  <c r="K175" i="5"/>
  <c r="K49" i="5"/>
  <c r="K107" i="5"/>
  <c r="K169" i="5"/>
  <c r="K154" i="5"/>
  <c r="K50" i="5"/>
  <c r="K59" i="5"/>
  <c r="K150" i="5"/>
  <c r="K156" i="5"/>
  <c r="K191" i="5"/>
  <c r="K83" i="5"/>
  <c r="K195" i="5"/>
  <c r="K189" i="5"/>
  <c r="K88" i="5"/>
  <c r="K136" i="5"/>
  <c r="K47" i="5"/>
  <c r="K194" i="5"/>
  <c r="K69" i="5"/>
  <c r="K101" i="5"/>
  <c r="K89" i="5"/>
  <c r="K158" i="5"/>
  <c r="K45" i="5"/>
  <c r="K94" i="5"/>
  <c r="K166" i="5"/>
  <c r="K112" i="5"/>
  <c r="K153" i="5"/>
  <c r="K62" i="5"/>
  <c r="K91" i="5"/>
  <c r="K95" i="5"/>
  <c r="K105" i="5"/>
  <c r="K74" i="5"/>
  <c r="B205" i="14"/>
  <c r="D432" i="14"/>
  <c r="E204" i="14"/>
  <c r="D204" i="14" s="1"/>
  <c r="B62" i="1"/>
  <c r="E62" i="1" s="1"/>
  <c r="E36" i="1"/>
  <c r="S274" i="14"/>
  <c r="S276" i="14"/>
  <c r="K37" i="5" l="1"/>
  <c r="K81" i="5"/>
  <c r="K67" i="5"/>
  <c r="K208" i="5"/>
  <c r="K144" i="5"/>
  <c r="K71" i="5"/>
  <c r="K86" i="5"/>
  <c r="K143" i="5"/>
  <c r="K210" i="5"/>
  <c r="K128" i="5"/>
  <c r="K203" i="5"/>
  <c r="K214" i="5"/>
  <c r="K120" i="5"/>
  <c r="K119" i="5"/>
  <c r="K206" i="5"/>
  <c r="K204" i="5"/>
  <c r="K57" i="5"/>
  <c r="K110" i="5"/>
  <c r="K139" i="5"/>
  <c r="K213" i="5"/>
  <c r="K133" i="5"/>
  <c r="K51" i="5"/>
  <c r="K138" i="5"/>
  <c r="K212" i="5"/>
  <c r="H431" i="14"/>
  <c r="F203" i="14"/>
  <c r="E215" i="5" s="1"/>
  <c r="K116" i="5"/>
  <c r="K117" i="5"/>
  <c r="C203" i="14"/>
  <c r="C215" i="5" s="1"/>
  <c r="K111" i="5"/>
  <c r="K113" i="5"/>
  <c r="D215" i="5"/>
  <c r="F215" i="5" s="1"/>
  <c r="K215" i="5" s="1"/>
  <c r="Q60" i="14"/>
  <c r="G204" i="14"/>
  <c r="C225" i="16"/>
  <c r="C82" i="7"/>
  <c r="C226" i="16"/>
  <c r="D216" i="5"/>
  <c r="F204" i="14"/>
  <c r="E216" i="5" s="1"/>
  <c r="C204" i="14"/>
  <c r="C216" i="5" s="1"/>
  <c r="H432" i="14"/>
  <c r="B206" i="14"/>
  <c r="D433" i="14"/>
  <c r="E205" i="14"/>
  <c r="D205" i="14" s="1"/>
  <c r="G205" i="14" s="1"/>
  <c r="I215" i="5" l="1"/>
  <c r="J215" i="5"/>
  <c r="H215" i="5"/>
  <c r="G215" i="5"/>
  <c r="C227" i="16"/>
  <c r="R60" i="14"/>
  <c r="V60" i="14"/>
  <c r="F216" i="5"/>
  <c r="K216" i="5" s="1"/>
  <c r="H216" i="5"/>
  <c r="I216" i="5"/>
  <c r="D217" i="5"/>
  <c r="J216" i="5"/>
  <c r="G216" i="5"/>
  <c r="C205" i="14"/>
  <c r="C217" i="5" s="1"/>
  <c r="F205" i="14"/>
  <c r="E217" i="5" s="1"/>
  <c r="H433" i="14"/>
  <c r="S284" i="14"/>
  <c r="B207" i="14"/>
  <c r="D434" i="14"/>
  <c r="E206" i="14"/>
  <c r="D206" i="14" l="1"/>
  <c r="G206" i="14" s="1"/>
  <c r="F217" i="5"/>
  <c r="K217" i="5" s="1"/>
  <c r="H217" i="5"/>
  <c r="I217" i="5"/>
  <c r="J217" i="5"/>
  <c r="G217" i="5"/>
  <c r="B208" i="14"/>
  <c r="D435" i="14"/>
  <c r="E207" i="14"/>
  <c r="H434" i="14" l="1"/>
  <c r="F206" i="14"/>
  <c r="E218" i="5" s="1"/>
  <c r="D207" i="14"/>
  <c r="G207" i="14" s="1"/>
  <c r="C206" i="14"/>
  <c r="C218" i="5" s="1"/>
  <c r="D218" i="5"/>
  <c r="F218" i="5" s="1"/>
  <c r="K218" i="5" s="1"/>
  <c r="C228" i="16"/>
  <c r="B209" i="14"/>
  <c r="D436" i="14"/>
  <c r="E208" i="14"/>
  <c r="G218" i="5" l="1"/>
  <c r="H218" i="5"/>
  <c r="I218" i="5"/>
  <c r="J218" i="5"/>
  <c r="F207" i="14"/>
  <c r="E219" i="5" s="1"/>
  <c r="C207" i="14"/>
  <c r="C219" i="5" s="1"/>
  <c r="D208" i="14"/>
  <c r="G208" i="14" s="1"/>
  <c r="H435" i="14"/>
  <c r="D219" i="5"/>
  <c r="F219" i="5" s="1"/>
  <c r="K219" i="5" s="1"/>
  <c r="C229" i="16"/>
  <c r="P57" i="14"/>
  <c r="B210" i="14"/>
  <c r="D437" i="14"/>
  <c r="E209" i="14"/>
  <c r="D209" i="14" s="1"/>
  <c r="Q61" i="14" s="1"/>
  <c r="R61" i="14" s="1"/>
  <c r="H436" i="14" l="1"/>
  <c r="D220" i="5"/>
  <c r="F220" i="5" s="1"/>
  <c r="K220" i="5" s="1"/>
  <c r="G219" i="5"/>
  <c r="I219" i="5"/>
  <c r="F208" i="14"/>
  <c r="E220" i="5" s="1"/>
  <c r="H219" i="5"/>
  <c r="J219" i="5"/>
  <c r="V61" i="14"/>
  <c r="C208" i="14"/>
  <c r="C220" i="5" s="1"/>
  <c r="G209" i="14"/>
  <c r="C230" i="16"/>
  <c r="C83" i="7"/>
  <c r="C231" i="16"/>
  <c r="D221" i="5"/>
  <c r="F209" i="14"/>
  <c r="E221" i="5" s="1"/>
  <c r="C209" i="14"/>
  <c r="C221" i="5" s="1"/>
  <c r="H437" i="14"/>
  <c r="B211" i="14"/>
  <c r="D438" i="14"/>
  <c r="E210" i="14"/>
  <c r="G220" i="5" l="1"/>
  <c r="H220" i="5"/>
  <c r="I220" i="5"/>
  <c r="J220" i="5"/>
  <c r="D210" i="14"/>
  <c r="G210" i="14" s="1"/>
  <c r="F221" i="5"/>
  <c r="K221" i="5" s="1"/>
  <c r="H221" i="5"/>
  <c r="I221" i="5"/>
  <c r="J221" i="5"/>
  <c r="G221" i="5"/>
  <c r="S285" i="14"/>
  <c r="B212" i="14"/>
  <c r="D439" i="14"/>
  <c r="E211" i="14"/>
  <c r="H438" i="14" l="1"/>
  <c r="D211" i="14"/>
  <c r="G211" i="14" s="1"/>
  <c r="D222" i="5"/>
  <c r="F222" i="5" s="1"/>
  <c r="K222" i="5" s="1"/>
  <c r="C210" i="14"/>
  <c r="C222" i="5" s="1"/>
  <c r="F210" i="14"/>
  <c r="E222" i="5" s="1"/>
  <c r="C232" i="16"/>
  <c r="B213" i="14"/>
  <c r="D440" i="14"/>
  <c r="E212" i="14"/>
  <c r="I222" i="5" l="1"/>
  <c r="G222" i="5"/>
  <c r="J222" i="5"/>
  <c r="C211" i="14"/>
  <c r="C223" i="5" s="1"/>
  <c r="F211" i="14"/>
  <c r="E223" i="5" s="1"/>
  <c r="H222" i="5"/>
  <c r="H439" i="14"/>
  <c r="D223" i="5"/>
  <c r="F223" i="5" s="1"/>
  <c r="K223" i="5" s="1"/>
  <c r="D212" i="14"/>
  <c r="G212" i="14" s="1"/>
  <c r="C233" i="16"/>
  <c r="B214" i="14"/>
  <c r="D441" i="14"/>
  <c r="E213" i="14"/>
  <c r="J223" i="5" l="1"/>
  <c r="I223" i="5"/>
  <c r="H223" i="5"/>
  <c r="G223" i="5"/>
  <c r="C212" i="14"/>
  <c r="C224" i="5" s="1"/>
  <c r="D213" i="14"/>
  <c r="G213" i="14" s="1"/>
  <c r="F212" i="14"/>
  <c r="E224" i="5" s="1"/>
  <c r="H440" i="14"/>
  <c r="D224" i="5"/>
  <c r="F224" i="5" s="1"/>
  <c r="K224" i="5" s="1"/>
  <c r="C234" i="16"/>
  <c r="B215" i="14"/>
  <c r="D443" i="14" s="1"/>
  <c r="E214" i="14"/>
  <c r="D442" i="14"/>
  <c r="B216" i="14" l="1"/>
  <c r="E215" i="14"/>
  <c r="D214" i="14"/>
  <c r="Q62" i="14" s="1"/>
  <c r="F213" i="14"/>
  <c r="E225" i="5" s="1"/>
  <c r="I224" i="5"/>
  <c r="H224" i="5"/>
  <c r="J224" i="5"/>
  <c r="D215" i="14"/>
  <c r="G215" i="14" s="1"/>
  <c r="G224" i="5"/>
  <c r="C213" i="14"/>
  <c r="C225" i="5" s="1"/>
  <c r="H441" i="14"/>
  <c r="D225" i="5"/>
  <c r="G225" i="5" s="1"/>
  <c r="C235" i="16"/>
  <c r="D444" i="14"/>
  <c r="E216" i="14"/>
  <c r="B217" i="14"/>
  <c r="D226" i="5" l="1"/>
  <c r="F226" i="5" s="1"/>
  <c r="C214" i="14"/>
  <c r="C226" i="5" s="1"/>
  <c r="C236" i="16"/>
  <c r="H442" i="14"/>
  <c r="G214" i="14"/>
  <c r="R62" i="14"/>
  <c r="V62" i="14"/>
  <c r="F214" i="14"/>
  <c r="E226" i="5" s="1"/>
  <c r="I225" i="5"/>
  <c r="H225" i="5"/>
  <c r="J225" i="5"/>
  <c r="C237" i="16"/>
  <c r="C215" i="14"/>
  <c r="C227" i="5" s="1"/>
  <c r="F215" i="14"/>
  <c r="E227" i="5" s="1"/>
  <c r="H443" i="14"/>
  <c r="F225" i="5"/>
  <c r="K225" i="5" s="1"/>
  <c r="D227" i="5"/>
  <c r="D216" i="14"/>
  <c r="G216" i="14" s="1"/>
  <c r="S286" i="14"/>
  <c r="P58" i="14"/>
  <c r="C84" i="7"/>
  <c r="D445" i="14"/>
  <c r="E217" i="14"/>
  <c r="D217" i="14" s="1"/>
  <c r="G217" i="14" s="1"/>
  <c r="B218" i="14"/>
  <c r="G226" i="5"/>
  <c r="J226" i="5" l="1"/>
  <c r="G227" i="5"/>
  <c r="I226" i="5"/>
  <c r="H227" i="5"/>
  <c r="H226" i="5"/>
  <c r="F227" i="5"/>
  <c r="K227" i="5" s="1"/>
  <c r="I227" i="5"/>
  <c r="K226" i="5"/>
  <c r="J227" i="5"/>
  <c r="F216" i="14"/>
  <c r="E228" i="5" s="1"/>
  <c r="D228" i="5"/>
  <c r="F228" i="5" s="1"/>
  <c r="C216" i="14"/>
  <c r="C228" i="5" s="1"/>
  <c r="C239" i="16"/>
  <c r="H444" i="14"/>
  <c r="C238" i="16"/>
  <c r="D229" i="5"/>
  <c r="H445" i="14"/>
  <c r="D446" i="14"/>
  <c r="E218" i="14"/>
  <c r="B219" i="14"/>
  <c r="F217" i="14"/>
  <c r="E229" i="5" s="1"/>
  <c r="C217" i="14"/>
  <c r="C229" i="5" s="1"/>
  <c r="K228" i="5" l="1"/>
  <c r="J228" i="5"/>
  <c r="G228" i="5"/>
  <c r="I228" i="5"/>
  <c r="H228" i="5"/>
  <c r="D218" i="14"/>
  <c r="G218" i="14" s="1"/>
  <c r="P59" i="14"/>
  <c r="F229" i="5"/>
  <c r="K229" i="5" s="1"/>
  <c r="H229" i="5"/>
  <c r="J229" i="5"/>
  <c r="I229" i="5"/>
  <c r="G229" i="5"/>
  <c r="D447" i="14"/>
  <c r="B220" i="14"/>
  <c r="E219" i="14"/>
  <c r="F218" i="14" l="1"/>
  <c r="E230" i="5" s="1"/>
  <c r="D230" i="5"/>
  <c r="F230" i="5" s="1"/>
  <c r="K230" i="5" s="1"/>
  <c r="H446" i="14"/>
  <c r="C218" i="14"/>
  <c r="C230" i="5" s="1"/>
  <c r="C240" i="16"/>
  <c r="D219" i="14"/>
  <c r="F219" i="14" s="1"/>
  <c r="E231" i="5" s="1"/>
  <c r="C85" i="7"/>
  <c r="S287" i="14"/>
  <c r="D448" i="14"/>
  <c r="E220" i="14"/>
  <c r="B221" i="14"/>
  <c r="G51" i="13"/>
  <c r="G53" i="13" s="1"/>
  <c r="G230" i="5" l="1"/>
  <c r="H230" i="5"/>
  <c r="D231" i="5"/>
  <c r="J231" i="5" s="1"/>
  <c r="C219" i="14"/>
  <c r="C231" i="5" s="1"/>
  <c r="I230" i="5"/>
  <c r="J230" i="5"/>
  <c r="Q63" i="14"/>
  <c r="G219" i="14"/>
  <c r="H447" i="14"/>
  <c r="C241" i="16"/>
  <c r="D220" i="14"/>
  <c r="G220" i="14" s="1"/>
  <c r="D449" i="14"/>
  <c r="E221" i="14"/>
  <c r="B222" i="14"/>
  <c r="G55" i="13"/>
  <c r="G57" i="13" s="1"/>
  <c r="G58" i="13" s="1"/>
  <c r="F231" i="5" l="1"/>
  <c r="K231" i="5" s="1"/>
  <c r="I231" i="5"/>
  <c r="G231" i="5"/>
  <c r="H231" i="5"/>
  <c r="F220" i="14"/>
  <c r="E232" i="5" s="1"/>
  <c r="D232" i="5"/>
  <c r="F232" i="5" s="1"/>
  <c r="C242" i="16"/>
  <c r="H448" i="14"/>
  <c r="C220" i="14"/>
  <c r="C232" i="5" s="1"/>
  <c r="V63" i="14"/>
  <c r="R63" i="14"/>
  <c r="D221" i="14"/>
  <c r="G221" i="14" s="1"/>
  <c r="D450" i="14"/>
  <c r="B223" i="14"/>
  <c r="E222" i="14"/>
  <c r="K232" i="5" l="1"/>
  <c r="H232" i="5"/>
  <c r="I232" i="5"/>
  <c r="D233" i="5"/>
  <c r="F233" i="5" s="1"/>
  <c r="K233" i="5" s="1"/>
  <c r="H449" i="14"/>
  <c r="F221" i="14"/>
  <c r="E233" i="5" s="1"/>
  <c r="J232" i="5"/>
  <c r="C221" i="14"/>
  <c r="C233" i="5" s="1"/>
  <c r="C243" i="16"/>
  <c r="G232" i="5"/>
  <c r="D222" i="14"/>
  <c r="G222" i="14" s="1"/>
  <c r="D451" i="14"/>
  <c r="B224" i="14"/>
  <c r="E223" i="14"/>
  <c r="D234" i="5" l="1"/>
  <c r="H234" i="5" s="1"/>
  <c r="G233" i="5"/>
  <c r="J233" i="5"/>
  <c r="C222" i="14"/>
  <c r="C234" i="5" s="1"/>
  <c r="I233" i="5"/>
  <c r="H233" i="5"/>
  <c r="D223" i="14"/>
  <c r="G223" i="14" s="1"/>
  <c r="F222" i="14"/>
  <c r="E234" i="5" s="1"/>
  <c r="H450" i="14"/>
  <c r="C244" i="16"/>
  <c r="P60" i="14"/>
  <c r="D452" i="14"/>
  <c r="E224" i="14"/>
  <c r="B225" i="14"/>
  <c r="G234" i="5" l="1"/>
  <c r="F234" i="5"/>
  <c r="K234" i="5" s="1"/>
  <c r="I234" i="5"/>
  <c r="J234" i="5"/>
  <c r="D224" i="14"/>
  <c r="C86" i="7"/>
  <c r="S288" i="14"/>
  <c r="D235" i="5"/>
  <c r="C245" i="16"/>
  <c r="C223" i="14"/>
  <c r="C235" i="5" s="1"/>
  <c r="H451" i="14"/>
  <c r="F223" i="14"/>
  <c r="E235" i="5" s="1"/>
  <c r="D453" i="14"/>
  <c r="B226" i="14"/>
  <c r="E225" i="14"/>
  <c r="J235" i="5" l="1"/>
  <c r="Q64" i="14"/>
  <c r="P64" i="14" s="1"/>
  <c r="G224" i="14"/>
  <c r="D225" i="14"/>
  <c r="G225" i="14" s="1"/>
  <c r="F235" i="5"/>
  <c r="K235" i="5" s="1"/>
  <c r="H235" i="5"/>
  <c r="G235" i="5"/>
  <c r="I235" i="5"/>
  <c r="H452" i="14"/>
  <c r="C246" i="16"/>
  <c r="F224" i="14"/>
  <c r="E236" i="5" s="1"/>
  <c r="C224" i="14"/>
  <c r="C236" i="5" s="1"/>
  <c r="D236" i="5"/>
  <c r="D454" i="14"/>
  <c r="B227" i="14"/>
  <c r="E226" i="14"/>
  <c r="V64" i="14" l="1"/>
  <c r="R64" i="14"/>
  <c r="D226" i="14"/>
  <c r="G226" i="14" s="1"/>
  <c r="F236" i="5"/>
  <c r="K236" i="5" s="1"/>
  <c r="H236" i="5"/>
  <c r="C90" i="7"/>
  <c r="D237" i="5"/>
  <c r="G237" i="5" s="1"/>
  <c r="C247" i="16"/>
  <c r="H453" i="14"/>
  <c r="I236" i="5"/>
  <c r="F225" i="14"/>
  <c r="E237" i="5" s="1"/>
  <c r="C225" i="14"/>
  <c r="C237" i="5" s="1"/>
  <c r="J236" i="5"/>
  <c r="S292" i="14"/>
  <c r="G236" i="5"/>
  <c r="D455" i="14"/>
  <c r="E227" i="14"/>
  <c r="B228" i="14"/>
  <c r="C248" i="16" l="1"/>
  <c r="D227" i="14"/>
  <c r="G227" i="14" s="1"/>
  <c r="J237" i="5"/>
  <c r="I237" i="5"/>
  <c r="F237" i="5"/>
  <c r="K237" i="5" s="1"/>
  <c r="H237" i="5"/>
  <c r="F226" i="14"/>
  <c r="E238" i="5" s="1"/>
  <c r="C226" i="14"/>
  <c r="C238" i="5" s="1"/>
  <c r="H454" i="14"/>
  <c r="D238" i="5"/>
  <c r="D456" i="14"/>
  <c r="B229" i="14"/>
  <c r="E228" i="14"/>
  <c r="D228" i="14" l="1"/>
  <c r="G228" i="14" s="1"/>
  <c r="P61" i="14"/>
  <c r="J238" i="5"/>
  <c r="F238" i="5"/>
  <c r="K238" i="5" s="1"/>
  <c r="H238" i="5"/>
  <c r="H455" i="14"/>
  <c r="C249" i="16"/>
  <c r="F227" i="14"/>
  <c r="E239" i="5" s="1"/>
  <c r="D239" i="5"/>
  <c r="C227" i="14"/>
  <c r="C239" i="5" s="1"/>
  <c r="G238" i="5"/>
  <c r="I238" i="5"/>
  <c r="D457" i="14"/>
  <c r="E229" i="14"/>
  <c r="B230" i="14"/>
  <c r="C250" i="16" l="1"/>
  <c r="D229" i="14"/>
  <c r="C87" i="7"/>
  <c r="S289" i="14"/>
  <c r="F239" i="5"/>
  <c r="K239" i="5" s="1"/>
  <c r="H239" i="5"/>
  <c r="J239" i="5"/>
  <c r="G239" i="5"/>
  <c r="I239" i="5"/>
  <c r="H456" i="14"/>
  <c r="D240" i="5"/>
  <c r="G240" i="5" s="1"/>
  <c r="C228" i="14"/>
  <c r="C240" i="5" s="1"/>
  <c r="F228" i="14"/>
  <c r="E240" i="5" s="1"/>
  <c r="D458" i="14"/>
  <c r="B231" i="14"/>
  <c r="E230" i="14"/>
  <c r="Q65" i="14" l="1"/>
  <c r="G229" i="14"/>
  <c r="D230" i="14"/>
  <c r="G230" i="14" s="1"/>
  <c r="F240" i="5"/>
  <c r="K240" i="5" s="1"/>
  <c r="H240" i="5"/>
  <c r="D241" i="5"/>
  <c r="C251" i="16"/>
  <c r="J240" i="5"/>
  <c r="I240" i="5"/>
  <c r="H457" i="14"/>
  <c r="C229" i="14"/>
  <c r="C241" i="5" s="1"/>
  <c r="F229" i="14"/>
  <c r="E241" i="5" s="1"/>
  <c r="D459" i="14"/>
  <c r="B232" i="14"/>
  <c r="E231" i="14"/>
  <c r="D231" i="14" l="1"/>
  <c r="G231" i="14" s="1"/>
  <c r="C252" i="16"/>
  <c r="V65" i="14"/>
  <c r="R65" i="14"/>
  <c r="C91" i="7"/>
  <c r="P65" i="14"/>
  <c r="F241" i="5"/>
  <c r="K241" i="5" s="1"/>
  <c r="H241" i="5"/>
  <c r="G241" i="5"/>
  <c r="I241" i="5"/>
  <c r="J241" i="5"/>
  <c r="S293" i="14"/>
  <c r="C230" i="14"/>
  <c r="C242" i="5" s="1"/>
  <c r="F230" i="14"/>
  <c r="E242" i="5" s="1"/>
  <c r="D242" i="5"/>
  <c r="H458" i="14"/>
  <c r="D460" i="14"/>
  <c r="B233" i="14"/>
  <c r="E232" i="14"/>
  <c r="D232" i="14" l="1"/>
  <c r="G232" i="14" s="1"/>
  <c r="F242" i="5"/>
  <c r="K242" i="5" s="1"/>
  <c r="H242" i="5"/>
  <c r="H459" i="14"/>
  <c r="C253" i="16"/>
  <c r="G242" i="5"/>
  <c r="J242" i="5"/>
  <c r="I242" i="5"/>
  <c r="F231" i="14"/>
  <c r="E243" i="5" s="1"/>
  <c r="C231" i="14"/>
  <c r="C243" i="5" s="1"/>
  <c r="D243" i="5"/>
  <c r="D461" i="14"/>
  <c r="E233" i="14"/>
  <c r="B234" i="14"/>
  <c r="D233" i="14" l="1"/>
  <c r="G233" i="14" s="1"/>
  <c r="P62" i="14"/>
  <c r="F243" i="5"/>
  <c r="K243" i="5" s="1"/>
  <c r="H243" i="5"/>
  <c r="H460" i="14"/>
  <c r="C254" i="16"/>
  <c r="C232" i="14"/>
  <c r="C244" i="5" s="1"/>
  <c r="D244" i="5"/>
  <c r="F232" i="14"/>
  <c r="E244" i="5" s="1"/>
  <c r="G243" i="5"/>
  <c r="I243" i="5"/>
  <c r="J243" i="5"/>
  <c r="D462" i="14"/>
  <c r="E234" i="14"/>
  <c r="D234" i="14" l="1"/>
  <c r="C88" i="7"/>
  <c r="S290" i="14"/>
  <c r="F244" i="5"/>
  <c r="K244" i="5" s="1"/>
  <c r="H244" i="5"/>
  <c r="D245" i="5"/>
  <c r="C255" i="16"/>
  <c r="G244" i="5"/>
  <c r="H461" i="14"/>
  <c r="I244" i="5"/>
  <c r="C233" i="14"/>
  <c r="C245" i="5" s="1"/>
  <c r="F233" i="14"/>
  <c r="E245" i="5" s="1"/>
  <c r="J244" i="5"/>
  <c r="Q66" i="14" l="1"/>
  <c r="G234" i="14"/>
  <c r="G235" i="14"/>
  <c r="J245" i="5"/>
  <c r="F245" i="5"/>
  <c r="K245" i="5" s="1"/>
  <c r="H245" i="5"/>
  <c r="I245" i="5"/>
  <c r="G245" i="5"/>
  <c r="D246" i="5"/>
  <c r="C256" i="16"/>
  <c r="C234" i="14"/>
  <c r="C246" i="5" s="1"/>
  <c r="H462" i="14"/>
  <c r="F234" i="14"/>
  <c r="E246" i="5" s="1"/>
  <c r="G236" i="14" l="1"/>
  <c r="R66" i="14"/>
  <c r="V66" i="14"/>
  <c r="C92" i="7"/>
  <c r="P66" i="14"/>
  <c r="G246" i="5"/>
  <c r="F246" i="5"/>
  <c r="K246" i="5" s="1"/>
  <c r="H246" i="5"/>
  <c r="I246" i="5"/>
  <c r="J246" i="5"/>
  <c r="S294" i="14"/>
  <c r="G237" i="14" l="1"/>
  <c r="G238" i="14" l="1"/>
  <c r="P63" i="14"/>
  <c r="C89" i="7" l="1"/>
  <c r="S291" i="14"/>
  <c r="B54" i="1"/>
  <c r="B56" i="1" s="1"/>
  <c r="G239" i="14" l="1"/>
  <c r="B53" i="1"/>
  <c r="B37" i="16" a="1"/>
  <c r="B37" i="16" s="1"/>
  <c r="B36" i="16" s="1" a="1"/>
  <c r="B36" i="16" s="1"/>
  <c r="V67" i="14" l="1"/>
  <c r="C32" i="1"/>
  <c r="E32" i="1" s="1"/>
  <c r="E37" i="1" s="1"/>
  <c r="B42" i="1" s="1"/>
  <c r="D88" i="1" s="1"/>
  <c r="B55" i="1"/>
  <c r="B57" i="1" s="1"/>
  <c r="E57" i="1" s="1"/>
  <c r="B43" i="7"/>
  <c r="B40" i="16" a="1"/>
  <c r="B40" i="16" s="1"/>
  <c r="B39" i="16" s="1"/>
  <c r="B41" i="7" l="1"/>
  <c r="B40" i="7"/>
  <c r="B44" i="7"/>
  <c r="B41" i="1"/>
  <c r="D87" i="1" s="1"/>
  <c r="B42" i="16"/>
  <c r="B46" i="7" l="1"/>
  <c r="B40" i="1"/>
  <c r="D86" i="1" s="1"/>
  <c r="D48" i="1" l="1"/>
  <c r="I40" i="3" l="1" a="1"/>
  <c r="J40" i="3" s="1"/>
  <c r="C95" i="3" s="1"/>
  <c r="C137" i="3" s="1"/>
  <c r="K40" i="3" l="1"/>
  <c r="C94" i="3" s="1"/>
  <c r="C136" i="3" s="1"/>
  <c r="M40" i="3"/>
  <c r="C92" i="3" s="1"/>
  <c r="C134" i="3" s="1"/>
  <c r="L40" i="3"/>
  <c r="C93" i="3" s="1"/>
  <c r="C135" i="3" s="1"/>
  <c r="I40" i="3"/>
  <c r="C96" i="3" s="1"/>
  <c r="C99" i="3" l="1"/>
  <c r="C138" i="3"/>
  <c r="K34" i="14"/>
  <c r="L34" i="14" s="1"/>
  <c r="K111" i="14"/>
  <c r="L111" i="14" s="1"/>
  <c r="K200" i="14"/>
  <c r="L200" i="14" s="1"/>
  <c r="K59" i="14"/>
  <c r="L59" i="14" s="1"/>
  <c r="K178" i="14"/>
  <c r="L178" i="14" s="1"/>
  <c r="K162" i="14"/>
  <c r="L162" i="14" s="1"/>
  <c r="K83" i="14"/>
  <c r="L83" i="14" s="1"/>
  <c r="K94" i="14"/>
  <c r="L94" i="14" s="1"/>
  <c r="K205" i="14"/>
  <c r="L205" i="14" s="1"/>
  <c r="K208" i="14"/>
  <c r="L208" i="14" s="1"/>
  <c r="K49" i="14"/>
  <c r="L49" i="14" s="1"/>
  <c r="K233" i="14"/>
  <c r="L233" i="14" s="1"/>
  <c r="K89" i="14"/>
  <c r="L89" i="14" s="1"/>
  <c r="K157" i="14"/>
  <c r="L157" i="14" s="1"/>
  <c r="K28" i="14"/>
  <c r="L28" i="14" s="1"/>
  <c r="K75" i="14"/>
  <c r="L75" i="14" s="1"/>
  <c r="K179" i="14"/>
  <c r="L179" i="14" s="1"/>
  <c r="K95" i="14"/>
  <c r="L95" i="14" s="1"/>
  <c r="K93" i="14"/>
  <c r="L93" i="14" s="1"/>
  <c r="K113" i="14"/>
  <c r="L113" i="14" s="1"/>
  <c r="K220" i="14"/>
  <c r="L220" i="14" s="1"/>
  <c r="K108" i="14"/>
  <c r="L108" i="14" s="1"/>
  <c r="K25" i="14"/>
  <c r="L25" i="14" s="1"/>
  <c r="K61" i="14"/>
  <c r="L61" i="14" s="1"/>
  <c r="K138" i="14"/>
  <c r="L138" i="14" s="1"/>
  <c r="K136" i="14"/>
  <c r="L136" i="14" s="1"/>
  <c r="K161" i="14"/>
  <c r="L161" i="14" s="1"/>
  <c r="K30" i="14"/>
  <c r="L30" i="14" s="1"/>
  <c r="K185" i="14"/>
  <c r="L185" i="14" s="1"/>
  <c r="K150" i="14"/>
  <c r="L150" i="14" s="1"/>
  <c r="K190" i="14"/>
  <c r="L190" i="14" s="1"/>
  <c r="K76" i="14"/>
  <c r="L76" i="14" s="1"/>
  <c r="K175" i="14"/>
  <c r="L175" i="14" s="1"/>
  <c r="K189" i="14"/>
  <c r="L189" i="14" s="1"/>
  <c r="K115" i="14"/>
  <c r="L115" i="14" s="1"/>
  <c r="K172" i="14"/>
  <c r="L172" i="14" s="1"/>
  <c r="K235" i="14"/>
  <c r="L235" i="14" s="1"/>
  <c r="K229" i="14"/>
  <c r="L229" i="14" s="1"/>
  <c r="K47" i="14"/>
  <c r="L47" i="14" s="1"/>
  <c r="K213" i="14"/>
  <c r="L213" i="14" s="1"/>
  <c r="K117" i="14"/>
  <c r="L117" i="14" s="1"/>
  <c r="K188" i="14"/>
  <c r="L188" i="14" s="1"/>
  <c r="K146" i="14"/>
  <c r="L146" i="14" s="1"/>
  <c r="K103" i="14"/>
  <c r="L103" i="14" s="1"/>
  <c r="K106" i="14"/>
  <c r="L106" i="14" s="1"/>
  <c r="K60" i="14"/>
  <c r="L60" i="14" s="1"/>
  <c r="K96" i="14"/>
  <c r="L96" i="14" s="1"/>
  <c r="K44" i="14"/>
  <c r="L44" i="14" s="1"/>
  <c r="K87" i="14"/>
  <c r="L87" i="14" s="1"/>
  <c r="K52" i="14"/>
  <c r="L52" i="14" s="1"/>
  <c r="K167" i="14"/>
  <c r="L167" i="14" s="1"/>
  <c r="K51" i="14"/>
  <c r="L51" i="14" s="1"/>
  <c r="K234" i="14"/>
  <c r="L234" i="14" s="1"/>
  <c r="K145" i="14"/>
  <c r="L145" i="14" s="1"/>
  <c r="K169" i="14"/>
  <c r="L169" i="14" s="1"/>
  <c r="K140" i="14"/>
  <c r="L140" i="14" s="1"/>
  <c r="K57" i="14"/>
  <c r="L57" i="14" s="1"/>
  <c r="K100" i="14"/>
  <c r="L100" i="14" s="1"/>
  <c r="K29" i="14"/>
  <c r="L29" i="14" s="1"/>
  <c r="K197" i="14"/>
  <c r="L197" i="14" s="1"/>
  <c r="K236" i="14"/>
  <c r="L236" i="14" s="1"/>
  <c r="K153" i="14"/>
  <c r="L153" i="14" s="1"/>
  <c r="K74" i="14"/>
  <c r="L74" i="14" s="1"/>
  <c r="K135" i="14"/>
  <c r="L135" i="14" s="1"/>
  <c r="K82" i="14"/>
  <c r="L82" i="14" s="1"/>
  <c r="K101" i="14"/>
  <c r="L101" i="14" s="1"/>
  <c r="K192" i="14"/>
  <c r="L192" i="14" s="1"/>
  <c r="K48" i="14"/>
  <c r="L48" i="14" s="1"/>
  <c r="K122" i="14"/>
  <c r="L122" i="14" s="1"/>
  <c r="K54" i="14"/>
  <c r="L54" i="14" s="1"/>
  <c r="K27" i="14"/>
  <c r="L27" i="14" s="1"/>
  <c r="K218" i="14"/>
  <c r="L218" i="14" s="1"/>
  <c r="K152" i="14"/>
  <c r="L152" i="14" s="1"/>
  <c r="K98" i="14"/>
  <c r="L98" i="14" s="1"/>
  <c r="K130" i="14"/>
  <c r="L130" i="14" s="1"/>
  <c r="K129" i="14"/>
  <c r="L129" i="14" s="1"/>
  <c r="K67" i="14"/>
  <c r="L67" i="14" s="1"/>
  <c r="K45" i="14"/>
  <c r="L45" i="14" s="1"/>
  <c r="K237" i="14"/>
  <c r="L237" i="14" s="1"/>
  <c r="K227" i="14"/>
  <c r="L227" i="14" s="1"/>
  <c r="K102" i="14"/>
  <c r="L102" i="14" s="1"/>
  <c r="K198" i="14"/>
  <c r="L198" i="14" s="1"/>
  <c r="K36" i="14"/>
  <c r="L36" i="14" s="1"/>
  <c r="K204" i="14"/>
  <c r="L204" i="14" s="1"/>
  <c r="K104" i="14"/>
  <c r="L104" i="14" s="1"/>
  <c r="K215" i="14"/>
  <c r="L215" i="14" s="1"/>
  <c r="K50" i="14"/>
  <c r="L50" i="14" s="1"/>
  <c r="K99" i="14"/>
  <c r="L99" i="14" s="1"/>
  <c r="K139" i="14"/>
  <c r="L139" i="14" s="1"/>
  <c r="K183" i="14"/>
  <c r="L183" i="14" s="1"/>
  <c r="K37" i="14"/>
  <c r="L37" i="14" s="1"/>
  <c r="K41" i="14"/>
  <c r="L41" i="14" s="1"/>
  <c r="K132" i="14"/>
  <c r="L132" i="14" s="1"/>
  <c r="K64" i="14"/>
  <c r="L64" i="14" s="1"/>
  <c r="K107" i="14"/>
  <c r="L107" i="14" s="1"/>
  <c r="K39" i="14"/>
  <c r="L39" i="14" s="1"/>
  <c r="K119" i="14"/>
  <c r="L119" i="14" s="1"/>
  <c r="K97" i="14"/>
  <c r="L97" i="14" s="1"/>
  <c r="K163" i="14"/>
  <c r="L163" i="14" s="1"/>
  <c r="K141" i="14"/>
  <c r="L141" i="14" s="1"/>
  <c r="K80" i="14"/>
  <c r="L80" i="14" s="1"/>
  <c r="K40" i="14"/>
  <c r="L40" i="14" s="1"/>
  <c r="K26" i="14"/>
  <c r="L26" i="14" s="1"/>
  <c r="K223" i="14"/>
  <c r="L223" i="14" s="1"/>
  <c r="K181" i="14"/>
  <c r="L181" i="14" s="1"/>
  <c r="K81" i="14"/>
  <c r="L81" i="14" s="1"/>
  <c r="K46" i="14"/>
  <c r="L46" i="14" s="1"/>
  <c r="K123" i="14"/>
  <c r="L123" i="14" s="1"/>
  <c r="K170" i="14"/>
  <c r="L170" i="14" s="1"/>
  <c r="K137" i="14"/>
  <c r="L137" i="14" s="1"/>
  <c r="K180" i="14"/>
  <c r="L180" i="14" s="1"/>
  <c r="K124" i="14"/>
  <c r="L124" i="14" s="1"/>
  <c r="K194" i="14"/>
  <c r="L194" i="14" s="1"/>
  <c r="K86" i="14"/>
  <c r="L86" i="14" s="1"/>
  <c r="K182" i="14"/>
  <c r="L182" i="14" s="1"/>
  <c r="K226" i="14"/>
  <c r="L226" i="14" s="1"/>
  <c r="K78" i="14"/>
  <c r="L78" i="14" s="1"/>
  <c r="K187" i="14"/>
  <c r="L187" i="14" s="1"/>
  <c r="K53" i="14"/>
  <c r="L53" i="14" s="1"/>
  <c r="K56" i="14"/>
  <c r="L56" i="14" s="1"/>
  <c r="K154" i="14"/>
  <c r="L154" i="14" s="1"/>
  <c r="K186" i="14"/>
  <c r="L186" i="14" s="1"/>
  <c r="K72" i="14"/>
  <c r="L72" i="14" s="1"/>
  <c r="K121" i="14"/>
  <c r="L121" i="14" s="1"/>
  <c r="K219" i="14"/>
  <c r="L219" i="14" s="1"/>
  <c r="K184" i="14"/>
  <c r="L184" i="14" s="1"/>
  <c r="K191" i="14"/>
  <c r="L191" i="14" s="1"/>
  <c r="K125" i="14"/>
  <c r="L125" i="14" s="1"/>
  <c r="K142" i="14"/>
  <c r="L142" i="14" s="1"/>
  <c r="K70" i="14"/>
  <c r="L70" i="14" s="1"/>
  <c r="K176" i="14"/>
  <c r="L176" i="14" s="1"/>
  <c r="K201" i="14"/>
  <c r="L201" i="14" s="1"/>
  <c r="K221" i="14"/>
  <c r="L221" i="14" s="1"/>
  <c r="K112" i="14"/>
  <c r="L112" i="14" s="1"/>
  <c r="K207" i="14"/>
  <c r="L207" i="14" s="1"/>
  <c r="K164" i="14"/>
  <c r="L164" i="14" s="1"/>
  <c r="K58" i="14"/>
  <c r="L58" i="14" s="1"/>
  <c r="K32" i="14"/>
  <c r="L32" i="14" s="1"/>
  <c r="K85" i="14"/>
  <c r="L85" i="14" s="1"/>
  <c r="K231" i="14"/>
  <c r="L231" i="14" s="1"/>
  <c r="K55" i="14"/>
  <c r="L55" i="14" s="1"/>
  <c r="K232" i="14"/>
  <c r="L232" i="14" s="1"/>
  <c r="K118" i="14"/>
  <c r="L118" i="14" s="1"/>
  <c r="K24" i="14"/>
  <c r="L24" i="14" s="1"/>
  <c r="K155" i="14"/>
  <c r="L155" i="14" s="1"/>
  <c r="K239" i="14"/>
  <c r="L239" i="14" s="1"/>
  <c r="K217" i="14"/>
  <c r="L217" i="14" s="1"/>
  <c r="K156" i="14"/>
  <c r="L156" i="14" s="1"/>
  <c r="K42" i="14"/>
  <c r="L42" i="14" s="1"/>
  <c r="K171" i="14"/>
  <c r="L171" i="14" s="1"/>
  <c r="K147" i="14"/>
  <c r="L147" i="14" s="1"/>
  <c r="K73" i="14"/>
  <c r="L73" i="14" s="1"/>
  <c r="K62" i="14"/>
  <c r="L62" i="14" s="1"/>
  <c r="K158" i="14"/>
  <c r="L158" i="14" s="1"/>
  <c r="K71" i="14"/>
  <c r="L71" i="14" s="1"/>
  <c r="K79" i="14"/>
  <c r="L79" i="14" s="1"/>
  <c r="K199" i="14"/>
  <c r="L199" i="14" s="1"/>
  <c r="K168" i="14"/>
  <c r="L168" i="14" s="1"/>
  <c r="K216" i="14"/>
  <c r="L216" i="14" s="1"/>
  <c r="K128" i="14"/>
  <c r="L128" i="14" s="1"/>
  <c r="K196" i="14"/>
  <c r="L196" i="14" s="1"/>
  <c r="K126" i="14"/>
  <c r="L126" i="14" s="1"/>
  <c r="K66" i="14"/>
  <c r="L66" i="14" s="1"/>
  <c r="K35" i="14"/>
  <c r="L35" i="14" s="1"/>
  <c r="K206" i="14"/>
  <c r="L206" i="14" s="1"/>
  <c r="K88" i="14"/>
  <c r="L88" i="14" s="1"/>
  <c r="K69" i="14"/>
  <c r="L69" i="14" s="1"/>
  <c r="K214" i="14"/>
  <c r="L214" i="14" s="1"/>
  <c r="K114" i="14"/>
  <c r="L114" i="14" s="1"/>
  <c r="K65" i="14"/>
  <c r="L65" i="14" s="1"/>
  <c r="K203" i="14"/>
  <c r="L203" i="14" s="1"/>
  <c r="K151" i="14"/>
  <c r="L151" i="14" s="1"/>
  <c r="K159" i="14"/>
  <c r="L159" i="14" s="1"/>
  <c r="K134" i="14"/>
  <c r="L134" i="14" s="1"/>
  <c r="K105" i="14"/>
  <c r="L105" i="14" s="1"/>
  <c r="K212" i="14"/>
  <c r="L212" i="14" s="1"/>
  <c r="K193" i="14"/>
  <c r="L193" i="14" s="1"/>
  <c r="K84" i="14"/>
  <c r="L84" i="14" s="1"/>
  <c r="K110" i="14"/>
  <c r="L110" i="14" s="1"/>
  <c r="K109" i="14"/>
  <c r="L109" i="14" s="1"/>
  <c r="K165" i="14"/>
  <c r="L165" i="14" s="1"/>
  <c r="K224" i="14"/>
  <c r="L224" i="14" s="1"/>
  <c r="K210" i="14"/>
  <c r="L210" i="14" s="1"/>
  <c r="K38" i="14"/>
  <c r="L38" i="14" s="1"/>
  <c r="K116" i="14"/>
  <c r="L116" i="14" s="1"/>
  <c r="K149" i="14"/>
  <c r="L149" i="14" s="1"/>
  <c r="K222" i="14"/>
  <c r="L222" i="14" s="1"/>
  <c r="K177" i="14"/>
  <c r="L177" i="14" s="1"/>
  <c r="K160" i="14"/>
  <c r="L160" i="14" s="1"/>
  <c r="K209" i="14"/>
  <c r="L209" i="14" s="1"/>
  <c r="K68" i="14"/>
  <c r="L68" i="14" s="1"/>
  <c r="K144" i="14"/>
  <c r="L144" i="14" s="1"/>
  <c r="K211" i="14"/>
  <c r="L211" i="14" s="1"/>
  <c r="K63" i="14"/>
  <c r="L63" i="14" s="1"/>
  <c r="K120" i="14"/>
  <c r="L120" i="14" s="1"/>
  <c r="K143" i="14"/>
  <c r="L143" i="14" s="1"/>
  <c r="K77" i="14"/>
  <c r="L77" i="14" s="1"/>
  <c r="K43" i="14"/>
  <c r="L43" i="14" s="1"/>
  <c r="K92" i="14"/>
  <c r="L92" i="14" s="1"/>
  <c r="K31" i="14"/>
  <c r="L31" i="14" s="1"/>
  <c r="K238" i="14"/>
  <c r="L238" i="14" s="1"/>
  <c r="K127" i="14"/>
  <c r="L127" i="14" s="1"/>
  <c r="K225" i="14"/>
  <c r="L225" i="14" s="1"/>
  <c r="K174" i="14"/>
  <c r="L174" i="14" s="1"/>
  <c r="K228" i="14"/>
  <c r="L228" i="14" s="1"/>
  <c r="K90" i="14"/>
  <c r="L90" i="14" s="1"/>
  <c r="K133" i="14"/>
  <c r="L133" i="14" s="1"/>
  <c r="K148" i="14"/>
  <c r="L148" i="14" s="1"/>
  <c r="K202" i="14"/>
  <c r="L202" i="14" s="1"/>
  <c r="K173" i="14"/>
  <c r="L173" i="14" s="1"/>
  <c r="K91" i="14"/>
  <c r="L91" i="14" s="1"/>
  <c r="K166" i="14"/>
  <c r="L166" i="14" s="1"/>
  <c r="K230" i="14"/>
  <c r="L230" i="14" s="1"/>
  <c r="K195" i="14"/>
  <c r="L195" i="14" s="1"/>
  <c r="K33" i="14"/>
  <c r="L33" i="14" s="1"/>
  <c r="K131" i="14"/>
  <c r="L131" i="14" s="1"/>
  <c r="C100" i="3" l="1"/>
  <c r="C101" i="3"/>
  <c r="B34" i="20" l="1" a="1"/>
  <c r="B34" i="20" s="1"/>
  <c r="C75" i="20" s="1"/>
  <c r="C114" i="20" l="1"/>
  <c r="C34" i="20"/>
  <c r="D34" i="20"/>
  <c r="F34" i="20"/>
  <c r="E34" i="20"/>
  <c r="C72" i="20" l="1"/>
  <c r="C111" i="20" s="1"/>
  <c r="C71" i="20"/>
  <c r="C110" i="20" s="1"/>
  <c r="C73" i="20"/>
  <c r="C112" i="20" s="1"/>
  <c r="C74" i="20"/>
  <c r="C78" i="20" l="1"/>
  <c r="C80" i="20" s="1"/>
  <c r="C113" i="20"/>
  <c r="C79" i="20" l="1"/>
</calcChain>
</file>

<file path=xl/sharedStrings.xml><?xml version="1.0" encoding="utf-8"?>
<sst xmlns="http://schemas.openxmlformats.org/spreadsheetml/2006/main" count="2352" uniqueCount="704">
  <si>
    <t>Texas Instruments</t>
  </si>
  <si>
    <t>Ohms</t>
  </si>
  <si>
    <t>Vdc</t>
  </si>
  <si>
    <t>Voltage at -40</t>
  </si>
  <si>
    <t>Resistance</t>
  </si>
  <si>
    <t>Temp K</t>
  </si>
  <si>
    <t>pre-calcs</t>
  </si>
  <si>
    <t>Low</t>
  </si>
  <si>
    <t>Mid</t>
  </si>
  <si>
    <t>High</t>
  </si>
  <si>
    <t>Coefficients</t>
  </si>
  <si>
    <t>A=</t>
  </si>
  <si>
    <t>B=</t>
  </si>
  <si>
    <t>C=</t>
  </si>
  <si>
    <t>Volts</t>
  </si>
  <si>
    <t>ADC bits</t>
  </si>
  <si>
    <t>bits</t>
  </si>
  <si>
    <t>Volts per bit</t>
  </si>
  <si>
    <t>VDC</t>
  </si>
  <si>
    <t>Delta VDC</t>
  </si>
  <si>
    <t>resistance at -40</t>
  </si>
  <si>
    <t>resistance at -39</t>
  </si>
  <si>
    <t>Voltage at -39</t>
  </si>
  <si>
    <t>Delta V at -40</t>
  </si>
  <si>
    <t>Lowest temp</t>
  </si>
  <si>
    <t>lowest resistance</t>
  </si>
  <si>
    <t>Highest temp</t>
  </si>
  <si>
    <t>Highest resistance</t>
  </si>
  <si>
    <t>{</t>
  </si>
  <si>
    <t>// run the Steinhart/Hart equation</t>
  </si>
  <si>
    <t>return Temp - 273.15;</t>
  </si>
  <si>
    <t>}</t>
  </si>
  <si>
    <t>Temperature</t>
  </si>
  <si>
    <t>Temperature as a function of resistance</t>
  </si>
  <si>
    <t>Resolution per bit</t>
  </si>
  <si>
    <t>VREF of ADC</t>
  </si>
  <si>
    <t>V</t>
  </si>
  <si>
    <t>Bits of resolution</t>
  </si>
  <si>
    <t>ADC (bits)</t>
  </si>
  <si>
    <t>ADC_raw</t>
  </si>
  <si>
    <t>Divider Voltage</t>
  </si>
  <si>
    <t xml:space="preserve">bits </t>
  </si>
  <si>
    <t>ADC</t>
  </si>
  <si>
    <t>Input bias voltage to resistors</t>
  </si>
  <si>
    <t xml:space="preserve">Ohms </t>
  </si>
  <si>
    <t>Y2</t>
  </si>
  <si>
    <t>X2</t>
  </si>
  <si>
    <t>Y1</t>
  </si>
  <si>
    <t>X1</t>
  </si>
  <si>
    <t>X = actual Resistance</t>
  </si>
  <si>
    <t>Y = Temperature</t>
  </si>
  <si>
    <t>X = Resistance</t>
  </si>
  <si>
    <t>Second Temperature (Y2)</t>
  </si>
  <si>
    <t>Second Resistance (X2)</t>
  </si>
  <si>
    <t>First Temperature (Y1)</t>
  </si>
  <si>
    <t>First Resistance (X1)</t>
  </si>
  <si>
    <t>Temp</t>
  </si>
  <si>
    <t>Quartic Function</t>
  </si>
  <si>
    <t>Regression</t>
  </si>
  <si>
    <t>MIN</t>
  </si>
  <si>
    <t>TYP</t>
  </si>
  <si>
    <t>MAX</t>
  </si>
  <si>
    <t>R-Low</t>
  </si>
  <si>
    <t>R-Center</t>
  </si>
  <si>
    <t>R-High</t>
  </si>
  <si>
    <t>R/div</t>
  </si>
  <si>
    <t>Version Number</t>
  </si>
  <si>
    <t>Version History</t>
  </si>
  <si>
    <t>Version</t>
  </si>
  <si>
    <t>Change List Description</t>
  </si>
  <si>
    <t>Temperature (°C)</t>
  </si>
  <si>
    <t>Return to Menu</t>
  </si>
  <si>
    <t/>
  </si>
  <si>
    <t>COEFFICENT</t>
  </si>
  <si>
    <t>X0</t>
  </si>
  <si>
    <t>X3</t>
  </si>
  <si>
    <t>X4</t>
  </si>
  <si>
    <t>A0</t>
  </si>
  <si>
    <t>A1</t>
  </si>
  <si>
    <t>A2</t>
  </si>
  <si>
    <t>A3</t>
  </si>
  <si>
    <t>A4</t>
  </si>
  <si>
    <t>4th Order Polynomial</t>
  </si>
  <si>
    <t>Calculate Temperature from Resistance</t>
  </si>
  <si>
    <t>Line #</t>
  </si>
  <si>
    <t>MFG:</t>
  </si>
  <si>
    <t>Resistance as a function of temperature</t>
  </si>
  <si>
    <t>// Steinhart/Hart thermal equations to calculate temperature of the thermistor--------------------------------------------------------------</t>
  </si>
  <si>
    <t>//temperature Coefficients for the thermistor</t>
  </si>
  <si>
    <t>// Convert Kelvin to Celsius and return the temperature</t>
  </si>
  <si>
    <t>ADC measured voltage</t>
  </si>
  <si>
    <t>Calculated resistance from the 4th order polynomials above</t>
  </si>
  <si>
    <t>4th order polynomial</t>
  </si>
  <si>
    <t>Calculated temperature (Y)</t>
  </si>
  <si>
    <t>Lookup table</t>
  </si>
  <si>
    <t>Helpful formula worksheets</t>
  </si>
  <si>
    <t>// send the ADC bit value to the calculation function</t>
  </si>
  <si>
    <t>// 4th order polynomial equations to calculate the temperature of the thermistor--------------------------------------------------------------</t>
  </si>
  <si>
    <t>// set the value of the top resistor</t>
  </si>
  <si>
    <t>// set the VBIAS voltage</t>
  </si>
  <si>
    <t>// set the number of bits based on you ADC</t>
  </si>
  <si>
    <t>// set up the variable for the divider voltage</t>
  </si>
  <si>
    <t>// setup the variable for the calculated temperature</t>
  </si>
  <si>
    <t xml:space="preserve">  // reset these variables to zero in order to recalculate the new factors</t>
  </si>
  <si>
    <t>// calculate volts per bit then multiply that times the ADV value</t>
  </si>
  <si>
    <t>// 4th order regression to get temperature</t>
  </si>
  <si>
    <t xml:space="preserve">// C code example only (NOTE: this code example can't be converted to fixed point because you can't do a Natural Log in fixed point) </t>
  </si>
  <si>
    <t>float t_volt = 0;</t>
  </si>
  <si>
    <t>float t_res = 0;</t>
  </si>
  <si>
    <t>float NLog = 0;</t>
  </si>
  <si>
    <t>float Temp = 0;</t>
  </si>
  <si>
    <t>NLog = log(t_res);</t>
  </si>
  <si>
    <t>Temp = 1 / (A + B * NLog) + (C * NLog * NLog * NLog);</t>
  </si>
  <si>
    <t>// calculate the natural log of the resistance</t>
  </si>
  <si>
    <t>// setup the variable for the natural log of the resistance</t>
  </si>
  <si>
    <r>
      <t>// convert the raw ADC value to a measured voltage</t>
    </r>
    <r>
      <rPr>
        <sz val="10"/>
        <color rgb="FF00B0F0"/>
        <rFont val="Arial"/>
        <family val="2"/>
      </rPr>
      <t xml:space="preserve"> </t>
    </r>
  </si>
  <si>
    <t>EXAMPLE OF C CODE</t>
  </si>
  <si>
    <t>,</t>
  </si>
  <si>
    <t>// PTC short table</t>
  </si>
  <si>
    <t>// PTC long table</t>
  </si>
  <si>
    <t xml:space="preserve">    int i=0;                    // counter for stepping through the table</t>
  </si>
  <si>
    <t xml:space="preserve">    int res_l=0;                // the lower resistance value in the table</t>
  </si>
  <si>
    <t xml:space="preserve">    int res_h=0;                // the higher resistance value in the table</t>
  </si>
  <si>
    <t xml:space="preserve">    int diff_l=0;               // the difference between the lower resistance value from the table from the actual resistance value</t>
  </si>
  <si>
    <t xml:space="preserve">    int diff_h=0;               // the difference between the higher resistance value from the table from the actual resistance value</t>
  </si>
  <si>
    <t xml:space="preserve">    for (i=0; i&lt;166; ++i)</t>
  </si>
  <si>
    <t xml:space="preserve">    {</t>
  </si>
  <si>
    <t xml:space="preserve">               {</t>
  </si>
  <si>
    <t xml:space="preserve">                    if (diff_h &lt;= diff_l)                       // if the high resistance is closer to the actual resistance</t>
  </si>
  <si>
    <t xml:space="preserve">                    {</t>
  </si>
  <si>
    <t xml:space="preserve">                    }</t>
  </si>
  <si>
    <t xml:space="preserve">                    else                                        // else the low resistance is closer to the actual resistance</t>
  </si>
  <si>
    <t xml:space="preserve">                    };</t>
  </si>
  <si>
    <t xml:space="preserve">                    break;</t>
  </si>
  <si>
    <t xml:space="preserve">               }</t>
  </si>
  <si>
    <t xml:space="preserve">    }</t>
  </si>
  <si>
    <t>Determine the closest temperature from resistance</t>
  </si>
  <si>
    <t>int Thermistor(int raw_ADC)</t>
  </si>
  <si>
    <r>
      <t>t_volt = raw_ADC *</t>
    </r>
    <r>
      <rPr>
        <sz val="10"/>
        <color theme="1"/>
        <rFont val="Arial"/>
        <family val="2"/>
      </rPr>
      <t xml:space="preserve"> bit_volt</t>
    </r>
    <r>
      <rPr>
        <sz val="10"/>
        <rFont val="Arial"/>
        <family val="2"/>
      </rPr>
      <t>;</t>
    </r>
  </si>
  <si>
    <t>// get the ADC bit value</t>
  </si>
  <si>
    <t xml:space="preserve">// C code examples only </t>
  </si>
  <si>
    <t>T_high</t>
  </si>
  <si>
    <t>T_low</t>
  </si>
  <si>
    <t>ADC bits at temperature</t>
  </si>
  <si>
    <t>Set High Temperature</t>
  </si>
  <si>
    <t>Set low temperature</t>
  </si>
  <si>
    <t>Threshold values</t>
  </si>
  <si>
    <t>resistance at max</t>
  </si>
  <si>
    <t>resistance at max -1</t>
  </si>
  <si>
    <t>Voltage at max</t>
  </si>
  <si>
    <t>Voltage at max -1</t>
  </si>
  <si>
    <t>Delta V at max</t>
  </si>
  <si>
    <t>resistance at min</t>
  </si>
  <si>
    <t>resistance at min +1</t>
  </si>
  <si>
    <t>Voltage at min</t>
  </si>
  <si>
    <t>Delta V at min</t>
  </si>
  <si>
    <t>Voltage at min +1</t>
  </si>
  <si>
    <t>Enter resistance to get the temperature</t>
  </si>
  <si>
    <t>Enter temperature here to get the resistance</t>
  </si>
  <si>
    <t>Calculated temperature from the 4th order polynomial regression above</t>
  </si>
  <si>
    <t>Calculated resistance from the 4th order polynomial above</t>
  </si>
  <si>
    <t xml:space="preserve">    // Capture the ADC bits</t>
  </si>
  <si>
    <t xml:space="preserve">           {</t>
  </si>
  <si>
    <t xml:space="preserve">                // the linear interpolation process is y = y1 + ((x - x1) / (x2 - x1)) * (y2 - y1)</t>
  </si>
  <si>
    <t xml:space="preserve">                break;</t>
  </si>
  <si>
    <t xml:space="preserve">           }</t>
  </si>
  <si>
    <t>int X1=0;                // the lower resistance value in the table</t>
  </si>
  <si>
    <t>int X2=0;                // the higher resistance value in the table</t>
  </si>
  <si>
    <t>int Y1=0;               // the difference between the lower resistance value from the table from the actual resistance value</t>
  </si>
  <si>
    <t>int Y2=0;               // the difference between the higher resistance value from the table from the actual resistance value</t>
  </si>
  <si>
    <t xml:space="preserve">    int i=0;                                                                         // counter for stepping through the table</t>
  </si>
  <si>
    <t>// Lookup table process with interpolation to determine the resistance between the lower and upper resistance in a 5 degree C table-------------------------------------------------</t>
  </si>
  <si>
    <t>Enter the high temperature limit required in degrees C</t>
  </si>
  <si>
    <t>Enter the low temperature limit required in degrees C</t>
  </si>
  <si>
    <t>ADC_V</t>
  </si>
  <si>
    <t>// C code examples only  (NOTE: this code example is based on floating point math)</t>
  </si>
  <si>
    <t>// Lookup table process with little math to determine which resistance the actual resistance is closest to then select the closest temperature value to display -------------------------------------------------</t>
  </si>
  <si>
    <t>Regression Error (°C)</t>
  </si>
  <si>
    <t>First Resistance</t>
  </si>
  <si>
    <t>First Temperature</t>
  </si>
  <si>
    <t>Second Resistance</t>
  </si>
  <si>
    <t>Second Temperature</t>
  </si>
  <si>
    <t>Calculated temperature</t>
  </si>
  <si>
    <t>ºC</t>
  </si>
  <si>
    <t>Temp (ºC)</t>
  </si>
  <si>
    <t>°C from chart</t>
  </si>
  <si>
    <t>°C</t>
  </si>
  <si>
    <t>Temp °C</t>
  </si>
  <si>
    <t>bits per degree °C</t>
  </si>
  <si>
    <t>°F</t>
  </si>
  <si>
    <t>°K</t>
  </si>
  <si>
    <t xml:space="preserve"> (°C) </t>
  </si>
  <si>
    <t>°CK</t>
  </si>
  <si>
    <t>i.e. -39°C</t>
  </si>
  <si>
    <t>i.e. -40°C</t>
  </si>
  <si>
    <t>i.e. 124°C</t>
  </si>
  <si>
    <t>i.e. 125°C</t>
  </si>
  <si>
    <t>4th order polynomials</t>
  </si>
  <si>
    <t>Sensitivity</t>
  </si>
  <si>
    <t>Power</t>
  </si>
  <si>
    <t>(milli-Watts)</t>
  </si>
  <si>
    <t>Part List</t>
  </si>
  <si>
    <t>Max Temperature</t>
  </si>
  <si>
    <t>Resistance @25C</t>
  </si>
  <si>
    <t>Vlookup tables</t>
  </si>
  <si>
    <t>q</t>
  </si>
  <si>
    <t>NTC Thermistor Comparison</t>
  </si>
  <si>
    <t>Device Resistance Tables</t>
  </si>
  <si>
    <t xml:space="preserve">Return to Menu  </t>
  </si>
  <si>
    <t>Example Code</t>
  </si>
  <si>
    <r>
      <t xml:space="preserve">1 </t>
    </r>
    <r>
      <rPr>
        <b/>
        <u/>
        <sz val="16"/>
        <rFont val="Tahoma"/>
        <family val="2"/>
      </rPr>
      <t>°</t>
    </r>
    <r>
      <rPr>
        <b/>
        <u/>
        <sz val="16"/>
        <rFont val="Arial"/>
        <family val="2"/>
      </rPr>
      <t>C Steps</t>
    </r>
  </si>
  <si>
    <r>
      <t xml:space="preserve">5 </t>
    </r>
    <r>
      <rPr>
        <b/>
        <u/>
        <sz val="16"/>
        <rFont val="Tahoma"/>
        <family val="2"/>
      </rPr>
      <t>°</t>
    </r>
    <r>
      <rPr>
        <b/>
        <u/>
        <sz val="16"/>
        <rFont val="Arial"/>
        <family val="2"/>
      </rPr>
      <t>C Steps</t>
    </r>
  </si>
  <si>
    <t>Useful Data</t>
  </si>
  <si>
    <t>Resistance of the measured voltage</t>
  </si>
  <si>
    <t>The coefficients are used in this cell to calculate temperature. 1/T = A + B(Ln R) + C(Ln R)^3)</t>
  </si>
  <si>
    <t xml:space="preserve">Calculated Resistance </t>
  </si>
  <si>
    <t>0402 Footprint</t>
  </si>
  <si>
    <t>0603 Footprint</t>
  </si>
  <si>
    <t xml:space="preserve">Steinhart-Hart coefficients and model solved </t>
  </si>
  <si>
    <t xml:space="preserve">Highly accurate, full range interpolation from a small lookup table </t>
  </si>
  <si>
    <t xml:space="preserve">Provides the resistance to temperature tables </t>
  </si>
  <si>
    <t>Compare some of the differences between the TI device chosen and an NTC thermistor (user inputted)</t>
  </si>
  <si>
    <t xml:space="preserve">Typical Resistance (Ω) </t>
  </si>
  <si>
    <t>Min Resistance (Ω)</t>
  </si>
  <si>
    <t>Resistance (Ω)</t>
  </si>
  <si>
    <t>Max Resistance (Ω)</t>
  </si>
  <si>
    <t>Typical Resistance (Ω)</t>
  </si>
  <si>
    <t>;</t>
  </si>
  <si>
    <t xml:space="preserve">unsigned int ADC_BITS = </t>
  </si>
  <si>
    <t>Steinhart-Hart Calculated Coefficients</t>
  </si>
  <si>
    <t xml:space="preserve">float A = </t>
  </si>
  <si>
    <t>float B =</t>
  </si>
  <si>
    <t xml:space="preserve">float C = </t>
  </si>
  <si>
    <t xml:space="preserve">float VBias = </t>
  </si>
  <si>
    <t xml:space="preserve">float bit_volt =  </t>
  </si>
  <si>
    <t>Example of 1°C step C code</t>
  </si>
  <si>
    <t>Copy the content of the box below, then paste into your C code</t>
  </si>
  <si>
    <r>
      <t>Example of 5</t>
    </r>
    <r>
      <rPr>
        <b/>
        <sz val="12"/>
        <rFont val="Tahoma"/>
        <family val="2"/>
      </rPr>
      <t>°</t>
    </r>
    <r>
      <rPr>
        <b/>
        <sz val="12"/>
        <rFont val="Arial"/>
        <family val="2"/>
      </rPr>
      <t>C step C code</t>
    </r>
  </si>
  <si>
    <t>Bits</t>
  </si>
  <si>
    <t>Basic Formulas</t>
  </si>
  <si>
    <t>Interpolation From Lookup Table</t>
  </si>
  <si>
    <t>Calculated Resistance (Ω)</t>
  </si>
  <si>
    <t>(Ω)</t>
  </si>
  <si>
    <t>Ω/°C</t>
  </si>
  <si>
    <t>Threshold Detection</t>
  </si>
  <si>
    <t>ADC Bits (8 - 32 bits)</t>
  </si>
  <si>
    <t>Device</t>
  </si>
  <si>
    <t xml:space="preserve">       Select the TI device to model &gt;&gt;&gt;&gt;</t>
  </si>
  <si>
    <t>Temperature Conversion Methods</t>
  </si>
  <si>
    <t>Steinhart-Hart</t>
  </si>
  <si>
    <t>Calculate at 2 points for limit or threshold based designs</t>
  </si>
  <si>
    <t>Quick computations to help during design</t>
  </si>
  <si>
    <t>TI Device</t>
  </si>
  <si>
    <t>Device:</t>
  </si>
  <si>
    <t>Enter ADC Bit value &gt;&gt;&gt;&gt;</t>
  </si>
  <si>
    <t>To try out how this would work in your code, enter a measured voltage into the red outlined cell below. The green outlined cells show what the corresponding resistance the TI device has at that moment which is used to calculate the Steinhart-Hart Coefficients, and the calculated temperature.</t>
  </si>
  <si>
    <t>Resistance at max temperature</t>
  </si>
  <si>
    <t>Resistance at max temperature -1</t>
  </si>
  <si>
    <t>Voltage at max temperature</t>
  </si>
  <si>
    <t>Voltage at max temperature -1</t>
  </si>
  <si>
    <t>Delta V at  max temperature</t>
  </si>
  <si>
    <t>To try out how this would work in your code, enter a measured resistance into the red outlined cell below. The green outlined cell shows what the nearest resistance value in the lookup table had stored as its corresponding temperature value."</t>
  </si>
  <si>
    <t>Temperature corresponding to the nearest resistance value in the lookup table.</t>
  </si>
  <si>
    <t>1° C Steps</t>
  </si>
  <si>
    <t>5° C Steps</t>
  </si>
  <si>
    <t>VREF</t>
  </si>
  <si>
    <t>Calculate the resistor divider voltage and bits from resistance</t>
  </si>
  <si>
    <t>TI recommends using the same voltage source for ADC reference and VBias</t>
  </si>
  <si>
    <t>TI device resistance</t>
  </si>
  <si>
    <t>Calculate the resistor divider voltage and TI device resistance from the ADC bits</t>
  </si>
  <si>
    <t>Calculate the ADC bits and TI device resistance from the resistor divider voltage</t>
  </si>
  <si>
    <t>Resolution of measurements at low and high temperatures for the selected TI device</t>
  </si>
  <si>
    <t>Thermistor resistance at temperature</t>
  </si>
  <si>
    <t>Calculated resistance from the 4th order polynomials</t>
  </si>
  <si>
    <t xml:space="preserve"> (-) tolerance</t>
  </si>
  <si>
    <t>(+) tolerance</t>
  </si>
  <si>
    <t>Delta Vdc</t>
  </si>
  <si>
    <t>Minimum temperature</t>
  </si>
  <si>
    <t>Maximum temperature</t>
  </si>
  <si>
    <t>Resistance (X)</t>
  </si>
  <si>
    <t>Resistor Divider Voltage</t>
  </si>
  <si>
    <t>Calculated Resistance</t>
  </si>
  <si>
    <t>Lowest resistance</t>
  </si>
  <si>
    <t>TMP6331DECR</t>
  </si>
  <si>
    <t>TMP6331DECT</t>
  </si>
  <si>
    <t>TMP6131LPGM</t>
  </si>
  <si>
    <t>TMP6131QLPGMQ1</t>
  </si>
  <si>
    <t>TMP6131ELPGMQ1</t>
  </si>
  <si>
    <t>TMP6131DYAR</t>
  </si>
  <si>
    <t>TMP6131DYAT</t>
  </si>
  <si>
    <t>TMP6131DECR</t>
  </si>
  <si>
    <t>TMP6131DECT</t>
  </si>
  <si>
    <t>TMP6131QDECRQ1</t>
  </si>
  <si>
    <t>TMP6131QDECTQ1</t>
  </si>
  <si>
    <t>TMP6131DECRA0</t>
  </si>
  <si>
    <t>TMP6131DECRA1</t>
  </si>
  <si>
    <t>TMP6131DECRA2</t>
  </si>
  <si>
    <t>TMP6131DECRA3</t>
  </si>
  <si>
    <t>TMP6131DECRA4</t>
  </si>
  <si>
    <t>TMP6131DECTA0</t>
  </si>
  <si>
    <t>TMP6131DECTA1</t>
  </si>
  <si>
    <t>TMP6131DECTA2</t>
  </si>
  <si>
    <t>TMP6131DECTA3</t>
  </si>
  <si>
    <t>TMP6131DECTA4</t>
  </si>
  <si>
    <t>TMP6131QDECRQ1A0</t>
  </si>
  <si>
    <t>TMP6131QDECRQ1A1</t>
  </si>
  <si>
    <t>TMP6131QDECRQ1A2</t>
  </si>
  <si>
    <t>TMP6131QDECRQ1A3</t>
  </si>
  <si>
    <t>TMP6131QDECRQ1A4</t>
  </si>
  <si>
    <t>TMP6131QDECTQ1A0</t>
  </si>
  <si>
    <t>TMP6131QDECTQ1A1</t>
  </si>
  <si>
    <t>TMP6131QDECTQ1A2</t>
  </si>
  <si>
    <t>TMP6131QDECTQ1A3</t>
  </si>
  <si>
    <t>TMP6131QDECTQ1A4</t>
  </si>
  <si>
    <t>TMP6131DYARA0</t>
  </si>
  <si>
    <t>TMP6131DYARA1</t>
  </si>
  <si>
    <t>TMP6131DYARA2</t>
  </si>
  <si>
    <t>TMP6131DYARA3</t>
  </si>
  <si>
    <t>TMP6131DYARA4</t>
  </si>
  <si>
    <t>TMP6131DYATA0</t>
  </si>
  <si>
    <t>TMP6131DYATA1</t>
  </si>
  <si>
    <t>TMP6131DYATA2</t>
  </si>
  <si>
    <t>TMP6131DYATA3</t>
  </si>
  <si>
    <t>TMP6131DYATA4</t>
  </si>
  <si>
    <t>TMP6131LPGMA0</t>
  </si>
  <si>
    <t>TMP6131LPGMA1</t>
  </si>
  <si>
    <t>TMP6131LPGMA2</t>
  </si>
  <si>
    <t>TMP6131LPGMA3</t>
  </si>
  <si>
    <t>TMP6131LPGMA4</t>
  </si>
  <si>
    <t>TMP6131QLPGMQ1A0</t>
  </si>
  <si>
    <t>TMP6131QLPGMQ1A1</t>
  </si>
  <si>
    <t>TMP6131QLPGMQ1A2</t>
  </si>
  <si>
    <t>TMP6131QLPGMQ1A3</t>
  </si>
  <si>
    <t>TMP6131QLPGMQ1A4</t>
  </si>
  <si>
    <t>TMP6131ELPGMQ1A0</t>
  </si>
  <si>
    <t>TMP6131ELPGMQ1A1</t>
  </si>
  <si>
    <t>TMP6131ELPGMQ1A2</t>
  </si>
  <si>
    <t>TMP6131ELPGMQ1A3</t>
  </si>
  <si>
    <t>TMP6131ELPGMQ1A4</t>
  </si>
  <si>
    <t>TMP6331DECRA0</t>
  </si>
  <si>
    <t>TMP6331DECRA1</t>
  </si>
  <si>
    <t>TMP6331DECRA2</t>
  </si>
  <si>
    <t>TMP6331DECRA3</t>
  </si>
  <si>
    <t>TMP6331DECRA4</t>
  </si>
  <si>
    <t>TMP6331DECTA0</t>
  </si>
  <si>
    <t>TMP6331DECTA1</t>
  </si>
  <si>
    <t>TMP6331DECTA2</t>
  </si>
  <si>
    <t>TMP6331DECTA3</t>
  </si>
  <si>
    <t>TMP6331DECTA4</t>
  </si>
  <si>
    <t xml:space="preserve"> </t>
  </si>
  <si>
    <t xml:space="preserve">Resolution of temperature measurements </t>
  </si>
  <si>
    <t>TMP6431DECR</t>
  </si>
  <si>
    <t>TMP6431DECT</t>
  </si>
  <si>
    <t>TMP6431DECRA0</t>
  </si>
  <si>
    <t>TMP6431DECRA1</t>
  </si>
  <si>
    <t>TMP6431DECRA2</t>
  </si>
  <si>
    <t>TMP6431DECRA3</t>
  </si>
  <si>
    <t>TMP6431DECRA4</t>
  </si>
  <si>
    <t>TMP6431DECTA0</t>
  </si>
  <si>
    <t>TMP6431DECTA1</t>
  </si>
  <si>
    <t>TMP6431DECTA2</t>
  </si>
  <si>
    <t>TMP6431DECTA3</t>
  </si>
  <si>
    <t>TMP6431DECTA4</t>
  </si>
  <si>
    <t>To add new products insert the part number and data before this line</t>
  </si>
  <si>
    <t>to add new coefficients for new part numbers insert before this line</t>
  </si>
  <si>
    <t xml:space="preserve">The part number must match this </t>
  </si>
  <si>
    <t>Coefficients are created from real data of 5 test points and t offset for accuracy</t>
  </si>
  <si>
    <t>Hide this page before locking the worksheet with a password</t>
  </si>
  <si>
    <t>Pre-calculated values stored in a lookup table for quick and easy indexing</t>
  </si>
  <si>
    <t>Date</t>
  </si>
  <si>
    <t>Edits</t>
  </si>
  <si>
    <t>Description</t>
  </si>
  <si>
    <t>Averaging</t>
  </si>
  <si>
    <t xml:space="preserve">Averaging and oversampling techniques </t>
  </si>
  <si>
    <t>// (1) Method one will read the ADC and average the last "N" values as set in the "#define Tmp_1_length"</t>
  </si>
  <si>
    <t>//  FIFO setup of the temporary arrays and define the filter depth (samples to average)</t>
  </si>
  <si>
    <t>#define Tmp_1_length 16                                  // Sample length for the averaging filter for oversampling</t>
  </si>
  <si>
    <t>float Tmp_1_array[Tmp_1_length];                  // The FIFO arrays for averaging the ADC value</t>
  </si>
  <si>
    <t>float ADC_AVG = 0;                                                //  This is the averaged ADC value over (x) samples</t>
  </si>
  <si>
    <t>float ADC_Value = 0;                                             // this is the most recent ADC value captured</t>
  </si>
  <si>
    <t>int i = 0;                                                                  //  set to 0</t>
  </si>
  <si>
    <t>float sum_array_1 = 0;                                           //  set to 0</t>
  </si>
  <si>
    <t xml:space="preserve">        i = 0;                                                                              // reset to 0</t>
  </si>
  <si>
    <t xml:space="preserve">        sum_array_1 = 0;                                                         // reset to 0</t>
  </si>
  <si>
    <t xml:space="preserve">        {</t>
  </si>
  <si>
    <t xml:space="preserve">            Tmp_1_array[i] = Tmp_1_array[i + 1];                          // Makes all the array indexes equal to the number after them</t>
  </si>
  <si>
    <t xml:space="preserve">        }</t>
  </si>
  <si>
    <t xml:space="preserve">        for(i = 0; i &lt; Tmp_1_length; i++)                                 // sum the array</t>
  </si>
  <si>
    <t xml:space="preserve">            sum_array_1 += Tmp_1_array[i];                                // add all of the array elements</t>
  </si>
  <si>
    <t xml:space="preserve">        ADC_AVG = sum_array_1 / Tmp_1_length;                             // divide the sum of the array to get an average</t>
  </si>
  <si>
    <t>//  Read the ADC and place the bit value into ADC_Value</t>
  </si>
  <si>
    <t>// Call the ADC_AVG function to get the last ADC value added and averaged into the array</t>
  </si>
  <si>
    <t>FIFO_AVG();</t>
  </si>
  <si>
    <t>// (2) Method two will read the ADC and average inset that value into the FIFO "N" times as set in the "#define Tmp_1_length" then average the values</t>
  </si>
  <si>
    <t>int i = 0;                                                                  //  set to 0 for the array position counter</t>
  </si>
  <si>
    <t>int j = 0;                                                                  //  set to 0 for the sample counter</t>
  </si>
  <si>
    <t xml:space="preserve">        j = 0;                                                                              // reset to 0</t>
  </si>
  <si>
    <t xml:space="preserve">        sum_array_1 = 0;                                                          // reset to 0</t>
  </si>
  <si>
    <t xml:space="preserve">        // read the ADC, and put the new value into the ADC_Value register</t>
  </si>
  <si>
    <t xml:space="preserve">            Tmp_1_array[i] = Tmp_1_array[i + 1];                               // Makes all the array indexes equal to the number after them</t>
  </si>
  <si>
    <t xml:space="preserve">        for(i = 0; i &lt; Tmp_1_length; i++)                                       // sum the array</t>
  </si>
  <si>
    <t xml:space="preserve">            sum_array_1 += Tmp_1_array[i];                                      // add all of the array elements</t>
  </si>
  <si>
    <t xml:space="preserve">        ADC_AVG = sum_array_1 / Tmp_1_length;                     // divide the sum of the array to get an average</t>
  </si>
  <si>
    <t>//  Call the FIFO_AVG routine to get "N" ADC values averaged</t>
  </si>
  <si>
    <t>// FIFO averaging of the data sample at predetermined intervals and averaged across the last (x) samples-------------------------------------------------</t>
  </si>
  <si>
    <t>// FIFO averaging of (x) samples simultaneously providing an average of the (x) samples.-------------------------------------------------</t>
  </si>
  <si>
    <t>void FIFO_AVG(void)</t>
  </si>
  <si>
    <t xml:space="preserve">       {</t>
  </si>
  <si>
    <t>//  The ADC average value will be placed into ADC_AVG register</t>
  </si>
  <si>
    <t xml:space="preserve">        Tmp_1_array[Tmp_1_length - 1] = ADC_Value;                          // add the new value to the beginning of the array</t>
  </si>
  <si>
    <t xml:space="preserve">        Tmp_1_array[Tmp_1_length - 1] = ADC_Value;                // add the new value to the beginning of the array</t>
  </si>
  <si>
    <t xml:space="preserve">        for(i = 0; i &lt; Tmp_1_length - 1; i++)                                 // shift the array as a FIFO and drop the last data value</t>
  </si>
  <si>
    <t xml:space="preserve">        for(i = 0; i &lt; Tmp_1_length - 1; i++)                                        // shift the array as a FIFO and drop the last data value</t>
  </si>
  <si>
    <t xml:space="preserve">       }  // do this for (N) samples</t>
  </si>
  <si>
    <t>TMP6131QDYARQ1</t>
  </si>
  <si>
    <t>TMP6131QDYATQ1</t>
  </si>
  <si>
    <t>TMP6331QDECRQ1</t>
  </si>
  <si>
    <t>TMP6331QDECTQ1</t>
  </si>
  <si>
    <t>TMP6131QDYARQ1A0</t>
  </si>
  <si>
    <t>TMP6131QDYARQ1A1</t>
  </si>
  <si>
    <t>TMP6131QDYARQ1A2</t>
  </si>
  <si>
    <t>TMP6131QDYARQ1A3</t>
  </si>
  <si>
    <t>TMP6131QDYARQ1A4</t>
  </si>
  <si>
    <t>TMP6131QDYATQ1A0</t>
  </si>
  <si>
    <t>TMP6131QDYATQ1A1</t>
  </si>
  <si>
    <t>TMP6131QDYATQ1A2</t>
  </si>
  <si>
    <t>TMP6131QDYATQ1A3</t>
  </si>
  <si>
    <t>TMP6131QDYATQ1A4</t>
  </si>
  <si>
    <t>TMP6331QDECTQ1A0</t>
  </si>
  <si>
    <t>TMP6331QDECTQ1A1</t>
  </si>
  <si>
    <t>TMP6331QDECTQ1A2</t>
  </si>
  <si>
    <t>TMP6331QDECTQ1A3</t>
  </si>
  <si>
    <t>TMP6331QDECTQ1A4</t>
  </si>
  <si>
    <t>TMP6331QDECRQ1A0</t>
  </si>
  <si>
    <t>TMP6331QDECRQ1A1</t>
  </si>
  <si>
    <t>TMP6331QDECRQ1A2</t>
  </si>
  <si>
    <t>TMP6331QDECRQ1A3</t>
  </si>
  <si>
    <t>TMP6331QDECRQ1A4</t>
  </si>
  <si>
    <t>Min Temperature</t>
  </si>
  <si>
    <t>float Thermistor(int raw_ADC)</t>
  </si>
  <si>
    <t>Enter IBias Current &gt;&gt;&gt;&gt;</t>
  </si>
  <si>
    <t>uAdc</t>
  </si>
  <si>
    <t>IBias</t>
  </si>
  <si>
    <t>Modified the VBias worksheets to be the new IBias tool</t>
  </si>
  <si>
    <t>Constant Current</t>
  </si>
  <si>
    <t>(Constant Current)</t>
  </si>
  <si>
    <t xml:space="preserve">V/top </t>
  </si>
  <si>
    <t xml:space="preserve">float IBias = </t>
  </si>
  <si>
    <t>// set the IBias Current</t>
  </si>
  <si>
    <t xml:space="preserve">float VRef = </t>
  </si>
  <si>
    <t xml:space="preserve">// set the IBias Current </t>
  </si>
  <si>
    <t>// convert the measured voltage to a resistance, the Ibias is in uA</t>
  </si>
  <si>
    <t>// calculate the resistance of the thermistor, IBias is in uA</t>
  </si>
  <si>
    <t>VREF (0.80Vdc - 5.5Vdc)</t>
  </si>
  <si>
    <t>Enter VREF ADC Voltage &gt;&gt;&gt;&gt;</t>
  </si>
  <si>
    <t xml:space="preserve">// set the value of the VREF for the ADC </t>
  </si>
  <si>
    <t>float VRef =</t>
  </si>
  <si>
    <t>VREF for the ADC</t>
  </si>
  <si>
    <t>Top Resistor</t>
  </si>
  <si>
    <t>ADC Bits</t>
  </si>
  <si>
    <t>Top voltage at temperature</t>
  </si>
  <si>
    <t>Resistor Divider</t>
  </si>
  <si>
    <r>
      <t xml:space="preserve">// set the value of the VREF for the ADC </t>
    </r>
    <r>
      <rPr>
        <sz val="10"/>
        <color rgb="FFFF0000"/>
        <rFont val="Arial"/>
        <family val="2"/>
      </rPr>
      <t>(Enter the VREF voltage based on your ADC in the Main tab)</t>
    </r>
  </si>
  <si>
    <t>// set the IBias current</t>
  </si>
  <si>
    <t xml:space="preserve"> // calculate volts per bit then multiply that times the ADV value</t>
  </si>
  <si>
    <t xml:space="preserve"> // calculate the resistance of the thermistor</t>
  </si>
  <si>
    <t>lookup table with A0/A4 added</t>
  </si>
  <si>
    <t>int PTC_Res_L_Table[216][2] = {</t>
  </si>
  <si>
    <t>int PTC_Res_S_Table[44][2] = {</t>
  </si>
  <si>
    <t>t_res = t_volt / (IBias / 1000000);</t>
  </si>
  <si>
    <t xml:space="preserve">Bryan added new text for constant current </t>
  </si>
  <si>
    <t xml:space="preserve">        // FIFO to average THRM temperature //</t>
  </si>
  <si>
    <t>THRM Temperature from Resistance (Interpolation)</t>
  </si>
  <si>
    <t>float THRM_RES = 0;</t>
  </si>
  <si>
    <t>// setup the variable for the calculated THRM resistance</t>
  </si>
  <si>
    <t>float THRM_TEMP = 0;</t>
  </si>
  <si>
    <t>int Lookup_THRM_S(int raw_ADC)                                    // linear interpolation of a 5 degree lookup table.</t>
  </si>
  <si>
    <t xml:space="preserve">    // THRM calculations - 4th order polynomial regression</t>
  </si>
  <si>
    <t xml:space="preserve">    THRM_RES = 0;</t>
  </si>
  <si>
    <t xml:space="preserve">    THRM_ADC = raw_ADC</t>
  </si>
  <si>
    <t xml:space="preserve">        if(THRM_Res_S_Table[i][1] &gt;= THRM_RES)</t>
  </si>
  <si>
    <t xml:space="preserve">                X1 = THRM_Res_S_Table[i -1][1];                 // find the lower resistance value in the table</t>
  </si>
  <si>
    <t xml:space="preserve">                X2 = THRM_Res_S_Table[i][1];                        // find the higher resistance value in the table</t>
  </si>
  <si>
    <t xml:space="preserve">                Y1 = THRM_Res_S_Table[i -1][0];                   // find the difference by subtracting the lower resistance value from the table from the actual resistance value</t>
  </si>
  <si>
    <t xml:space="preserve">                Y2 = THRM_Res_S_Table[i][0];                       // find the difference by subtracting the higher resistance value from the table from the actual resistance value</t>
  </si>
  <si>
    <t xml:space="preserve">                THRM_TEMP = Y1 + ((THRM_RES - X1) / (X2 - X1)) * (Y2 - Y1);              // Use the low value resistance and temperature</t>
  </si>
  <si>
    <t xml:space="preserve">                return THRM_TEMP;</t>
  </si>
  <si>
    <t>int Lookup_THRM_L(int raw_ADC)                     // Lookup table (long) 1 degrees C, no math just find the first value</t>
  </si>
  <si>
    <t xml:space="preserve">    THRM_ADC = raw_ADC;</t>
  </si>
  <si>
    <t xml:space="preserve">        if(THRM_Res_L_Table[i][1] &gt;= THRM_RES)</t>
  </si>
  <si>
    <t xml:space="preserve">                    res_l = THRM_Res_L_Table[I -1][1];          // find the lower resistance value in the table</t>
  </si>
  <si>
    <t xml:space="preserve">                    res_h = THRM_Res_L_Table[i][1];        // find the higher resistance value in the table</t>
  </si>
  <si>
    <t xml:space="preserve">                    diff_l = THRM_RES - res_l;               // find the difference by subtracting the lower resistance value from the table from the actual resistance value</t>
  </si>
  <si>
    <t xml:space="preserve">                    diff_h = THRM_RES - res_h;               // find the difference by subtracting the higher resistance value from the table from the actual resistance value</t>
  </si>
  <si>
    <t xml:space="preserve">                        THRM_TEMP = THRM_Res_L_Table[i][0];     // Use the high value resistance and temperature</t>
  </si>
  <si>
    <t xml:space="preserve">                        THRM_TEMP = THRM_Res_L_Table[I -1][0];       // Use the low value resistance and temperature</t>
  </si>
  <si>
    <t xml:space="preserve">                    return THRM_TEMP;</t>
  </si>
  <si>
    <t xml:space="preserve">    float THRM_A0 =</t>
  </si>
  <si>
    <t xml:space="preserve">    float THRM_A1 =</t>
  </si>
  <si>
    <t xml:space="preserve">    float THRM_A2 = </t>
  </si>
  <si>
    <t xml:space="preserve">    float THRM_A3 = </t>
  </si>
  <si>
    <t xml:space="preserve">    float THRM_A4 = </t>
  </si>
  <si>
    <t xml:space="preserve">    THRM_TEMP = (THRM_A4 * powf(THRM_RES,4)) + (THRM_A3 * powf(THRM_RES,3)) + (THRM_A2 * powf(THRM_RES,2)) + (THRM_A1 * THRM_RES) + THRM_A0;</t>
  </si>
  <si>
    <t xml:space="preserve">    return THRM_TEMP;</t>
  </si>
  <si>
    <r>
      <t xml:space="preserve">// set the number of bits based on you ADC </t>
    </r>
    <r>
      <rPr>
        <sz val="10"/>
        <color rgb="FFFF0000"/>
        <rFont val="Arial"/>
        <family val="2"/>
      </rPr>
      <t>(2^# of ADC Bit Value)</t>
    </r>
  </si>
  <si>
    <r>
      <t xml:space="preserve">// set the voltage per bit based on the ADC bits / VREF </t>
    </r>
    <r>
      <rPr>
        <sz val="10"/>
        <color rgb="FFFF0000"/>
        <rFont val="Arial"/>
        <family val="2"/>
      </rPr>
      <t>(Set the ADC bit value in the Main tab to get the correct bit voltage)</t>
    </r>
  </si>
  <si>
    <t>Added Highlights on low current at high temperature</t>
  </si>
  <si>
    <t>Updated the extended coefficients for the LPG to correct for an error</t>
  </si>
  <si>
    <t>TMP6x FAQ</t>
  </si>
  <si>
    <t>FAQ's for the TMP6x series of thermistors</t>
  </si>
  <si>
    <t>Typo changes</t>
  </si>
  <si>
    <t xml:space="preserve">Adding before this line will insert the new data and all sheet will be </t>
  </si>
  <si>
    <t>updated  automatically. Adding after this line will mean that you will have</t>
  </si>
  <si>
    <t>manually go to every sheet and update the new table ranges</t>
  </si>
  <si>
    <t>TMP6331DYAR</t>
  </si>
  <si>
    <t>TMP6331DYAT</t>
  </si>
  <si>
    <t>TMP6331QDYARQ1</t>
  </si>
  <si>
    <t>TMP6331QDYATQ1</t>
  </si>
  <si>
    <t>TMP6431DYAR</t>
  </si>
  <si>
    <t>TMP6431DYAT</t>
  </si>
  <si>
    <t>TMP6431QDYARQ1</t>
  </si>
  <si>
    <t>TMP6431QDYATQ1</t>
  </si>
  <si>
    <t>TMP6431QDECRQ1</t>
  </si>
  <si>
    <t>TMP6431QDECTQ1</t>
  </si>
  <si>
    <t>use to verify order</t>
  </si>
  <si>
    <t>Indexed to list</t>
  </si>
  <si>
    <t>Coefficient number</t>
  </si>
  <si>
    <t xml:space="preserve">Added 10 new parts </t>
  </si>
  <si>
    <t xml:space="preserve">Password: </t>
  </si>
  <si>
    <t>THS_apps_0</t>
  </si>
  <si>
    <t>Use this password to lock and unlock each tab</t>
  </si>
  <si>
    <t>List</t>
  </si>
  <si>
    <t>Part Number</t>
  </si>
  <si>
    <t>TMP6331DYARA0</t>
  </si>
  <si>
    <t>TMP6331DYARA1</t>
  </si>
  <si>
    <t>TMP6331DYARA2</t>
  </si>
  <si>
    <t>TMP6331DYARA3</t>
  </si>
  <si>
    <t>TMP6331DYARA4</t>
  </si>
  <si>
    <t>TMP6331DYATA0</t>
  </si>
  <si>
    <t>TMP6331DYATA1</t>
  </si>
  <si>
    <t>TMP6331DYATA2</t>
  </si>
  <si>
    <t>TMP6331DYATA3</t>
  </si>
  <si>
    <t>TMP6331DYATA4</t>
  </si>
  <si>
    <t>TMP6331QDYARQ1A0</t>
  </si>
  <si>
    <t>TMP6331QDYARQ1A1</t>
  </si>
  <si>
    <t>TMP6331QDYARQ1A2</t>
  </si>
  <si>
    <t>TMP6331QDYARQ1A3</t>
  </si>
  <si>
    <t>TMP6331QDYARQ1A4</t>
  </si>
  <si>
    <t>TMP6331QDYATQ1A0</t>
  </si>
  <si>
    <t>TMP6331QDYATQ1A1</t>
  </si>
  <si>
    <t>TMP6331QDYATQ1A2</t>
  </si>
  <si>
    <t>TMP6331QDYATQ1A3</t>
  </si>
  <si>
    <t>TMP6331QDYATQ1A4</t>
  </si>
  <si>
    <t>TMP6431DYARA0</t>
  </si>
  <si>
    <t>TMP6431DYARA1</t>
  </si>
  <si>
    <t>TMP6431DYARA2</t>
  </si>
  <si>
    <t>TMP6431DYARA3</t>
  </si>
  <si>
    <t>TMP6431DYARA4</t>
  </si>
  <si>
    <t>TMP6431DYATA0</t>
  </si>
  <si>
    <t>TMP6431DYATA1</t>
  </si>
  <si>
    <t>TMP6431DYATA2</t>
  </si>
  <si>
    <t>TMP6431DYATA3</t>
  </si>
  <si>
    <t>TMP6431DYATA4</t>
  </si>
  <si>
    <t>TMP6431QDYARQ1A0</t>
  </si>
  <si>
    <t>TMP6431QDYARQ1A1</t>
  </si>
  <si>
    <t>TMP6431QDYARQ1A2</t>
  </si>
  <si>
    <t>TMP6431QDYARQ1A3</t>
  </si>
  <si>
    <t>TMP6431QDYARQ1A4</t>
  </si>
  <si>
    <t>TMP6431QDYATQ1A0</t>
  </si>
  <si>
    <t>TMP6431QDYATQ1A1</t>
  </si>
  <si>
    <t>TMP6431QDYATQ1A2</t>
  </si>
  <si>
    <t>TMP6431QDYATQ1A3</t>
  </si>
  <si>
    <t>TMP6431QDYATQ1A4</t>
  </si>
  <si>
    <t>TMP6431QDECTQ1A0</t>
  </si>
  <si>
    <t>TMP6431QDECTQ1A1</t>
  </si>
  <si>
    <t>TMP6431QDECTQ1A2</t>
  </si>
  <si>
    <t>TMP6431QDECTQ1A3</t>
  </si>
  <si>
    <t>TMP6431QDECTQ1A4</t>
  </si>
  <si>
    <t>Constant Current Source</t>
  </si>
  <si>
    <t xml:space="preserve">Opitional 2 op-amp constant current source </t>
  </si>
  <si>
    <t>BOM</t>
  </si>
  <si>
    <t>R1, R3</t>
  </si>
  <si>
    <t xml:space="preserve">10k 0.5% 25ppm </t>
  </si>
  <si>
    <t>R2, R4</t>
  </si>
  <si>
    <t xml:space="preserve">1k 0.5% 25ppm </t>
  </si>
  <si>
    <t>RS</t>
  </si>
  <si>
    <t>2.37k 0.5% 25ppm</t>
  </si>
  <si>
    <t>TLV9062IDDFR dual op-amp</t>
  </si>
  <si>
    <t>C1</t>
  </si>
  <si>
    <t>C2</t>
  </si>
  <si>
    <t>MLCC 0.1uf 50V 10% X7R</t>
  </si>
  <si>
    <t>MLCC 1000pf 50V 10% NPO</t>
  </si>
  <si>
    <t>RS (Shunt Resistance)</t>
  </si>
  <si>
    <t>Gain resistance</t>
  </si>
  <si>
    <t>(5.0VCC) 2.49k 0.5% 25ppm 200uA</t>
  </si>
  <si>
    <t>RS = (VCC/Current)/Gain</t>
  </si>
  <si>
    <t>1.8Vdc - 5.5Vdc operating voltage</t>
  </si>
  <si>
    <t>50uA - 300uA (RS adjustable) constant current</t>
  </si>
  <si>
    <t>-40C - 125C Tj (ABS max 150C limited by the opamp)</t>
  </si>
  <si>
    <t>U1 - TLV9062IDDFR Op Amp 10-MHz,</t>
  </si>
  <si>
    <t>low-noise, RRIO, CMOS DGK0008A (VSSOP-8)</t>
  </si>
  <si>
    <t>U1</t>
  </si>
  <si>
    <t>R2, R3</t>
  </si>
  <si>
    <t>R1, R5</t>
  </si>
  <si>
    <t>Gain = R2/R1</t>
  </si>
  <si>
    <t>VCC = VREF</t>
  </si>
  <si>
    <t>(2.0VCC) 2.49k 0.5% 25ppm 80uA ($0.009)</t>
  </si>
  <si>
    <t>(3.3VCC) 2.37k 0.5% 25ppm 139uA</t>
  </si>
  <si>
    <t>TMP6131DEC</t>
  </si>
  <si>
    <t>TMP6431DEC</t>
  </si>
  <si>
    <t>TMP6431DYA</t>
  </si>
  <si>
    <t>TMP6431QDECRQ1A0</t>
  </si>
  <si>
    <t>TMP6431QDECRQ1A1</t>
  </si>
  <si>
    <t>TMP6431QDECRQ1A2</t>
  </si>
  <si>
    <t>TMP6431QDECRQ1A3</t>
  </si>
  <si>
    <t>TMP6431QDECRQ1A4</t>
  </si>
  <si>
    <t>Updated all of the coefficients to a more accurate coefficient. Note: not all coefficients were changed</t>
  </si>
  <si>
    <t>TMP6131DYA</t>
  </si>
  <si>
    <t>TMP6331DYA</t>
  </si>
  <si>
    <t>TMP6331DEC</t>
  </si>
  <si>
    <t>Main List Ibias Coefficients</t>
  </si>
  <si>
    <t>TMP6131LPG</t>
  </si>
  <si>
    <t xml:space="preserve">TMP6131ELPG </t>
  </si>
  <si>
    <t>-40 to 125°C (Low cost solution)</t>
  </si>
  <si>
    <t>Ohms at 25C</t>
  </si>
  <si>
    <t>Max temperature</t>
  </si>
  <si>
    <t>Min temperature</t>
  </si>
  <si>
    <t>IBias (1uA-400uA)</t>
  </si>
  <si>
    <t>lowered the input current limit to 1uA for the TMP63 series of parts</t>
  </si>
  <si>
    <t>added the constant current source tab</t>
  </si>
  <si>
    <t>4th Order Polynomial Tmp vs Res</t>
  </si>
  <si>
    <t>4th Order Polynomial Tmp vs Vdc</t>
  </si>
  <si>
    <t>Preferred method to calculate the temperature values from the resistance</t>
  </si>
  <si>
    <r>
      <t>Preferred method to calculate the temperature values from the V</t>
    </r>
    <r>
      <rPr>
        <vertAlign val="subscript"/>
        <sz val="10"/>
        <rFont val="Arial"/>
        <family val="2"/>
      </rPr>
      <t>TEMP</t>
    </r>
    <r>
      <rPr>
        <sz val="10"/>
        <rFont val="Arial"/>
        <family val="2"/>
      </rPr>
      <t xml:space="preserve"> voltage</t>
    </r>
  </si>
  <si>
    <t>VTEMP change across temperature  (VTEMP vs Resistance)</t>
  </si>
  <si>
    <r>
      <t>Temperature as a function of V</t>
    </r>
    <r>
      <rPr>
        <b/>
        <i/>
        <vertAlign val="subscript"/>
        <sz val="10"/>
        <color rgb="FF000000"/>
        <rFont val="Arial"/>
        <family val="2"/>
      </rPr>
      <t>TEMP</t>
    </r>
    <r>
      <rPr>
        <b/>
        <i/>
        <sz val="10"/>
        <color rgb="FF000000"/>
        <rFont val="Arial"/>
        <family val="2"/>
      </rPr>
      <t xml:space="preserve">
</t>
    </r>
  </si>
  <si>
    <t>float VTEMP = 0;</t>
  </si>
  <si>
    <t>// set up the variable for the voltage divider</t>
  </si>
  <si>
    <t xml:space="preserve">    VTEMP = 0;                  </t>
  </si>
  <si>
    <t>LSB</t>
  </si>
  <si>
    <t>Added Temperature vs VTEMP tab</t>
  </si>
  <si>
    <t>Corrected typo errors throughout the worksheet</t>
  </si>
  <si>
    <t>Updated copyright dates</t>
  </si>
  <si>
    <t>Adjust the Alpha to change the filter</t>
  </si>
  <si>
    <t>Alpha (α)</t>
  </si>
  <si>
    <t>0.001&lt;α&lt;1</t>
  </si>
  <si>
    <t>Meas_Temp</t>
  </si>
  <si>
    <t>C</t>
  </si>
  <si>
    <t>preset value</t>
  </si>
  <si>
    <t>To increase accuracy and reduce start up time of the filter set the Meas_Temp variable to the first temperature value measured.</t>
  </si>
  <si>
    <t>Filtered_Temp</t>
  </si>
  <si>
    <t>To increase accuracy and reduce start up time of the filter set the Filtered_Temp variable to the first temperature value measured.</t>
  </si>
  <si>
    <t>Example:</t>
  </si>
  <si>
    <t>Results:</t>
  </si>
  <si>
    <t>Seconds</t>
  </si>
  <si>
    <t xml:space="preserve">Meas_Temp  (°C) </t>
  </si>
  <si>
    <t xml:space="preserve">Filtered_Temp  (°C) </t>
  </si>
  <si>
    <t>// Low Pass Filter using an Alpha and preset values to create a filtered or smoothed temperature response -------------------------------------------------</t>
  </si>
  <si>
    <t>//Floating Point</t>
  </si>
  <si>
    <t xml:space="preserve">float Meas_Temp = 25;     </t>
  </si>
  <si>
    <t xml:space="preserve"> // It's assumed that you have read the ADC and calculated your temperature</t>
  </si>
  <si>
    <t xml:space="preserve">float Filtered_Temp = 25;     </t>
  </si>
  <si>
    <t xml:space="preserve"> // Set a default filtered temperature value equal to the first measured value to reduce the ramp time</t>
  </si>
  <si>
    <t xml:space="preserve">float Alpha = 0.1;     </t>
  </si>
  <si>
    <t xml:space="preserve"> // .001&lt;α&lt;1, adjust as required</t>
  </si>
  <si>
    <t xml:space="preserve">// Insert this line of code after the temperature calculation (remember to add the offset to your temperature values) </t>
  </si>
  <si>
    <t xml:space="preserve">Filtered_Temp = Filtered_Temp - (Alpha * (Filtered_Temp - Meas_Temp)); </t>
  </si>
  <si>
    <t>Low Pass Filter</t>
  </si>
  <si>
    <t>Added Firmware LPF tab</t>
  </si>
  <si>
    <t>Max Operating Temperature</t>
  </si>
  <si>
    <t>℃</t>
  </si>
  <si>
    <t>Added Max temp for part  to main page</t>
  </si>
  <si>
    <t>Firmware based Low Pass Filter</t>
  </si>
  <si>
    <t>// Remove all lines associated with unused temperatures and update the table length</t>
  </si>
  <si>
    <t>SPS (Samples Per Second)</t>
  </si>
  <si>
    <t>LPF (Low Pass Filter)</t>
  </si>
  <si>
    <t>Hz</t>
  </si>
  <si>
    <t>Enter The sample rate per second</t>
  </si>
  <si>
    <t>Enter the Alpha value (The smaller the Alpha value the more the filter reduces variations)</t>
  </si>
  <si>
    <t>Typical NTC</t>
  </si>
  <si>
    <t xml:space="preserve">        for(j = 0; j &lt; Tmp_1_length; j++)                                 // shift the array as a FIFO and drop the last data value, add the new value to the array for (x) samples</t>
  </si>
  <si>
    <t>1.310</t>
  </si>
  <si>
    <t>Corrected typo in averaging code example</t>
  </si>
  <si>
    <t>Unlocked</t>
  </si>
  <si>
    <r>
      <rPr>
        <b/>
        <i/>
        <sz val="12"/>
        <color rgb="FF00B0F0"/>
        <rFont val="Arial"/>
        <family val="2"/>
      </rPr>
      <t>R(Ω)</t>
    </r>
    <r>
      <rPr>
        <b/>
        <i/>
        <sz val="12"/>
        <rFont val="Arial"/>
        <family val="2"/>
      </rPr>
      <t xml:space="preserve"> = </t>
    </r>
    <r>
      <rPr>
        <b/>
        <i/>
        <sz val="12"/>
        <color rgb="FFFF0000"/>
        <rFont val="Arial"/>
        <family val="2"/>
      </rPr>
      <t>A4</t>
    </r>
    <r>
      <rPr>
        <b/>
        <i/>
        <sz val="12"/>
        <rFont val="Arial"/>
        <family val="2"/>
      </rPr>
      <t>*(</t>
    </r>
    <r>
      <rPr>
        <b/>
        <i/>
        <sz val="12"/>
        <color rgb="FF00B050"/>
        <rFont val="Arial"/>
        <family val="2"/>
      </rPr>
      <t>T</t>
    </r>
    <r>
      <rPr>
        <b/>
        <i/>
        <sz val="12"/>
        <rFont val="Arial"/>
        <family val="2"/>
      </rPr>
      <t xml:space="preserve">^4) + </t>
    </r>
    <r>
      <rPr>
        <b/>
        <i/>
        <sz val="12"/>
        <color rgb="FF7030A0"/>
        <rFont val="Arial"/>
        <family val="2"/>
      </rPr>
      <t>A3</t>
    </r>
    <r>
      <rPr>
        <b/>
        <i/>
        <sz val="12"/>
        <rFont val="Arial"/>
        <family val="2"/>
      </rPr>
      <t>*(</t>
    </r>
    <r>
      <rPr>
        <b/>
        <i/>
        <sz val="12"/>
        <color rgb="FF00B050"/>
        <rFont val="Arial"/>
        <family val="2"/>
      </rPr>
      <t>T</t>
    </r>
    <r>
      <rPr>
        <b/>
        <i/>
        <sz val="12"/>
        <rFont val="Arial"/>
        <family val="2"/>
      </rPr>
      <t xml:space="preserve">^3) + </t>
    </r>
    <r>
      <rPr>
        <b/>
        <i/>
        <sz val="12"/>
        <color rgb="FFC00000"/>
        <rFont val="Arial"/>
        <family val="2"/>
      </rPr>
      <t>A2</t>
    </r>
    <r>
      <rPr>
        <b/>
        <i/>
        <sz val="12"/>
        <rFont val="Arial"/>
        <family val="2"/>
      </rPr>
      <t>*(</t>
    </r>
    <r>
      <rPr>
        <b/>
        <i/>
        <sz val="12"/>
        <color rgb="FF00B050"/>
        <rFont val="Arial"/>
        <family val="2"/>
      </rPr>
      <t>T</t>
    </r>
    <r>
      <rPr>
        <b/>
        <i/>
        <sz val="12"/>
        <rFont val="Arial"/>
        <family val="2"/>
      </rPr>
      <t xml:space="preserve">^2) + </t>
    </r>
    <r>
      <rPr>
        <b/>
        <i/>
        <sz val="12"/>
        <color rgb="FF0070C0"/>
        <rFont val="Arial"/>
        <family val="2"/>
      </rPr>
      <t>A1</t>
    </r>
    <r>
      <rPr>
        <b/>
        <i/>
        <sz val="12"/>
        <rFont val="Arial"/>
        <family val="2"/>
      </rPr>
      <t>*</t>
    </r>
    <r>
      <rPr>
        <b/>
        <i/>
        <sz val="12"/>
        <color rgb="FF00B050"/>
        <rFont val="Arial"/>
        <family val="2"/>
      </rPr>
      <t xml:space="preserve">T </t>
    </r>
    <r>
      <rPr>
        <b/>
        <i/>
        <sz val="12"/>
        <rFont val="Arial"/>
        <family val="2"/>
      </rPr>
      <t>+ A0</t>
    </r>
  </si>
  <si>
    <r>
      <rPr>
        <b/>
        <sz val="12"/>
        <color rgb="FF00B0F0"/>
        <rFont val="Arial"/>
        <family val="2"/>
      </rPr>
      <t>TºC</t>
    </r>
    <r>
      <rPr>
        <b/>
        <sz val="12"/>
        <rFont val="Arial"/>
        <family val="2"/>
      </rPr>
      <t xml:space="preserve"> = </t>
    </r>
    <r>
      <rPr>
        <b/>
        <sz val="12"/>
        <color rgb="FFFF0000"/>
        <rFont val="Arial"/>
        <family val="2"/>
      </rPr>
      <t>A4</t>
    </r>
    <r>
      <rPr>
        <b/>
        <sz val="12"/>
        <rFont val="Arial"/>
        <family val="2"/>
      </rPr>
      <t>*(</t>
    </r>
    <r>
      <rPr>
        <b/>
        <sz val="12"/>
        <color rgb="FF00B050"/>
        <rFont val="Arial"/>
        <family val="2"/>
      </rPr>
      <t>R</t>
    </r>
    <r>
      <rPr>
        <b/>
        <sz val="12"/>
        <rFont val="Arial"/>
        <family val="2"/>
      </rPr>
      <t xml:space="preserve">^4) + </t>
    </r>
    <r>
      <rPr>
        <b/>
        <sz val="12"/>
        <color rgb="FF7030A0"/>
        <rFont val="Arial"/>
        <family val="2"/>
      </rPr>
      <t>A3</t>
    </r>
    <r>
      <rPr>
        <b/>
        <sz val="12"/>
        <rFont val="Arial"/>
        <family val="2"/>
      </rPr>
      <t>*(</t>
    </r>
    <r>
      <rPr>
        <b/>
        <sz val="12"/>
        <color rgb="FF00B050"/>
        <rFont val="Arial"/>
        <family val="2"/>
      </rPr>
      <t>R</t>
    </r>
    <r>
      <rPr>
        <b/>
        <sz val="12"/>
        <rFont val="Arial"/>
        <family val="2"/>
      </rPr>
      <t xml:space="preserve">^3) + </t>
    </r>
    <r>
      <rPr>
        <b/>
        <sz val="12"/>
        <color rgb="FFC00000"/>
        <rFont val="Arial"/>
        <family val="2"/>
      </rPr>
      <t>A2</t>
    </r>
    <r>
      <rPr>
        <b/>
        <sz val="12"/>
        <rFont val="Arial"/>
        <family val="2"/>
      </rPr>
      <t>*(</t>
    </r>
    <r>
      <rPr>
        <b/>
        <sz val="12"/>
        <color rgb="FF00B050"/>
        <rFont val="Arial"/>
        <family val="2"/>
      </rPr>
      <t>R</t>
    </r>
    <r>
      <rPr>
        <b/>
        <sz val="12"/>
        <rFont val="Arial"/>
        <family val="2"/>
      </rPr>
      <t xml:space="preserve">^2) + </t>
    </r>
    <r>
      <rPr>
        <b/>
        <sz val="12"/>
        <color rgb="FF0070C0"/>
        <rFont val="Arial"/>
        <family val="2"/>
      </rPr>
      <t>A1</t>
    </r>
    <r>
      <rPr>
        <b/>
        <sz val="12"/>
        <rFont val="Arial"/>
        <family val="2"/>
      </rPr>
      <t>*</t>
    </r>
    <r>
      <rPr>
        <b/>
        <sz val="12"/>
        <color rgb="FF00B050"/>
        <rFont val="Arial"/>
        <family val="2"/>
      </rPr>
      <t>R</t>
    </r>
    <r>
      <rPr>
        <b/>
        <sz val="12"/>
        <rFont val="Arial"/>
        <family val="2"/>
      </rPr>
      <t xml:space="preserve"> + A0</t>
    </r>
  </si>
  <si>
    <r>
      <t>(</t>
    </r>
    <r>
      <rPr>
        <sz val="12"/>
        <rFont val="Calibri"/>
        <family val="2"/>
      </rPr>
      <t>Ω</t>
    </r>
    <r>
      <rPr>
        <sz val="12"/>
        <rFont val="Arial"/>
        <family val="2"/>
      </rPr>
      <t>)</t>
    </r>
  </si>
  <si>
    <r>
      <t>Temperature as a function of V</t>
    </r>
    <r>
      <rPr>
        <b/>
        <i/>
        <vertAlign val="subscript"/>
        <sz val="12"/>
        <color rgb="FF000000"/>
        <rFont val="Arial"/>
        <family val="2"/>
      </rPr>
      <t>TEMP</t>
    </r>
    <r>
      <rPr>
        <b/>
        <i/>
        <sz val="12"/>
        <color rgb="FF000000"/>
        <rFont val="Arial"/>
        <family val="2"/>
      </rPr>
      <t xml:space="preserve">
</t>
    </r>
  </si>
  <si>
    <r>
      <t>Typical resistance (</t>
    </r>
    <r>
      <rPr>
        <b/>
        <u/>
        <sz val="12"/>
        <rFont val="Calibri"/>
        <family val="2"/>
      </rPr>
      <t>Ω</t>
    </r>
    <r>
      <rPr>
        <b/>
        <u/>
        <sz val="12"/>
        <rFont val="Arial"/>
        <family val="2"/>
      </rPr>
      <t>)</t>
    </r>
  </si>
  <si>
    <r>
      <rPr>
        <sz val="12"/>
        <rFont val="Calibri"/>
        <family val="2"/>
      </rPr>
      <t>°</t>
    </r>
    <r>
      <rPr>
        <sz val="12"/>
        <rFont val="Arial"/>
        <family val="2"/>
      </rPr>
      <t>C</t>
    </r>
  </si>
  <si>
    <t>Enter Vsense as a voltage from the ADC to get the temperature</t>
  </si>
  <si>
    <t>Vsense</t>
  </si>
  <si>
    <t xml:space="preserve">    VSENSE = 0;                  </t>
  </si>
  <si>
    <t xml:space="preserve">    THRM_TEMP = (THRM_A4 * powf( VSENSE,4)) + (THRM_A3 * powf( VSENSE,3)) + (THRM_A2 * powf( VSENSE,2)) + (THRM_A1 *  VSENSE) + THRM_A0;</t>
  </si>
  <si>
    <t xml:space="preserve">    VSENSE = (VRef/ADC_BITS) * THRM_ADC;   </t>
  </si>
  <si>
    <t>float VSENSE = 0;</t>
  </si>
  <si>
    <t xml:space="preserve">     VSENSE = (VRef/ADC_BITS) * THRM_ADC;   </t>
  </si>
  <si>
    <t xml:space="preserve">    THRM_RES =  VSENSE / (IBias / 1000000);  </t>
  </si>
  <si>
    <t xml:space="preserve">     VSENSE = (VRef / ADC_BITS) * THRM_ADC  ;  </t>
  </si>
  <si>
    <t xml:space="preserve">    THRM_RES =  VSENSE / (IBias / 1000000);      </t>
  </si>
  <si>
    <t xml:space="preserve">     VSENSE = 0;                                                     // reset these variables to zero in order to recalculate the new factors</t>
  </si>
  <si>
    <t xml:space="preserve">    VSENSE = (VRef / ADC_BITS) * THRM_ADC  ;  </t>
  </si>
  <si>
    <t xml:space="preserve">    VSENSE = 0;                    // reset these variables to zero in order to recalculate the new factors</t>
  </si>
  <si>
    <t>VSENSE (Top Voltage)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</si>
</sst>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64" formatCode="General_)"/>
    <numFmt numFmtId="165" formatCode="0.000000"/>
    <numFmt numFmtId="166" formatCode="0.0000000"/>
    <numFmt numFmtId="167" formatCode="0.00000000"/>
    <numFmt numFmtId="168" formatCode="0.00_)"/>
    <numFmt numFmtId="169" formatCode="0.000000000"/>
    <numFmt numFmtId="170" formatCode="0.0000%"/>
    <numFmt numFmtId="171" formatCode="0.000000000000"/>
    <numFmt numFmtId="172" formatCode="0.0"/>
    <numFmt numFmtId="173" formatCode="0.000"/>
    <numFmt numFmtId="174" formatCode="0.0000"/>
    <numFmt numFmtId="175" formatCode="#,##0.0"/>
    <numFmt numFmtId="176" formatCode="0.0000E+00"/>
    <numFmt numFmtId="177" formatCode="0.00000E+00"/>
    <numFmt numFmtId="178" formatCode="0.000000E+00"/>
    <numFmt numFmtId="179" formatCode="0.00000"/>
  </numFmts>
  <fonts count="87" x14ac:knownFonts="1">
    <font>
      <sz val="10"/>
      <name val="Arial"/>
      <family val="2"/>
    </font>
    <font>
      <sz val="11"/>
      <color theme="1"/>
      <name val="Calibri"/>
      <family val="2"/>
      <scheme val="minor"/>
    </font>
    <font>
      <sz val="11"/>
      <color theme="1"/>
      <name val="Calibri"/>
      <family val="2"/>
      <scheme val="minor"/>
    </font>
    <font>
      <sz val="12"/>
      <color theme="1"/>
      <name val="Calibri"/>
      <family val="2"/>
      <scheme val="minor"/>
    </font>
    <font>
      <sz val="11"/>
      <color theme="1"/>
      <name val="Calibri"/>
      <family val="2"/>
      <scheme val="minor"/>
    </font>
    <font>
      <sz val="10"/>
      <name val="Arial"/>
      <family val="2"/>
    </font>
    <font>
      <sz val="10"/>
      <name val="Courier"/>
      <family val="3"/>
    </font>
    <font>
      <sz val="11"/>
      <color theme="1"/>
      <name val="Calibri"/>
      <family val="2"/>
      <scheme val="minor"/>
    </font>
    <font>
      <sz val="11"/>
      <color theme="0"/>
      <name val="Calibri"/>
      <family val="2"/>
      <scheme val="minor"/>
    </font>
    <font>
      <b/>
      <sz val="10"/>
      <color rgb="FFFA7D00"/>
      <name val="Arial"/>
      <family val="2"/>
    </font>
    <font>
      <u/>
      <sz val="10.199999999999999"/>
      <color indexed="12"/>
      <name val="Times New Roman CE"/>
      <charset val="238"/>
    </font>
    <font>
      <sz val="10"/>
      <color rgb="FF3F3F76"/>
      <name val="Arial"/>
      <family val="2"/>
    </font>
    <font>
      <sz val="10"/>
      <color rgb="FF9C6500"/>
      <name val="Arial"/>
      <family val="2"/>
    </font>
    <font>
      <u/>
      <sz val="10"/>
      <color theme="10"/>
      <name val="Arial"/>
      <family val="2"/>
    </font>
    <font>
      <b/>
      <sz val="12"/>
      <color theme="1"/>
      <name val="Arial"/>
      <family val="2"/>
    </font>
    <font>
      <b/>
      <sz val="10"/>
      <color theme="1"/>
      <name val="Arial"/>
      <family val="2"/>
    </font>
    <font>
      <i/>
      <sz val="10"/>
      <color theme="1"/>
      <name val="Arial"/>
      <family val="2"/>
    </font>
    <font>
      <sz val="10"/>
      <color theme="1"/>
      <name val="Arial"/>
      <family val="2"/>
    </font>
    <font>
      <sz val="10"/>
      <color theme="0"/>
      <name val="Arial"/>
      <family val="2"/>
    </font>
    <font>
      <b/>
      <u/>
      <sz val="10"/>
      <name val="Arial"/>
      <family val="2"/>
    </font>
    <font>
      <b/>
      <sz val="14"/>
      <color rgb="FFFF0000"/>
      <name val="Arial"/>
      <family val="2"/>
    </font>
    <font>
      <b/>
      <sz val="10"/>
      <name val="Arial"/>
      <family val="2"/>
    </font>
    <font>
      <b/>
      <i/>
      <sz val="10"/>
      <name val="Arial"/>
      <family val="2"/>
    </font>
    <font>
      <b/>
      <sz val="11"/>
      <name val="Arial"/>
      <family val="2"/>
    </font>
    <font>
      <i/>
      <sz val="10"/>
      <name val="Arial"/>
      <family val="2"/>
    </font>
    <font>
      <sz val="10"/>
      <color rgb="FF574123"/>
      <name val="Arial"/>
      <family val="2"/>
    </font>
    <font>
      <sz val="10"/>
      <color rgb="FF00B0F0"/>
      <name val="Arial"/>
      <family val="2"/>
    </font>
    <font>
      <b/>
      <i/>
      <sz val="10"/>
      <color rgb="FF000000"/>
      <name val="Arial"/>
      <family val="2"/>
    </font>
    <font>
      <b/>
      <i/>
      <sz val="10"/>
      <color theme="1"/>
      <name val="Arial"/>
      <family val="2"/>
    </font>
    <font>
      <sz val="11"/>
      <name val="Calibri"/>
      <family val="2"/>
    </font>
    <font>
      <b/>
      <sz val="12"/>
      <name val="Arial"/>
      <family val="2"/>
    </font>
    <font>
      <sz val="12"/>
      <name val="Arial"/>
      <family val="2"/>
    </font>
    <font>
      <b/>
      <sz val="11"/>
      <color theme="1"/>
      <name val="Arial"/>
      <family val="2"/>
    </font>
    <font>
      <b/>
      <i/>
      <sz val="11"/>
      <name val="Arial"/>
      <family val="2"/>
    </font>
    <font>
      <sz val="16"/>
      <color rgb="FF000000"/>
      <name val="Arial Black"/>
      <family val="2"/>
    </font>
    <font>
      <sz val="10"/>
      <color rgb="FFFF0000"/>
      <name val="Arial"/>
      <family val="2"/>
    </font>
    <font>
      <sz val="12"/>
      <color theme="1"/>
      <name val="Arial"/>
      <family val="2"/>
    </font>
    <font>
      <sz val="10"/>
      <color theme="0" tint="-0.34998626667073579"/>
      <name val="Wingdings 3"/>
      <family val="1"/>
      <charset val="2"/>
    </font>
    <font>
      <b/>
      <sz val="14"/>
      <name val="Arial"/>
      <family val="2"/>
    </font>
    <font>
      <sz val="11"/>
      <name val="Arial"/>
      <family val="2"/>
    </font>
    <font>
      <u/>
      <sz val="12"/>
      <color theme="10"/>
      <name val="Arial"/>
      <family val="2"/>
    </font>
    <font>
      <b/>
      <u/>
      <sz val="16"/>
      <name val="Arial"/>
      <family val="2"/>
    </font>
    <font>
      <b/>
      <u/>
      <sz val="16"/>
      <name val="Tahoma"/>
      <family val="2"/>
    </font>
    <font>
      <i/>
      <sz val="11"/>
      <name val="Arial"/>
      <family val="2"/>
    </font>
    <font>
      <b/>
      <sz val="12"/>
      <name val="Tahoma"/>
      <family val="2"/>
    </font>
    <font>
      <b/>
      <sz val="12"/>
      <name val="Calibri"/>
      <family val="2"/>
      <scheme val="minor"/>
    </font>
    <font>
      <sz val="12"/>
      <name val="Calibri"/>
      <family val="2"/>
      <scheme val="minor"/>
    </font>
    <font>
      <b/>
      <u/>
      <sz val="10"/>
      <color rgb="FF00B0F0"/>
      <name val="Arial"/>
      <family val="2"/>
    </font>
    <font>
      <b/>
      <sz val="10"/>
      <color rgb="FF00B0F0"/>
      <name val="Arial"/>
      <family val="2"/>
    </font>
    <font>
      <b/>
      <sz val="12"/>
      <color theme="1"/>
      <name val="Calibri"/>
      <family val="2"/>
      <scheme val="minor"/>
    </font>
    <font>
      <b/>
      <sz val="14"/>
      <color theme="1"/>
      <name val="Calibri"/>
      <family val="2"/>
      <scheme val="minor"/>
    </font>
    <font>
      <b/>
      <u/>
      <sz val="12"/>
      <color theme="1"/>
      <name val="Calibri"/>
      <family val="2"/>
      <scheme val="minor"/>
    </font>
    <font>
      <i/>
      <sz val="12"/>
      <color theme="1"/>
      <name val="Calibri"/>
      <family val="2"/>
      <scheme val="minor"/>
    </font>
    <font>
      <b/>
      <i/>
      <sz val="12"/>
      <color theme="1"/>
      <name val="Calibri"/>
      <family val="2"/>
      <scheme val="minor"/>
    </font>
    <font>
      <i/>
      <sz val="12"/>
      <name val="Calibri"/>
      <family val="2"/>
      <scheme val="minor"/>
    </font>
    <font>
      <i/>
      <sz val="11"/>
      <name val="Calibri"/>
      <family val="2"/>
      <scheme val="minor"/>
    </font>
    <font>
      <b/>
      <u/>
      <sz val="12"/>
      <name val="Arial"/>
      <family val="2"/>
    </font>
    <font>
      <b/>
      <sz val="11"/>
      <color theme="1"/>
      <name val="Calibri"/>
      <family val="2"/>
      <scheme val="minor"/>
    </font>
    <font>
      <vertAlign val="subscript"/>
      <sz val="10"/>
      <name val="Arial"/>
      <family val="2"/>
    </font>
    <font>
      <b/>
      <i/>
      <vertAlign val="subscript"/>
      <sz val="10"/>
      <color rgb="FF000000"/>
      <name val="Arial"/>
      <family val="2"/>
    </font>
    <font>
      <b/>
      <i/>
      <sz val="12"/>
      <name val="Arial"/>
      <family val="2"/>
    </font>
    <font>
      <b/>
      <i/>
      <sz val="12"/>
      <color rgb="FF00B0F0"/>
      <name val="Arial"/>
      <family val="2"/>
    </font>
    <font>
      <b/>
      <i/>
      <sz val="12"/>
      <color rgb="FFFF0000"/>
      <name val="Arial"/>
      <family val="2"/>
    </font>
    <font>
      <b/>
      <i/>
      <sz val="12"/>
      <color rgb="FF00B050"/>
      <name val="Arial"/>
      <family val="2"/>
    </font>
    <font>
      <b/>
      <i/>
      <sz val="12"/>
      <color rgb="FF7030A0"/>
      <name val="Arial"/>
      <family val="2"/>
    </font>
    <font>
      <b/>
      <i/>
      <sz val="12"/>
      <color rgb="FFC00000"/>
      <name val="Arial"/>
      <family val="2"/>
    </font>
    <font>
      <b/>
      <i/>
      <sz val="12"/>
      <color rgb="FF0070C0"/>
      <name val="Arial"/>
      <family val="2"/>
    </font>
    <font>
      <b/>
      <i/>
      <sz val="12"/>
      <color rgb="FF000000"/>
      <name val="Arial"/>
      <family val="2"/>
    </font>
    <font>
      <sz val="12"/>
      <color rgb="FF0070C0"/>
      <name val="Arial"/>
      <family val="2"/>
    </font>
    <font>
      <sz val="12"/>
      <color rgb="FFC00000"/>
      <name val="Arial"/>
      <family val="2"/>
    </font>
    <font>
      <sz val="12"/>
      <color rgb="FF7030A0"/>
      <name val="Arial"/>
      <family val="2"/>
    </font>
    <font>
      <sz val="12"/>
      <color rgb="FFFF0000"/>
      <name val="Arial"/>
      <family val="2"/>
    </font>
    <font>
      <sz val="12"/>
      <color rgb="FF00B050"/>
      <name val="Arial"/>
      <family val="2"/>
    </font>
    <font>
      <sz val="12"/>
      <color rgb="FF00B0F0"/>
      <name val="Arial"/>
      <family val="2"/>
    </font>
    <font>
      <b/>
      <sz val="12"/>
      <color rgb="FF00B0F0"/>
      <name val="Arial"/>
      <family val="2"/>
    </font>
    <font>
      <b/>
      <sz val="12"/>
      <color rgb="FFFF0000"/>
      <name val="Arial"/>
      <family val="2"/>
    </font>
    <font>
      <b/>
      <sz val="12"/>
      <color rgb="FF00B050"/>
      <name val="Arial"/>
      <family val="2"/>
    </font>
    <font>
      <b/>
      <sz val="12"/>
      <color rgb="FF7030A0"/>
      <name val="Arial"/>
      <family val="2"/>
    </font>
    <font>
      <b/>
      <sz val="12"/>
      <color rgb="FFC00000"/>
      <name val="Arial"/>
      <family val="2"/>
    </font>
    <font>
      <b/>
      <sz val="12"/>
      <color rgb="FF0070C0"/>
      <name val="Arial"/>
      <family val="2"/>
    </font>
    <font>
      <i/>
      <sz val="12"/>
      <name val="Arial"/>
      <family val="2"/>
    </font>
    <font>
      <b/>
      <i/>
      <u/>
      <sz val="12"/>
      <name val="Arial"/>
      <family val="2"/>
    </font>
    <font>
      <sz val="12"/>
      <name val="Calibri"/>
      <family val="2"/>
    </font>
    <font>
      <b/>
      <u/>
      <sz val="12"/>
      <color theme="1"/>
      <name val="Arial"/>
      <family val="2"/>
    </font>
    <font>
      <b/>
      <i/>
      <vertAlign val="subscript"/>
      <sz val="12"/>
      <color rgb="FF000000"/>
      <name val="Arial"/>
      <family val="2"/>
    </font>
    <font>
      <sz val="12"/>
      <color rgb="FF574123"/>
      <name val="Arial"/>
      <family val="2"/>
    </font>
    <font>
      <b/>
      <u/>
      <sz val="12"/>
      <name val="Calibri"/>
      <family val="2"/>
    </font>
  </fonts>
  <fills count="20">
    <fill>
      <patternFill patternType="none"/>
    </fill>
    <fill>
      <patternFill patternType="gray125"/>
    </fill>
    <fill>
      <patternFill patternType="solid">
        <fgColor rgb="FFFFEB9C"/>
      </patternFill>
    </fill>
    <fill>
      <patternFill patternType="solid">
        <fgColor rgb="FFFFCC99"/>
      </patternFill>
    </fill>
    <fill>
      <patternFill patternType="solid">
        <fgColor rgb="FFF2F2F2"/>
      </patternFill>
    </fill>
    <fill>
      <patternFill patternType="solid">
        <fgColor theme="4"/>
      </patternFill>
    </fill>
    <fill>
      <patternFill patternType="solid">
        <fgColor theme="4" tint="0.79998168889431442"/>
        <bgColor indexed="65"/>
      </patternFill>
    </fill>
    <fill>
      <patternFill patternType="solid">
        <fgColor theme="9"/>
      </patternFill>
    </fill>
    <fill>
      <patternFill patternType="solid">
        <fgColor theme="9" tint="0.79998168889431442"/>
        <bgColor indexed="65"/>
      </patternFill>
    </fill>
    <fill>
      <patternFill patternType="solid">
        <fgColor rgb="FFFFFF00"/>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FFC000"/>
        <bgColor indexed="64"/>
      </patternFill>
    </fill>
    <fill>
      <patternFill patternType="solid">
        <fgColor rgb="FFDE0000"/>
        <bgColor indexed="64"/>
      </patternFill>
    </fill>
    <fill>
      <patternFill patternType="solid">
        <fgColor theme="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rgb="FF92D050"/>
        <bgColor indexed="64"/>
      </patternFill>
    </fill>
    <fill>
      <patternFill patternType="solid">
        <fgColor theme="4" tint="0.79998168889431442"/>
        <bgColor indexed="64"/>
      </patternFill>
    </fill>
  </fills>
  <borders count="70">
    <border>
      <left/>
      <right/>
      <top/>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ck">
        <color auto="1"/>
      </left>
      <right/>
      <top style="thick">
        <color auto="1"/>
      </top>
      <bottom/>
      <diagonal/>
    </border>
    <border>
      <left/>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style="thick">
        <color auto="1"/>
      </right>
      <top style="thick">
        <color auto="1"/>
      </top>
      <bottom/>
      <diagonal/>
    </border>
    <border>
      <left/>
      <right/>
      <top style="thin">
        <color auto="1"/>
      </top>
      <bottom style="thin">
        <color auto="1"/>
      </bottom>
      <diagonal/>
    </border>
    <border>
      <left style="thick">
        <color rgb="FFCC0000"/>
      </left>
      <right/>
      <top/>
      <bottom/>
      <diagonal/>
    </border>
    <border>
      <left style="medium">
        <color rgb="FFC00000"/>
      </left>
      <right/>
      <top style="medium">
        <color rgb="FFC00000"/>
      </top>
      <bottom style="medium">
        <color rgb="FFC00000"/>
      </bottom>
      <diagonal/>
    </border>
    <border>
      <left/>
      <right style="medium">
        <color rgb="FFC00000"/>
      </right>
      <top style="medium">
        <color rgb="FFC00000"/>
      </top>
      <bottom style="medium">
        <color rgb="FFC00000"/>
      </bottom>
      <diagonal/>
    </border>
    <border>
      <left/>
      <right/>
      <top/>
      <bottom style="medium">
        <color rgb="FFC00000"/>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ck">
        <color auto="1"/>
      </left>
      <right/>
      <top style="medium">
        <color auto="1"/>
      </top>
      <bottom style="medium">
        <color auto="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rgb="FFC00000"/>
      </left>
      <right style="medium">
        <color rgb="FFC00000"/>
      </right>
      <top style="medium">
        <color rgb="FFC00000"/>
      </top>
      <bottom style="medium">
        <color rgb="FFC00000"/>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style="medium">
        <color rgb="FFC00000"/>
      </bottom>
      <diagonal/>
    </border>
    <border>
      <left/>
      <right style="medium">
        <color rgb="FFC00000"/>
      </right>
      <top/>
      <bottom style="medium">
        <color rgb="FFC00000"/>
      </bottom>
      <diagonal/>
    </border>
    <border>
      <left style="medium">
        <color rgb="FFC00000"/>
      </left>
      <right style="medium">
        <color rgb="FFC00000"/>
      </right>
      <top style="thin">
        <color indexed="64"/>
      </top>
      <bottom style="thin">
        <color indexed="64"/>
      </bottom>
      <diagonal/>
    </border>
    <border>
      <left style="medium">
        <color rgb="FF00B050"/>
      </left>
      <right style="medium">
        <color rgb="FF00B050"/>
      </right>
      <top style="medium">
        <color rgb="FF00B050"/>
      </top>
      <bottom style="medium">
        <color rgb="FF00B050"/>
      </bottom>
      <diagonal/>
    </border>
    <border>
      <left style="medium">
        <color rgb="FF00B050"/>
      </left>
      <right style="medium">
        <color rgb="FF00B050"/>
      </right>
      <top style="medium">
        <color rgb="FFC00000"/>
      </top>
      <bottom style="medium">
        <color rgb="FF00B050"/>
      </bottom>
      <diagonal/>
    </border>
    <border>
      <left style="thin">
        <color theme="1"/>
      </left>
      <right style="thin">
        <color theme="1"/>
      </right>
      <top style="thin">
        <color theme="1"/>
      </top>
      <bottom style="thin">
        <color theme="1"/>
      </bottom>
      <diagonal/>
    </border>
    <border>
      <left style="medium">
        <color rgb="FF00B050"/>
      </left>
      <right style="medium">
        <color rgb="FF00B050"/>
      </right>
      <top/>
      <bottom style="medium">
        <color rgb="FF00B050"/>
      </bottom>
      <diagonal/>
    </border>
    <border>
      <left style="medium">
        <color rgb="FFC00000"/>
      </left>
      <right style="medium">
        <color rgb="FFC00000"/>
      </right>
      <top style="medium">
        <color rgb="FFC00000"/>
      </top>
      <bottom style="thin">
        <color indexed="64"/>
      </bottom>
      <diagonal/>
    </border>
    <border>
      <left style="thin">
        <color indexed="64"/>
      </left>
      <right style="thin">
        <color indexed="64"/>
      </right>
      <top/>
      <bottom/>
      <diagonal/>
    </border>
    <border>
      <left style="medium">
        <color rgb="FFC00000"/>
      </left>
      <right style="medium">
        <color rgb="FF00B050"/>
      </right>
      <top/>
      <bottom/>
      <diagonal/>
    </border>
    <border>
      <left/>
      <right style="medium">
        <color rgb="FF00B050"/>
      </right>
      <top/>
      <bottom/>
      <diagonal/>
    </border>
    <border>
      <left/>
      <right style="thin">
        <color indexed="64"/>
      </right>
      <top style="thin">
        <color theme="1"/>
      </top>
      <bottom style="thin">
        <color indexed="64"/>
      </bottom>
      <diagonal/>
    </border>
    <border>
      <left style="medium">
        <color rgb="FFC00000"/>
      </left>
      <right style="medium">
        <color rgb="FFC00000"/>
      </right>
      <top style="thin">
        <color theme="1"/>
      </top>
      <bottom style="thin">
        <color theme="1"/>
      </bottom>
      <diagonal/>
    </border>
    <border>
      <left/>
      <right/>
      <top style="medium">
        <color auto="1"/>
      </top>
      <bottom/>
      <diagonal/>
    </border>
    <border>
      <left style="thin">
        <color indexed="64"/>
      </left>
      <right style="thin">
        <color indexed="64"/>
      </right>
      <top style="medium">
        <color auto="1"/>
      </top>
      <bottom style="thin">
        <color indexed="64"/>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medium">
        <color rgb="FF00B050"/>
      </right>
      <top style="medium">
        <color rgb="FF00B050"/>
      </top>
      <bottom style="medium">
        <color rgb="FF00B050"/>
      </bottom>
      <diagonal/>
    </border>
    <border>
      <left style="thin">
        <color theme="1"/>
      </left>
      <right style="thin">
        <color theme="1"/>
      </right>
      <top/>
      <bottom style="thin">
        <color theme="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rgb="FFC00000"/>
      </left>
      <right style="medium">
        <color rgb="FFC00000"/>
      </right>
      <top style="thin">
        <color indexed="64"/>
      </top>
      <bottom style="thin">
        <color theme="1"/>
      </bottom>
      <diagonal/>
    </border>
    <border>
      <left style="medium">
        <color rgb="FFC00000"/>
      </left>
      <right style="medium">
        <color rgb="FFC00000"/>
      </right>
      <top/>
      <bottom style="thin">
        <color indexed="64"/>
      </bottom>
      <diagonal/>
    </border>
    <border>
      <left style="medium">
        <color rgb="FFC00000"/>
      </left>
      <right style="medium">
        <color rgb="FFC00000"/>
      </right>
      <top style="thin">
        <color indexed="64"/>
      </top>
      <bottom style="medium">
        <color rgb="FFC00000"/>
      </bottom>
      <diagonal/>
    </border>
    <border>
      <left style="medium">
        <color auto="1"/>
      </left>
      <right style="medium">
        <color auto="1"/>
      </right>
      <top style="medium">
        <color auto="1"/>
      </top>
      <bottom style="medium">
        <color auto="1"/>
      </bottom>
      <diagonal/>
    </border>
    <border>
      <left style="medium">
        <color rgb="FFC00000"/>
      </left>
      <right style="medium">
        <color rgb="FFC00000"/>
      </right>
      <top style="thin">
        <color theme="1"/>
      </top>
      <bottom style="medium">
        <color rgb="FFC00000"/>
      </bottom>
      <diagonal/>
    </border>
  </borders>
  <cellStyleXfs count="30">
    <xf numFmtId="0" fontId="0" fillId="0" borderId="0"/>
    <xf numFmtId="0" fontId="5" fillId="0" borderId="0"/>
    <xf numFmtId="164" fontId="6" fillId="0" borderId="0"/>
    <xf numFmtId="0" fontId="7" fillId="6" borderId="0" applyNumberFormat="0" applyBorder="0" applyAlignment="0" applyProtection="0"/>
    <xf numFmtId="0" fontId="7" fillId="8" borderId="0" applyNumberFormat="0" applyBorder="0" applyAlignment="0" applyProtection="0"/>
    <xf numFmtId="0" fontId="8" fillId="5" borderId="0" applyNumberFormat="0" applyBorder="0" applyAlignment="0" applyProtection="0"/>
    <xf numFmtId="0" fontId="8" fillId="7" borderId="0" applyNumberFormat="0" applyBorder="0" applyAlignment="0" applyProtection="0"/>
    <xf numFmtId="0" fontId="9" fillId="4" borderId="1" applyNumberFormat="0" applyAlignment="0" applyProtection="0"/>
    <xf numFmtId="0" fontId="10" fillId="0" borderId="0" applyNumberFormat="0" applyFill="0" applyBorder="0" applyAlignment="0" applyProtection="0">
      <alignment vertical="top"/>
      <protection locked="0"/>
    </xf>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5" fillId="0" borderId="0"/>
    <xf numFmtId="0" fontId="7" fillId="0" borderId="0"/>
    <xf numFmtId="0" fontId="7" fillId="0" borderId="0"/>
    <xf numFmtId="0" fontId="7" fillId="0" borderId="0"/>
    <xf numFmtId="0" fontId="5" fillId="0" borderId="0"/>
    <xf numFmtId="9" fontId="5" fillId="0" borderId="0" applyFont="0" applyFill="0" applyBorder="0" applyAlignment="0" applyProtection="0"/>
    <xf numFmtId="0" fontId="13" fillId="0" borderId="0" applyNumberFormat="0" applyFill="0" applyBorder="0" applyAlignment="0" applyProtection="0"/>
    <xf numFmtId="0" fontId="4" fillId="6" borderId="0" applyNumberFormat="0" applyBorder="0" applyAlignment="0" applyProtection="0"/>
    <xf numFmtId="0" fontId="4" fillId="8" borderId="0" applyNumberFormat="0" applyBorder="0" applyAlignment="0" applyProtection="0"/>
    <xf numFmtId="0" fontId="4" fillId="0" borderId="0"/>
    <xf numFmtId="0" fontId="4" fillId="0" borderId="0"/>
    <xf numFmtId="0" fontId="4" fillId="0" borderId="0"/>
    <xf numFmtId="0" fontId="4" fillId="0" borderId="0"/>
    <xf numFmtId="0" fontId="5" fillId="0" borderId="0"/>
    <xf numFmtId="0" fontId="2" fillId="0" borderId="0"/>
    <xf numFmtId="0" fontId="1" fillId="0" borderId="0"/>
    <xf numFmtId="0" fontId="3" fillId="0" borderId="0"/>
  </cellStyleXfs>
  <cellXfs count="777">
    <xf numFmtId="0" fontId="0" fillId="0" borderId="0" xfId="0"/>
    <xf numFmtId="0" fontId="0" fillId="14" borderId="0" xfId="0" applyFont="1" applyFill="1"/>
    <xf numFmtId="0" fontId="0" fillId="0" borderId="0" xfId="0" applyFont="1"/>
    <xf numFmtId="0" fontId="0" fillId="14" borderId="0" xfId="0" applyFont="1" applyFill="1" applyAlignment="1">
      <alignment horizontal="center"/>
    </xf>
    <xf numFmtId="0" fontId="21" fillId="0" borderId="0" xfId="0" applyFont="1"/>
    <xf numFmtId="0" fontId="19" fillId="0" borderId="0" xfId="0" applyFont="1" applyAlignment="1">
      <alignment horizontal="center"/>
    </xf>
    <xf numFmtId="0" fontId="5" fillId="0" borderId="0" xfId="0" applyFont="1" applyProtection="1"/>
    <xf numFmtId="0" fontId="17" fillId="0" borderId="0" xfId="12" applyFont="1" applyProtection="1"/>
    <xf numFmtId="2" fontId="17" fillId="0" borderId="0" xfId="12" applyNumberFormat="1" applyFont="1" applyProtection="1"/>
    <xf numFmtId="0" fontId="0" fillId="14" borderId="0" xfId="0" applyFont="1" applyFill="1" applyAlignment="1">
      <alignment horizontal="left"/>
    </xf>
    <xf numFmtId="0" fontId="34" fillId="0" borderId="0" xfId="0" applyFont="1" applyAlignment="1">
      <alignment horizontal="left" vertical="center"/>
    </xf>
    <xf numFmtId="0" fontId="13" fillId="0" borderId="0" xfId="19" applyProtection="1">
      <protection hidden="1"/>
    </xf>
    <xf numFmtId="0" fontId="5" fillId="0" borderId="0" xfId="0" applyFont="1" applyProtection="1">
      <protection hidden="1"/>
    </xf>
    <xf numFmtId="1" fontId="5" fillId="0" borderId="0" xfId="0" applyNumberFormat="1" applyFont="1" applyProtection="1">
      <protection hidden="1"/>
    </xf>
    <xf numFmtId="0" fontId="5" fillId="0" borderId="0" xfId="0" applyFont="1" applyFill="1" applyProtection="1">
      <protection hidden="1"/>
    </xf>
    <xf numFmtId="0" fontId="21" fillId="0" borderId="0" xfId="1" applyFont="1" applyAlignment="1" applyProtection="1">
      <alignment horizontal="left"/>
      <protection hidden="1"/>
    </xf>
    <xf numFmtId="0" fontId="24" fillId="0" borderId="0" xfId="1" applyFont="1" applyFill="1" applyBorder="1" applyAlignment="1" applyProtection="1">
      <alignment horizontal="left"/>
      <protection hidden="1"/>
    </xf>
    <xf numFmtId="0" fontId="5" fillId="0" borderId="0" xfId="0" applyFont="1" applyAlignment="1" applyProtection="1">
      <alignment horizontal="left"/>
      <protection hidden="1"/>
    </xf>
    <xf numFmtId="164" fontId="24" fillId="0" borderId="0" xfId="2" applyFont="1" applyFill="1" applyBorder="1" applyAlignment="1" applyProtection="1">
      <alignment horizontal="left"/>
      <protection hidden="1"/>
    </xf>
    <xf numFmtId="0" fontId="5" fillId="0" borderId="0" xfId="0" applyFont="1" applyBorder="1" applyProtection="1">
      <protection hidden="1"/>
    </xf>
    <xf numFmtId="0" fontId="5" fillId="0" borderId="0" xfId="1" applyFont="1" applyProtection="1">
      <protection hidden="1"/>
    </xf>
    <xf numFmtId="0" fontId="5" fillId="0" borderId="0" xfId="0" applyFont="1" applyFill="1" applyBorder="1" applyProtection="1">
      <protection hidden="1"/>
    </xf>
    <xf numFmtId="0" fontId="0" fillId="0" borderId="0" xfId="0" applyFont="1" applyProtection="1">
      <protection hidden="1"/>
    </xf>
    <xf numFmtId="0" fontId="5" fillId="0" borderId="0" xfId="1" applyFont="1" applyFill="1" applyBorder="1" applyProtection="1">
      <protection hidden="1"/>
    </xf>
    <xf numFmtId="0" fontId="5" fillId="0" borderId="0" xfId="1" applyFont="1" applyFill="1" applyProtection="1">
      <protection hidden="1"/>
    </xf>
    <xf numFmtId="171" fontId="24" fillId="0" borderId="0" xfId="1" applyNumberFormat="1" applyFont="1" applyFill="1" applyBorder="1" applyAlignment="1" applyProtection="1">
      <alignment horizontal="left"/>
      <protection hidden="1"/>
    </xf>
    <xf numFmtId="0" fontId="5" fillId="0" borderId="0" xfId="1" applyFont="1" applyFill="1" applyBorder="1" applyAlignment="1" applyProtection="1">
      <alignment horizontal="left"/>
      <protection hidden="1"/>
    </xf>
    <xf numFmtId="2" fontId="5" fillId="0" borderId="0" xfId="1" applyNumberFormat="1" applyFont="1" applyFill="1" applyBorder="1" applyAlignment="1" applyProtection="1">
      <alignment horizontal="center"/>
      <protection hidden="1"/>
    </xf>
    <xf numFmtId="0" fontId="21" fillId="0" borderId="0" xfId="1" applyFont="1" applyFill="1" applyBorder="1" applyAlignment="1" applyProtection="1">
      <alignment horizontal="left"/>
      <protection hidden="1"/>
    </xf>
    <xf numFmtId="0" fontId="5" fillId="0" borderId="0" xfId="1" applyFont="1" applyBorder="1" applyProtection="1">
      <protection hidden="1"/>
    </xf>
    <xf numFmtId="0" fontId="17" fillId="0" borderId="0" xfId="12" applyFont="1" applyProtection="1">
      <protection hidden="1"/>
    </xf>
    <xf numFmtId="0" fontId="5" fillId="14" borderId="13" xfId="0" applyFont="1" applyFill="1" applyBorder="1" applyProtection="1">
      <protection hidden="1"/>
    </xf>
    <xf numFmtId="0" fontId="5" fillId="14" borderId="14" xfId="0" applyFont="1" applyFill="1" applyBorder="1" applyProtection="1">
      <protection hidden="1"/>
    </xf>
    <xf numFmtId="0" fontId="0" fillId="12" borderId="15" xfId="0" applyFont="1" applyFill="1" applyBorder="1" applyProtection="1">
      <protection hidden="1"/>
    </xf>
    <xf numFmtId="0" fontId="5" fillId="12" borderId="0" xfId="0" applyFont="1" applyFill="1" applyBorder="1" applyProtection="1">
      <protection hidden="1"/>
    </xf>
    <xf numFmtId="0" fontId="5" fillId="12" borderId="16" xfId="0" applyFont="1" applyFill="1" applyBorder="1" applyProtection="1">
      <protection hidden="1"/>
    </xf>
    <xf numFmtId="0" fontId="5" fillId="14" borderId="15" xfId="0" applyFont="1" applyFill="1" applyBorder="1" applyAlignment="1" applyProtection="1">
      <alignment horizontal="left"/>
      <protection hidden="1"/>
    </xf>
    <xf numFmtId="0" fontId="5" fillId="14" borderId="0" xfId="0" applyFont="1" applyFill="1" applyBorder="1" applyProtection="1">
      <protection hidden="1"/>
    </xf>
    <xf numFmtId="0" fontId="0" fillId="14" borderId="0" xfId="0" applyFont="1" applyFill="1" applyBorder="1" applyProtection="1">
      <protection hidden="1"/>
    </xf>
    <xf numFmtId="0" fontId="17" fillId="14" borderId="0" xfId="12" quotePrefix="1" applyFont="1" applyFill="1" applyBorder="1" applyProtection="1">
      <protection hidden="1"/>
    </xf>
    <xf numFmtId="0" fontId="15" fillId="0" borderId="0" xfId="12" applyFont="1" applyProtection="1">
      <protection hidden="1"/>
    </xf>
    <xf numFmtId="0" fontId="17" fillId="0" borderId="0" xfId="12" quotePrefix="1" applyFont="1" applyAlignment="1" applyProtection="1">
      <protection hidden="1"/>
    </xf>
    <xf numFmtId="0" fontId="17" fillId="0" borderId="0" xfId="12" applyFont="1" applyFill="1" applyProtection="1">
      <protection hidden="1"/>
    </xf>
    <xf numFmtId="0" fontId="0" fillId="0" borderId="0" xfId="0" applyProtection="1">
      <protection hidden="1"/>
    </xf>
    <xf numFmtId="171" fontId="22" fillId="0" borderId="0" xfId="1" applyNumberFormat="1" applyFont="1" applyFill="1" applyBorder="1" applyAlignment="1" applyProtection="1">
      <alignment horizontal="left"/>
      <protection hidden="1"/>
    </xf>
    <xf numFmtId="0" fontId="32" fillId="0" borderId="0" xfId="12" applyFont="1" applyProtection="1">
      <protection hidden="1"/>
    </xf>
    <xf numFmtId="0" fontId="5" fillId="14" borderId="3" xfId="0" applyFont="1" applyFill="1" applyBorder="1" applyProtection="1">
      <protection hidden="1"/>
    </xf>
    <xf numFmtId="0" fontId="0" fillId="12" borderId="5" xfId="0" applyFont="1" applyFill="1" applyBorder="1" applyProtection="1">
      <protection hidden="1"/>
    </xf>
    <xf numFmtId="0" fontId="17" fillId="12" borderId="6" xfId="12" applyFont="1" applyFill="1" applyBorder="1" applyProtection="1">
      <protection hidden="1"/>
    </xf>
    <xf numFmtId="0" fontId="5" fillId="14" borderId="5" xfId="0" applyFont="1" applyFill="1" applyBorder="1" applyProtection="1">
      <protection hidden="1"/>
    </xf>
    <xf numFmtId="0" fontId="17" fillId="14" borderId="0" xfId="12" applyFont="1" applyFill="1" applyBorder="1" applyProtection="1">
      <protection hidden="1"/>
    </xf>
    <xf numFmtId="0" fontId="17" fillId="14" borderId="5" xfId="12" applyFont="1" applyFill="1" applyBorder="1" applyProtection="1">
      <protection hidden="1"/>
    </xf>
    <xf numFmtId="0" fontId="28" fillId="0" borderId="0" xfId="12" applyFont="1" applyProtection="1">
      <protection hidden="1"/>
    </xf>
    <xf numFmtId="172" fontId="17" fillId="0" borderId="0" xfId="12" applyNumberFormat="1" applyFont="1" applyFill="1" applyBorder="1" applyProtection="1">
      <protection hidden="1"/>
    </xf>
    <xf numFmtId="172" fontId="21" fillId="0" borderId="0" xfId="12" applyNumberFormat="1" applyFont="1" applyFill="1" applyBorder="1" applyProtection="1">
      <protection hidden="1"/>
    </xf>
    <xf numFmtId="172" fontId="5" fillId="0" borderId="0" xfId="12" applyNumberFormat="1" applyFont="1" applyFill="1" applyBorder="1" applyProtection="1">
      <protection hidden="1"/>
    </xf>
    <xf numFmtId="2" fontId="5" fillId="0" borderId="0" xfId="12" applyNumberFormat="1" applyFont="1" applyFill="1" applyBorder="1" applyProtection="1">
      <protection hidden="1"/>
    </xf>
    <xf numFmtId="0" fontId="17" fillId="0" borderId="0" xfId="12" applyFont="1" applyFill="1" applyBorder="1" applyProtection="1">
      <protection hidden="1"/>
    </xf>
    <xf numFmtId="0" fontId="28" fillId="0" borderId="0" xfId="12" applyFont="1" applyFill="1" applyBorder="1" applyProtection="1">
      <protection hidden="1"/>
    </xf>
    <xf numFmtId="0" fontId="5" fillId="0" borderId="0" xfId="12" applyFont="1" applyFill="1" applyBorder="1" applyProtection="1">
      <protection hidden="1"/>
    </xf>
    <xf numFmtId="1" fontId="5" fillId="0" borderId="0" xfId="0" applyNumberFormat="1" applyFont="1" applyFill="1" applyProtection="1">
      <protection hidden="1"/>
    </xf>
    <xf numFmtId="0" fontId="21" fillId="0" borderId="0" xfId="12" applyFont="1" applyFill="1" applyBorder="1" applyAlignment="1" applyProtection="1">
      <alignment horizontal="center"/>
      <protection hidden="1"/>
    </xf>
    <xf numFmtId="1" fontId="17" fillId="0" borderId="0" xfId="12" applyNumberFormat="1" applyFont="1" applyFill="1" applyBorder="1" applyProtection="1">
      <protection hidden="1"/>
    </xf>
    <xf numFmtId="172" fontId="21" fillId="0" borderId="0" xfId="12" applyNumberFormat="1" applyFont="1" applyProtection="1">
      <protection hidden="1"/>
    </xf>
    <xf numFmtId="172" fontId="5" fillId="0" borderId="0" xfId="12" applyNumberFormat="1" applyFont="1" applyFill="1" applyProtection="1">
      <protection hidden="1"/>
    </xf>
    <xf numFmtId="2" fontId="5" fillId="0" borderId="0" xfId="12" applyNumberFormat="1" applyFont="1" applyFill="1" applyProtection="1">
      <protection hidden="1"/>
    </xf>
    <xf numFmtId="0" fontId="27" fillId="0" borderId="0" xfId="12" applyFont="1" applyAlignment="1" applyProtection="1">
      <alignment horizontal="left" vertical="center" readingOrder="1"/>
      <protection hidden="1"/>
    </xf>
    <xf numFmtId="0" fontId="27" fillId="0" borderId="0" xfId="12" applyFont="1" applyFill="1" applyBorder="1" applyAlignment="1" applyProtection="1">
      <alignment horizontal="left" vertical="center" readingOrder="1"/>
      <protection hidden="1"/>
    </xf>
    <xf numFmtId="0" fontId="15" fillId="0" borderId="0" xfId="12" applyFont="1" applyFill="1" applyBorder="1" applyProtection="1">
      <protection hidden="1"/>
    </xf>
    <xf numFmtId="0" fontId="17" fillId="14" borderId="15" xfId="12" applyFont="1" applyFill="1" applyBorder="1" applyProtection="1">
      <protection hidden="1"/>
    </xf>
    <xf numFmtId="0" fontId="17" fillId="14" borderId="16" xfId="12" applyFont="1" applyFill="1" applyBorder="1" applyProtection="1">
      <protection hidden="1"/>
    </xf>
    <xf numFmtId="0" fontId="17" fillId="14" borderId="17" xfId="12" applyFont="1" applyFill="1" applyBorder="1" applyProtection="1">
      <protection hidden="1"/>
    </xf>
    <xf numFmtId="0" fontId="17" fillId="14" borderId="18" xfId="12" applyFont="1" applyFill="1" applyBorder="1" applyProtection="1">
      <protection hidden="1"/>
    </xf>
    <xf numFmtId="0" fontId="17" fillId="14" borderId="19" xfId="12" applyFont="1" applyFill="1" applyBorder="1" applyProtection="1">
      <protection hidden="1"/>
    </xf>
    <xf numFmtId="0" fontId="5" fillId="0" borderId="0" xfId="0" applyFont="1" applyAlignment="1" applyProtection="1">
      <alignment vertical="center"/>
      <protection hidden="1"/>
    </xf>
    <xf numFmtId="0" fontId="21" fillId="0" borderId="0" xfId="0" applyFont="1" applyProtection="1">
      <protection hidden="1"/>
    </xf>
    <xf numFmtId="0" fontId="21" fillId="0" borderId="0" xfId="0" applyFont="1" applyAlignment="1" applyProtection="1">
      <alignment horizontal="center"/>
      <protection hidden="1"/>
    </xf>
    <xf numFmtId="0" fontId="19" fillId="0" borderId="0" xfId="0" applyFont="1" applyAlignment="1" applyProtection="1">
      <alignment horizontal="center"/>
      <protection hidden="1"/>
    </xf>
    <xf numFmtId="0" fontId="5" fillId="0" borderId="0" xfId="0" applyFont="1" applyAlignment="1" applyProtection="1">
      <alignment horizontal="center"/>
      <protection hidden="1"/>
    </xf>
    <xf numFmtId="1" fontId="5" fillId="0" borderId="0" xfId="0" applyNumberFormat="1" applyFont="1" applyFill="1" applyBorder="1" applyProtection="1">
      <protection hidden="1"/>
    </xf>
    <xf numFmtId="0" fontId="5" fillId="0" borderId="0" xfId="0" applyFont="1" applyFill="1" applyBorder="1" applyAlignment="1" applyProtection="1">
      <alignment horizontal="left"/>
      <protection hidden="1"/>
    </xf>
    <xf numFmtId="0" fontId="21" fillId="0" borderId="10" xfId="0" applyFont="1" applyFill="1" applyBorder="1" applyAlignment="1" applyProtection="1">
      <alignment horizontal="center"/>
      <protection hidden="1"/>
    </xf>
    <xf numFmtId="0" fontId="29" fillId="0" borderId="0" xfId="0" applyFont="1" applyAlignment="1" applyProtection="1">
      <alignment vertical="center"/>
      <protection hidden="1"/>
    </xf>
    <xf numFmtId="0" fontId="0" fillId="14" borderId="2" xfId="0" applyFont="1" applyFill="1" applyBorder="1" applyProtection="1">
      <protection hidden="1"/>
    </xf>
    <xf numFmtId="0" fontId="0" fillId="14" borderId="3" xfId="0" quotePrefix="1" applyFont="1" applyFill="1" applyBorder="1" applyProtection="1">
      <protection hidden="1"/>
    </xf>
    <xf numFmtId="0" fontId="5" fillId="14" borderId="4" xfId="0" applyFont="1" applyFill="1" applyBorder="1" applyProtection="1">
      <protection hidden="1"/>
    </xf>
    <xf numFmtId="0" fontId="0" fillId="14" borderId="0" xfId="0" applyFont="1" applyFill="1" applyBorder="1" applyAlignment="1" applyProtection="1">
      <alignment horizontal="right"/>
      <protection hidden="1"/>
    </xf>
    <xf numFmtId="1" fontId="5" fillId="14" borderId="0" xfId="0" applyNumberFormat="1" applyFont="1" applyFill="1" applyBorder="1" applyProtection="1">
      <protection hidden="1"/>
    </xf>
    <xf numFmtId="0" fontId="0" fillId="14" borderId="6" xfId="0" applyFont="1" applyFill="1" applyBorder="1" applyProtection="1">
      <protection hidden="1"/>
    </xf>
    <xf numFmtId="0" fontId="17" fillId="14" borderId="7" xfId="12" applyFont="1" applyFill="1" applyBorder="1" applyProtection="1">
      <protection hidden="1"/>
    </xf>
    <xf numFmtId="0" fontId="17" fillId="14" borderId="8" xfId="12" applyFont="1" applyFill="1" applyBorder="1" applyAlignment="1" applyProtection="1">
      <alignment horizontal="right"/>
      <protection hidden="1"/>
    </xf>
    <xf numFmtId="0" fontId="5" fillId="14" borderId="8" xfId="0" applyFont="1" applyFill="1" applyBorder="1" applyProtection="1">
      <protection hidden="1"/>
    </xf>
    <xf numFmtId="0" fontId="5" fillId="14" borderId="9" xfId="0" applyFont="1" applyFill="1" applyBorder="1" applyProtection="1">
      <protection hidden="1"/>
    </xf>
    <xf numFmtId="0" fontId="5" fillId="14" borderId="7" xfId="0" applyFont="1" applyFill="1" applyBorder="1" applyProtection="1">
      <protection hidden="1"/>
    </xf>
    <xf numFmtId="0" fontId="0" fillId="14" borderId="8" xfId="0" applyFont="1" applyFill="1" applyBorder="1" applyProtection="1">
      <protection hidden="1"/>
    </xf>
    <xf numFmtId="0" fontId="5" fillId="14" borderId="0" xfId="1" applyFont="1" applyFill="1" applyBorder="1" applyAlignment="1" applyProtection="1">
      <alignment horizontal="left"/>
      <protection hidden="1"/>
    </xf>
    <xf numFmtId="2" fontId="5" fillId="14" borderId="0" xfId="1" applyNumberFormat="1" applyFont="1" applyFill="1" applyBorder="1" applyAlignment="1" applyProtection="1">
      <alignment horizontal="center"/>
      <protection hidden="1"/>
    </xf>
    <xf numFmtId="0" fontId="5" fillId="14" borderId="0" xfId="1" applyFont="1" applyFill="1" applyBorder="1" applyProtection="1">
      <protection hidden="1"/>
    </xf>
    <xf numFmtId="172" fontId="5" fillId="14" borderId="0" xfId="1" applyNumberFormat="1" applyFont="1" applyFill="1" applyBorder="1" applyAlignment="1" applyProtection="1">
      <alignment horizontal="left"/>
      <protection hidden="1"/>
    </xf>
    <xf numFmtId="0" fontId="5" fillId="14" borderId="0" xfId="12" applyFont="1" applyFill="1" applyBorder="1" applyProtection="1">
      <protection hidden="1"/>
    </xf>
    <xf numFmtId="172" fontId="5" fillId="14" borderId="0" xfId="12" applyNumberFormat="1" applyFont="1" applyFill="1" applyBorder="1" applyAlignment="1" applyProtection="1">
      <alignment horizontal="left"/>
      <protection hidden="1"/>
    </xf>
    <xf numFmtId="172" fontId="21" fillId="14" borderId="0" xfId="12" applyNumberFormat="1" applyFont="1" applyFill="1" applyBorder="1" applyProtection="1">
      <protection hidden="1"/>
    </xf>
    <xf numFmtId="0" fontId="17" fillId="14" borderId="20" xfId="12" applyFont="1" applyFill="1" applyBorder="1" applyProtection="1">
      <protection hidden="1"/>
    </xf>
    <xf numFmtId="0" fontId="17" fillId="12" borderId="16" xfId="12" applyFont="1" applyFill="1" applyBorder="1" applyProtection="1">
      <protection hidden="1"/>
    </xf>
    <xf numFmtId="0" fontId="21" fillId="14" borderId="15" xfId="1" applyFont="1" applyFill="1" applyBorder="1" applyAlignment="1" applyProtection="1">
      <alignment horizontal="left"/>
      <protection hidden="1"/>
    </xf>
    <xf numFmtId="0" fontId="21" fillId="14" borderId="15" xfId="12" applyFont="1" applyFill="1" applyBorder="1" applyProtection="1">
      <protection hidden="1"/>
    </xf>
    <xf numFmtId="172" fontId="25" fillId="14" borderId="0" xfId="12" applyNumberFormat="1" applyFont="1" applyFill="1" applyBorder="1" applyAlignment="1" applyProtection="1">
      <alignment horizontal="left"/>
      <protection hidden="1"/>
    </xf>
    <xf numFmtId="0" fontId="17" fillId="14" borderId="15" xfId="12" quotePrefix="1" applyFont="1" applyFill="1" applyBorder="1" applyProtection="1">
      <protection hidden="1"/>
    </xf>
    <xf numFmtId="172" fontId="21" fillId="14" borderId="18" xfId="12" applyNumberFormat="1" applyFont="1" applyFill="1" applyBorder="1" applyProtection="1">
      <protection hidden="1"/>
    </xf>
    <xf numFmtId="0" fontId="0" fillId="0" borderId="0" xfId="1" applyFont="1" applyFill="1" applyBorder="1" applyAlignment="1" applyProtection="1">
      <alignment horizontal="left"/>
      <protection hidden="1"/>
    </xf>
    <xf numFmtId="0" fontId="31" fillId="14" borderId="0" xfId="0" applyFont="1" applyFill="1"/>
    <xf numFmtId="9" fontId="5" fillId="0" borderId="0" xfId="0" applyNumberFormat="1" applyFont="1" applyFill="1" applyBorder="1" applyProtection="1">
      <protection locked="0"/>
    </xf>
    <xf numFmtId="0" fontId="14" fillId="14" borderId="0" xfId="0" applyFont="1" applyFill="1" applyAlignment="1">
      <alignment horizontal="left"/>
    </xf>
    <xf numFmtId="49" fontId="14" fillId="14" borderId="0" xfId="0" applyNumberFormat="1" applyFont="1" applyFill="1"/>
    <xf numFmtId="0" fontId="31" fillId="0" borderId="0" xfId="0" applyFont="1"/>
    <xf numFmtId="0" fontId="0" fillId="0" borderId="0" xfId="0" applyAlignment="1">
      <alignment horizontal="left"/>
    </xf>
    <xf numFmtId="0" fontId="0" fillId="0" borderId="0" xfId="0" applyFont="1" applyAlignment="1">
      <alignment horizontal="left"/>
    </xf>
    <xf numFmtId="0" fontId="31" fillId="0" borderId="0" xfId="0" applyFont="1" applyAlignment="1">
      <alignment horizontal="left"/>
    </xf>
    <xf numFmtId="0" fontId="0" fillId="0" borderId="0" xfId="0" applyFont="1" applyFill="1"/>
    <xf numFmtId="178" fontId="0" fillId="0" borderId="0" xfId="0" applyNumberFormat="1"/>
    <xf numFmtId="0" fontId="0" fillId="0" borderId="0" xfId="0" applyBorder="1" applyAlignment="1">
      <alignment horizontal="left"/>
    </xf>
    <xf numFmtId="178" fontId="5" fillId="0" borderId="21" xfId="0" applyNumberFormat="1" applyFont="1" applyBorder="1" applyProtection="1">
      <protection hidden="1"/>
    </xf>
    <xf numFmtId="0" fontId="0" fillId="0" borderId="0" xfId="0" applyFont="1" applyBorder="1" applyAlignment="1">
      <alignment horizontal="left"/>
    </xf>
    <xf numFmtId="178" fontId="0" fillId="0" borderId="21" xfId="0" applyNumberFormat="1" applyFont="1" applyFill="1" applyBorder="1" applyProtection="1">
      <protection hidden="1"/>
    </xf>
    <xf numFmtId="0" fontId="0" fillId="0" borderId="0" xfId="0" applyBorder="1"/>
    <xf numFmtId="0" fontId="21" fillId="0" borderId="10" xfId="0" applyFont="1" applyBorder="1" applyAlignment="1" applyProtection="1">
      <alignment horizontal="center"/>
      <protection hidden="1"/>
    </xf>
    <xf numFmtId="0" fontId="21" fillId="0" borderId="21" xfId="0" applyFont="1" applyBorder="1" applyAlignment="1" applyProtection="1">
      <alignment horizontal="center"/>
      <protection hidden="1"/>
    </xf>
    <xf numFmtId="0" fontId="0" fillId="0" borderId="0" xfId="0" applyFill="1"/>
    <xf numFmtId="0" fontId="5" fillId="0" borderId="10" xfId="0" applyFont="1" applyFill="1" applyBorder="1" applyAlignment="1" applyProtection="1">
      <alignment horizontal="center"/>
      <protection hidden="1"/>
    </xf>
    <xf numFmtId="178" fontId="0" fillId="0" borderId="10" xfId="0" applyNumberFormat="1" applyFill="1" applyBorder="1"/>
    <xf numFmtId="0" fontId="5" fillId="0" borderId="0" xfId="0" applyFont="1" applyFill="1" applyBorder="1" applyAlignment="1" applyProtection="1">
      <alignment horizontal="center"/>
      <protection hidden="1"/>
    </xf>
    <xf numFmtId="0" fontId="32" fillId="0" borderId="0" xfId="12" applyFont="1" applyFill="1" applyProtection="1">
      <protection hidden="1"/>
    </xf>
    <xf numFmtId="1" fontId="21" fillId="0" borderId="0" xfId="0" applyNumberFormat="1" applyFont="1" applyFill="1" applyProtection="1">
      <protection hidden="1"/>
    </xf>
    <xf numFmtId="0" fontId="13" fillId="0" borderId="0" xfId="19" applyFill="1" applyProtection="1">
      <protection hidden="1"/>
    </xf>
    <xf numFmtId="1" fontId="30" fillId="0" borderId="0" xfId="0" applyNumberFormat="1" applyFont="1" applyFill="1" applyProtection="1">
      <protection hidden="1"/>
    </xf>
    <xf numFmtId="0" fontId="21" fillId="0" borderId="0" xfId="0" applyFont="1" applyFill="1" applyProtection="1">
      <protection hidden="1"/>
    </xf>
    <xf numFmtId="0" fontId="30" fillId="0" borderId="0" xfId="12" applyFont="1" applyFill="1" applyBorder="1" applyProtection="1">
      <protection hidden="1"/>
    </xf>
    <xf numFmtId="0" fontId="31" fillId="0" borderId="0" xfId="0" applyFont="1" applyFill="1"/>
    <xf numFmtId="0" fontId="0" fillId="0" borderId="0" xfId="0" applyFont="1" applyFill="1" applyBorder="1"/>
    <xf numFmtId="0" fontId="16" fillId="0" borderId="0" xfId="0" applyFont="1" applyFill="1" applyBorder="1" applyAlignment="1">
      <alignment horizontal="left"/>
    </xf>
    <xf numFmtId="0" fontId="17" fillId="0" borderId="0" xfId="0" applyFont="1" applyFill="1" applyBorder="1" applyAlignment="1">
      <alignment horizontal="center"/>
    </xf>
    <xf numFmtId="0" fontId="18" fillId="0" borderId="0" xfId="0" applyFont="1" applyFill="1" applyBorder="1" applyAlignment="1">
      <alignment horizontal="center"/>
    </xf>
    <xf numFmtId="0" fontId="17" fillId="0" borderId="0" xfId="0" quotePrefix="1" applyFont="1" applyFill="1" applyBorder="1" applyAlignment="1">
      <alignment horizontal="center"/>
    </xf>
    <xf numFmtId="0" fontId="18" fillId="0" borderId="0" xfId="0" applyFont="1" applyFill="1" applyAlignment="1">
      <alignment horizontal="center"/>
    </xf>
    <xf numFmtId="0" fontId="21" fillId="0" borderId="0" xfId="0" applyFont="1" applyFill="1"/>
    <xf numFmtId="0" fontId="18" fillId="0" borderId="0" xfId="0" applyFont="1" applyFill="1" applyBorder="1" applyAlignment="1">
      <alignment horizontal="left"/>
    </xf>
    <xf numFmtId="0" fontId="17" fillId="0" borderId="0" xfId="0" applyFont="1" applyFill="1" applyBorder="1" applyAlignment="1">
      <alignment horizontal="left"/>
    </xf>
    <xf numFmtId="0" fontId="38" fillId="0" borderId="0" xfId="0" applyFont="1" applyFill="1" applyBorder="1" applyAlignment="1" applyProtection="1">
      <alignment horizontal="left"/>
      <protection hidden="1"/>
    </xf>
    <xf numFmtId="0" fontId="14" fillId="0" borderId="0" xfId="12" applyFont="1" applyFill="1" applyProtection="1">
      <protection hidden="1"/>
    </xf>
    <xf numFmtId="0" fontId="5" fillId="0" borderId="0" xfId="0" applyFont="1" applyFill="1" applyProtection="1">
      <protection locked="0"/>
    </xf>
    <xf numFmtId="0" fontId="5" fillId="0" borderId="0" xfId="0" applyFont="1" applyFill="1" applyAlignment="1" applyProtection="1">
      <alignment horizontal="left"/>
      <protection hidden="1"/>
    </xf>
    <xf numFmtId="0" fontId="33" fillId="0" borderId="0" xfId="0" applyFont="1" applyFill="1" applyProtection="1">
      <protection hidden="1"/>
    </xf>
    <xf numFmtId="0" fontId="31" fillId="0" borderId="0" xfId="0" applyFont="1" applyFill="1" applyProtection="1">
      <protection hidden="1"/>
    </xf>
    <xf numFmtId="0" fontId="30" fillId="0" borderId="0" xfId="0" applyFont="1" applyFill="1" applyProtection="1">
      <protection hidden="1"/>
    </xf>
    <xf numFmtId="0" fontId="41" fillId="0" borderId="0" xfId="0" applyFont="1" applyFill="1" applyProtection="1">
      <protection hidden="1"/>
    </xf>
    <xf numFmtId="0" fontId="30" fillId="0" borderId="0" xfId="0" applyFont="1" applyFill="1"/>
    <xf numFmtId="0" fontId="5" fillId="0" borderId="0" xfId="0" applyFont="1" applyProtection="1">
      <protection hidden="1"/>
    </xf>
    <xf numFmtId="0" fontId="5" fillId="0" borderId="0" xfId="0" applyFont="1" applyFill="1" applyProtection="1">
      <protection hidden="1"/>
    </xf>
    <xf numFmtId="0" fontId="21" fillId="0" borderId="0" xfId="1" applyFont="1" applyAlignment="1" applyProtection="1">
      <alignment horizontal="left"/>
      <protection hidden="1"/>
    </xf>
    <xf numFmtId="0" fontId="5" fillId="0" borderId="0" xfId="0" applyFont="1" applyAlignment="1" applyProtection="1">
      <alignment horizontal="left"/>
      <protection hidden="1"/>
    </xf>
    <xf numFmtId="0" fontId="5" fillId="0" borderId="0" xfId="0" applyFont="1" applyFill="1" applyBorder="1" applyProtection="1">
      <protection hidden="1"/>
    </xf>
    <xf numFmtId="0" fontId="5" fillId="0" borderId="0" xfId="1" applyFont="1" applyFill="1" applyBorder="1" applyProtection="1">
      <protection hidden="1"/>
    </xf>
    <xf numFmtId="0" fontId="21" fillId="0" borderId="0" xfId="1" applyFont="1" applyFill="1" applyAlignment="1" applyProtection="1">
      <alignment horizontal="left"/>
      <protection hidden="1"/>
    </xf>
    <xf numFmtId="0" fontId="5" fillId="0" borderId="0" xfId="1" applyFont="1" applyFill="1" applyProtection="1">
      <protection hidden="1"/>
    </xf>
    <xf numFmtId="171" fontId="24" fillId="0" borderId="0" xfId="1" applyNumberFormat="1" applyFont="1" applyFill="1" applyBorder="1" applyAlignment="1" applyProtection="1">
      <alignment horizontal="left"/>
      <protection hidden="1"/>
    </xf>
    <xf numFmtId="0" fontId="5" fillId="0" borderId="0" xfId="1" applyFont="1" applyFill="1" applyBorder="1" applyAlignment="1" applyProtection="1">
      <alignment horizontal="left"/>
      <protection hidden="1"/>
    </xf>
    <xf numFmtId="2" fontId="5" fillId="0" borderId="0" xfId="1" applyNumberFormat="1" applyFont="1" applyFill="1" applyBorder="1" applyAlignment="1" applyProtection="1">
      <alignment horizontal="center"/>
      <protection hidden="1"/>
    </xf>
    <xf numFmtId="0" fontId="17" fillId="0" borderId="0" xfId="12" applyFont="1" applyProtection="1">
      <protection hidden="1"/>
    </xf>
    <xf numFmtId="0" fontId="17" fillId="0" borderId="0" xfId="12" quotePrefix="1" applyFont="1" applyAlignment="1" applyProtection="1">
      <protection hidden="1"/>
    </xf>
    <xf numFmtId="0" fontId="17" fillId="0" borderId="0" xfId="12" applyFont="1" applyFill="1" applyProtection="1">
      <protection hidden="1"/>
    </xf>
    <xf numFmtId="0" fontId="0" fillId="0" borderId="0" xfId="0" applyProtection="1">
      <protection hidden="1"/>
    </xf>
    <xf numFmtId="172" fontId="5" fillId="0" borderId="0" xfId="0" applyNumberFormat="1" applyFont="1" applyFill="1" applyBorder="1" applyAlignment="1" applyProtection="1">
      <alignment horizontal="right"/>
      <protection hidden="1"/>
    </xf>
    <xf numFmtId="1" fontId="5" fillId="0" borderId="0" xfId="0" applyNumberFormat="1" applyFont="1" applyFill="1" applyProtection="1">
      <protection hidden="1"/>
    </xf>
    <xf numFmtId="0" fontId="21" fillId="0" borderId="0" xfId="0" applyFont="1" applyProtection="1">
      <protection hidden="1"/>
    </xf>
    <xf numFmtId="0" fontId="14" fillId="0" borderId="0" xfId="12" applyFont="1" applyProtection="1">
      <protection hidden="1"/>
    </xf>
    <xf numFmtId="178" fontId="5" fillId="0" borderId="10" xfId="0" applyNumberFormat="1" applyFont="1" applyFill="1" applyBorder="1" applyProtection="1">
      <protection hidden="1"/>
    </xf>
    <xf numFmtId="178" fontId="29" fillId="0" borderId="10" xfId="0" applyNumberFormat="1" applyFont="1" applyFill="1" applyBorder="1" applyAlignment="1" applyProtection="1">
      <alignment vertical="center"/>
      <protection hidden="1"/>
    </xf>
    <xf numFmtId="0" fontId="21" fillId="0" borderId="0" xfId="0" applyFont="1" applyFill="1" applyAlignment="1" applyProtection="1">
      <alignment horizontal="left"/>
      <protection hidden="1"/>
    </xf>
    <xf numFmtId="0" fontId="31" fillId="0" borderId="0" xfId="0" applyFont="1" applyFill="1" applyBorder="1" applyProtection="1">
      <protection hidden="1"/>
    </xf>
    <xf numFmtId="164" fontId="30" fillId="0" borderId="0" xfId="1" applyNumberFormat="1" applyFont="1" applyFill="1" applyBorder="1" applyAlignment="1" applyProtection="1">
      <alignment horizontal="left"/>
      <protection hidden="1"/>
    </xf>
    <xf numFmtId="164" fontId="31" fillId="0" borderId="0" xfId="1" applyNumberFormat="1" applyFont="1" applyFill="1" applyBorder="1" applyAlignment="1" applyProtection="1">
      <alignment horizontal="left"/>
      <protection hidden="1"/>
    </xf>
    <xf numFmtId="0" fontId="23" fillId="0" borderId="0" xfId="1" applyFont="1" applyAlignment="1" applyProtection="1">
      <alignment horizontal="right"/>
      <protection hidden="1"/>
    </xf>
    <xf numFmtId="0" fontId="39" fillId="0" borderId="0" xfId="1" applyFont="1" applyAlignment="1" applyProtection="1">
      <alignment horizontal="left"/>
      <protection hidden="1"/>
    </xf>
    <xf numFmtId="0" fontId="39" fillId="0" borderId="0" xfId="0" applyFont="1" applyFill="1" applyBorder="1" applyAlignment="1" applyProtection="1">
      <alignment horizontal="right"/>
      <protection hidden="1"/>
    </xf>
    <xf numFmtId="0" fontId="39" fillId="0" borderId="0" xfId="1" applyFont="1" applyFill="1" applyBorder="1" applyProtection="1">
      <protection hidden="1"/>
    </xf>
    <xf numFmtId="167" fontId="39" fillId="0" borderId="0" xfId="1" applyNumberFormat="1" applyFont="1" applyFill="1" applyBorder="1" applyProtection="1">
      <protection hidden="1"/>
    </xf>
    <xf numFmtId="0" fontId="43" fillId="0" borderId="10" xfId="1" applyFont="1" applyFill="1" applyBorder="1" applyAlignment="1" applyProtection="1">
      <alignment horizontal="center"/>
      <protection hidden="1"/>
    </xf>
    <xf numFmtId="37" fontId="43" fillId="0" borderId="10" xfId="1" applyNumberFormat="1" applyFont="1" applyFill="1" applyBorder="1" applyAlignment="1" applyProtection="1">
      <alignment horizontal="center"/>
      <protection hidden="1"/>
    </xf>
    <xf numFmtId="0" fontId="39" fillId="0" borderId="11" xfId="1" applyFont="1" applyFill="1" applyBorder="1" applyProtection="1">
      <protection hidden="1"/>
    </xf>
    <xf numFmtId="166" fontId="39" fillId="0" borderId="10" xfId="1" applyNumberFormat="1" applyFont="1" applyFill="1" applyBorder="1" applyProtection="1">
      <protection hidden="1"/>
    </xf>
    <xf numFmtId="0" fontId="39" fillId="0" borderId="10" xfId="1" applyFont="1" applyFill="1" applyBorder="1" applyProtection="1">
      <protection hidden="1"/>
    </xf>
    <xf numFmtId="0" fontId="15" fillId="0" borderId="0" xfId="12" applyFont="1" applyFill="1" applyProtection="1">
      <protection hidden="1"/>
    </xf>
    <xf numFmtId="0" fontId="17" fillId="0" borderId="0" xfId="12" quotePrefix="1" applyFont="1" applyFill="1" applyAlignment="1" applyProtection="1">
      <protection hidden="1"/>
    </xf>
    <xf numFmtId="0" fontId="0" fillId="0" borderId="0" xfId="0" applyFill="1" applyProtection="1">
      <protection hidden="1"/>
    </xf>
    <xf numFmtId="0" fontId="0" fillId="0" borderId="0" xfId="0" applyFont="1" applyFill="1"/>
    <xf numFmtId="0" fontId="13" fillId="0" borderId="0" xfId="19" applyProtection="1">
      <protection hidden="1"/>
    </xf>
    <xf numFmtId="0" fontId="5" fillId="0" borderId="0" xfId="0" applyFont="1" applyProtection="1">
      <protection hidden="1"/>
    </xf>
    <xf numFmtId="0" fontId="5" fillId="0" borderId="0" xfId="0" applyFont="1" applyFill="1" applyProtection="1">
      <protection hidden="1"/>
    </xf>
    <xf numFmtId="0" fontId="5" fillId="0" borderId="0" xfId="0" applyFont="1" applyFill="1" applyBorder="1" applyProtection="1">
      <protection hidden="1"/>
    </xf>
    <xf numFmtId="0" fontId="0" fillId="0" borderId="0" xfId="0" applyFont="1" applyProtection="1">
      <protection hidden="1"/>
    </xf>
    <xf numFmtId="0" fontId="17" fillId="0" borderId="0" xfId="12" applyFont="1" applyFill="1" applyProtection="1">
      <protection hidden="1"/>
    </xf>
    <xf numFmtId="0" fontId="17" fillId="0" borderId="0" xfId="12" applyFont="1" applyFill="1" applyBorder="1" applyProtection="1">
      <protection hidden="1"/>
    </xf>
    <xf numFmtId="1" fontId="5" fillId="0" borderId="0" xfId="0" applyNumberFormat="1" applyFont="1" applyFill="1" applyProtection="1">
      <protection hidden="1"/>
    </xf>
    <xf numFmtId="0" fontId="17" fillId="0" borderId="16" xfId="12" applyFont="1" applyFill="1" applyBorder="1" applyProtection="1">
      <protection hidden="1"/>
    </xf>
    <xf numFmtId="0" fontId="17" fillId="0" borderId="19" xfId="12" applyFont="1" applyFill="1" applyBorder="1" applyProtection="1">
      <protection hidden="1"/>
    </xf>
    <xf numFmtId="0" fontId="19" fillId="0" borderId="0" xfId="0" applyFont="1" applyAlignment="1" applyProtection="1">
      <alignment horizontal="center"/>
      <protection hidden="1"/>
    </xf>
    <xf numFmtId="1" fontId="5" fillId="0" borderId="0" xfId="0" applyNumberFormat="1" applyFont="1" applyFill="1" applyBorder="1" applyProtection="1">
      <protection hidden="1"/>
    </xf>
    <xf numFmtId="0" fontId="0" fillId="0" borderId="0" xfId="0" applyFont="1" applyFill="1" applyProtection="1">
      <protection hidden="1"/>
    </xf>
    <xf numFmtId="0" fontId="0" fillId="0" borderId="0" xfId="0" applyFont="1" applyFill="1" applyBorder="1" applyProtection="1">
      <protection hidden="1"/>
    </xf>
    <xf numFmtId="2" fontId="17" fillId="0" borderId="0" xfId="12" applyNumberFormat="1" applyFont="1" applyFill="1" applyBorder="1" applyProtection="1">
      <protection hidden="1"/>
    </xf>
    <xf numFmtId="0" fontId="0" fillId="0" borderId="0" xfId="0" applyFont="1" applyFill="1"/>
    <xf numFmtId="1" fontId="30" fillId="0" borderId="0" xfId="0" applyNumberFormat="1" applyFont="1" applyFill="1" applyProtection="1">
      <protection hidden="1"/>
    </xf>
    <xf numFmtId="0" fontId="14" fillId="0" borderId="0" xfId="12" applyFont="1" applyFill="1" applyProtection="1">
      <protection hidden="1"/>
    </xf>
    <xf numFmtId="0" fontId="30" fillId="0" borderId="10" xfId="0" applyFont="1" applyFill="1" applyBorder="1" applyAlignment="1" applyProtection="1">
      <alignment horizontal="center"/>
      <protection hidden="1"/>
    </xf>
    <xf numFmtId="0" fontId="39" fillId="0" borderId="0" xfId="0" applyFont="1" applyProtection="1">
      <protection hidden="1"/>
    </xf>
    <xf numFmtId="0" fontId="39" fillId="0" borderId="0" xfId="0" applyFont="1" applyAlignment="1" applyProtection="1">
      <alignment horizontal="left"/>
      <protection hidden="1"/>
    </xf>
    <xf numFmtId="0" fontId="39" fillId="0" borderId="0" xfId="1" applyFont="1" applyProtection="1">
      <protection hidden="1"/>
    </xf>
    <xf numFmtId="168" fontId="39" fillId="0" borderId="0" xfId="1" applyNumberFormat="1" applyFont="1" applyFill="1" applyAlignment="1" applyProtection="1">
      <alignment horizontal="center"/>
      <protection hidden="1"/>
    </xf>
    <xf numFmtId="0" fontId="39" fillId="0" borderId="10" xfId="0" applyFont="1" applyFill="1" applyBorder="1" applyProtection="1">
      <protection hidden="1"/>
    </xf>
    <xf numFmtId="0" fontId="5" fillId="0" borderId="15" xfId="0" applyFont="1" applyFill="1" applyBorder="1" applyAlignment="1" applyProtection="1">
      <alignment horizontal="left"/>
      <protection hidden="1"/>
    </xf>
    <xf numFmtId="0" fontId="5" fillId="0" borderId="16" xfId="0" applyFont="1" applyFill="1" applyBorder="1" applyProtection="1">
      <protection hidden="1"/>
    </xf>
    <xf numFmtId="0" fontId="5" fillId="0" borderId="15" xfId="0" applyFont="1" applyFill="1" applyBorder="1" applyProtection="1">
      <protection hidden="1"/>
    </xf>
    <xf numFmtId="0" fontId="17" fillId="0" borderId="0" xfId="12" quotePrefix="1" applyFont="1" applyFill="1" applyBorder="1" applyProtection="1">
      <protection hidden="1"/>
    </xf>
    <xf numFmtId="0" fontId="17" fillId="0" borderId="15" xfId="12" applyFont="1" applyFill="1" applyBorder="1" applyProtection="1">
      <protection hidden="1"/>
    </xf>
    <xf numFmtId="178" fontId="17" fillId="0" borderId="0" xfId="12" applyNumberFormat="1" applyFont="1" applyFill="1" applyBorder="1" applyProtection="1">
      <protection hidden="1"/>
    </xf>
    <xf numFmtId="0" fontId="17" fillId="0" borderId="17" xfId="12" applyFont="1" applyFill="1" applyBorder="1" applyProtection="1">
      <protection hidden="1"/>
    </xf>
    <xf numFmtId="0" fontId="17" fillId="0" borderId="18" xfId="12" applyFont="1" applyFill="1" applyBorder="1" applyProtection="1">
      <protection hidden="1"/>
    </xf>
    <xf numFmtId="0" fontId="5" fillId="0" borderId="13" xfId="0" applyFont="1" applyFill="1" applyBorder="1" applyProtection="1">
      <protection hidden="1"/>
    </xf>
    <xf numFmtId="0" fontId="5" fillId="0" borderId="14" xfId="0" applyFont="1" applyFill="1" applyBorder="1" applyProtection="1">
      <protection hidden="1"/>
    </xf>
    <xf numFmtId="0" fontId="5" fillId="0" borderId="20" xfId="0" applyFont="1" applyFill="1" applyBorder="1" applyProtection="1">
      <protection hidden="1"/>
    </xf>
    <xf numFmtId="0" fontId="0" fillId="0" borderId="0" xfId="0" quotePrefix="1" applyFont="1" applyFill="1" applyProtection="1">
      <protection hidden="1"/>
    </xf>
    <xf numFmtId="0" fontId="5" fillId="0" borderId="17" xfId="0" applyFont="1" applyFill="1" applyBorder="1" applyProtection="1">
      <protection hidden="1"/>
    </xf>
    <xf numFmtId="0" fontId="5" fillId="0" borderId="18" xfId="0" applyFont="1" applyFill="1" applyBorder="1" applyProtection="1">
      <protection hidden="1"/>
    </xf>
    <xf numFmtId="0" fontId="5" fillId="0" borderId="19" xfId="0" applyFont="1" applyFill="1" applyBorder="1" applyProtection="1">
      <protection hidden="1"/>
    </xf>
    <xf numFmtId="169" fontId="5" fillId="0" borderId="0" xfId="0" applyNumberFormat="1" applyFont="1" applyFill="1" applyBorder="1" applyProtection="1">
      <protection hidden="1"/>
    </xf>
    <xf numFmtId="165" fontId="5" fillId="0" borderId="0" xfId="0" applyNumberFormat="1" applyFont="1" applyFill="1" applyProtection="1">
      <protection hidden="1"/>
    </xf>
    <xf numFmtId="0" fontId="30" fillId="0" borderId="0" xfId="0" applyFont="1" applyProtection="1">
      <protection hidden="1"/>
    </xf>
    <xf numFmtId="0" fontId="14" fillId="0" borderId="0" xfId="12" applyFont="1" applyProtection="1">
      <protection hidden="1"/>
    </xf>
    <xf numFmtId="0" fontId="30" fillId="0" borderId="0" xfId="0" applyFont="1" applyProtection="1">
      <protection hidden="1"/>
    </xf>
    <xf numFmtId="0" fontId="0" fillId="0" borderId="6" xfId="0" applyFill="1" applyBorder="1" applyProtection="1">
      <protection hidden="1"/>
    </xf>
    <xf numFmtId="0" fontId="17" fillId="0" borderId="4" xfId="12" applyFont="1" applyFill="1" applyBorder="1" applyProtection="1">
      <protection hidden="1"/>
    </xf>
    <xf numFmtId="0" fontId="5" fillId="0" borderId="3" xfId="0" applyFont="1" applyFill="1" applyBorder="1" applyProtection="1">
      <protection hidden="1"/>
    </xf>
    <xf numFmtId="0" fontId="5" fillId="0" borderId="2" xfId="0" applyFont="1" applyFill="1" applyBorder="1" applyProtection="1">
      <protection hidden="1"/>
    </xf>
    <xf numFmtId="0" fontId="0" fillId="0" borderId="8" xfId="0" applyFill="1" applyBorder="1" applyProtection="1">
      <protection hidden="1"/>
    </xf>
    <xf numFmtId="0" fontId="0" fillId="0" borderId="7" xfId="0" applyFill="1" applyBorder="1" applyProtection="1">
      <protection hidden="1"/>
    </xf>
    <xf numFmtId="0" fontId="0" fillId="0" borderId="0" xfId="0" applyFill="1" applyBorder="1" applyProtection="1">
      <protection hidden="1"/>
    </xf>
    <xf numFmtId="0" fontId="0" fillId="0" borderId="5" xfId="0" applyFill="1" applyBorder="1" applyProtection="1">
      <protection hidden="1"/>
    </xf>
    <xf numFmtId="0" fontId="17" fillId="0" borderId="5" xfId="12" applyFont="1" applyFill="1" applyBorder="1" applyProtection="1">
      <protection hidden="1"/>
    </xf>
    <xf numFmtId="0" fontId="5" fillId="0" borderId="5" xfId="0" applyFont="1" applyFill="1" applyBorder="1" applyProtection="1">
      <protection hidden="1"/>
    </xf>
    <xf numFmtId="0" fontId="17" fillId="0" borderId="6" xfId="12" applyFont="1" applyFill="1" applyBorder="1" applyProtection="1">
      <protection hidden="1"/>
    </xf>
    <xf numFmtId="0" fontId="5" fillId="0" borderId="5" xfId="0" applyFont="1" applyFill="1" applyBorder="1" applyAlignment="1" applyProtection="1">
      <alignment horizontal="left"/>
      <protection hidden="1"/>
    </xf>
    <xf numFmtId="0" fontId="0" fillId="0" borderId="9" xfId="0" applyFill="1" applyBorder="1" applyProtection="1">
      <protection hidden="1"/>
    </xf>
    <xf numFmtId="0" fontId="17" fillId="0" borderId="0" xfId="12" applyFont="1" applyFill="1" applyProtection="1"/>
    <xf numFmtId="0" fontId="5" fillId="0" borderId="0" xfId="0" applyFont="1" applyProtection="1">
      <protection hidden="1"/>
    </xf>
    <xf numFmtId="0" fontId="5" fillId="0" borderId="0" xfId="0" applyFont="1" applyFill="1" applyProtection="1">
      <protection hidden="1"/>
    </xf>
    <xf numFmtId="0" fontId="5" fillId="0" borderId="0" xfId="0" applyFont="1" applyFill="1" applyBorder="1" applyProtection="1">
      <protection hidden="1"/>
    </xf>
    <xf numFmtId="0" fontId="17" fillId="0" borderId="0" xfId="12" applyFont="1" applyProtection="1">
      <protection hidden="1"/>
    </xf>
    <xf numFmtId="0" fontId="17" fillId="0" borderId="0" xfId="12" applyFont="1" applyFill="1" applyProtection="1">
      <protection hidden="1"/>
    </xf>
    <xf numFmtId="0" fontId="0" fillId="0" borderId="0" xfId="0" applyProtection="1">
      <protection hidden="1"/>
    </xf>
    <xf numFmtId="0" fontId="17" fillId="14" borderId="0" xfId="12" applyFont="1" applyFill="1" applyBorder="1" applyProtection="1">
      <protection hidden="1"/>
    </xf>
    <xf numFmtId="172" fontId="17" fillId="0" borderId="0" xfId="12" applyNumberFormat="1" applyFont="1" applyFill="1" applyBorder="1" applyProtection="1">
      <protection hidden="1"/>
    </xf>
    <xf numFmtId="175" fontId="24" fillId="0" borderId="0" xfId="1" applyNumberFormat="1" applyFont="1" applyFill="1" applyBorder="1" applyAlignment="1" applyProtection="1">
      <alignment horizontal="right"/>
      <protection hidden="1"/>
    </xf>
    <xf numFmtId="172" fontId="21" fillId="0" borderId="0" xfId="12" applyNumberFormat="1" applyFont="1" applyFill="1" applyBorder="1" applyProtection="1">
      <protection hidden="1"/>
    </xf>
    <xf numFmtId="1" fontId="5" fillId="0" borderId="0" xfId="12" applyNumberFormat="1" applyFont="1" applyFill="1" applyBorder="1" applyAlignment="1" applyProtection="1">
      <alignment horizontal="center"/>
      <protection hidden="1"/>
    </xf>
    <xf numFmtId="0" fontId="17" fillId="0" borderId="0" xfId="12" applyFont="1" applyFill="1" applyBorder="1" applyProtection="1">
      <protection hidden="1"/>
    </xf>
    <xf numFmtId="1" fontId="17" fillId="0" borderId="0" xfId="12" applyNumberFormat="1" applyFont="1" applyFill="1" applyBorder="1" applyProtection="1">
      <protection hidden="1"/>
    </xf>
    <xf numFmtId="1" fontId="5" fillId="14" borderId="0" xfId="0" applyNumberFormat="1" applyFont="1" applyFill="1" applyBorder="1" applyProtection="1">
      <protection hidden="1"/>
    </xf>
    <xf numFmtId="0" fontId="5" fillId="14" borderId="8" xfId="0" applyFont="1" applyFill="1" applyBorder="1" applyProtection="1">
      <protection hidden="1"/>
    </xf>
    <xf numFmtId="0" fontId="17" fillId="14" borderId="0" xfId="12" applyFont="1" applyFill="1" applyBorder="1" applyAlignment="1" applyProtection="1">
      <alignment horizontal="left"/>
      <protection hidden="1"/>
    </xf>
    <xf numFmtId="0" fontId="0" fillId="0" borderId="0" xfId="0" applyFont="1" applyFill="1" applyBorder="1" applyProtection="1">
      <protection hidden="1"/>
    </xf>
    <xf numFmtId="2" fontId="17" fillId="0" borderId="0" xfId="12" applyNumberFormat="1" applyFont="1" applyFill="1" applyBorder="1" applyProtection="1">
      <protection hidden="1"/>
    </xf>
    <xf numFmtId="0" fontId="0" fillId="0" borderId="0" xfId="0" applyFont="1" applyFill="1"/>
    <xf numFmtId="0" fontId="32" fillId="0" borderId="0" xfId="12" applyFont="1" applyFill="1" applyProtection="1">
      <protection hidden="1"/>
    </xf>
    <xf numFmtId="0" fontId="14" fillId="0" borderId="0" xfId="12" applyFont="1" applyProtection="1">
      <protection hidden="1"/>
    </xf>
    <xf numFmtId="0" fontId="5" fillId="0" borderId="0" xfId="0" applyFont="1" applyFill="1" applyProtection="1"/>
    <xf numFmtId="0" fontId="21" fillId="0" borderId="0" xfId="0" applyFont="1" applyFill="1" applyProtection="1"/>
    <xf numFmtId="0" fontId="37" fillId="15" borderId="0" xfId="0" applyFont="1" applyFill="1" applyProtection="1">
      <protection hidden="1"/>
    </xf>
    <xf numFmtId="0" fontId="0" fillId="0" borderId="0" xfId="0" applyFont="1" applyFill="1" applyBorder="1"/>
    <xf numFmtId="0" fontId="30" fillId="0" borderId="0" xfId="0" applyFont="1" applyBorder="1" applyAlignment="1" applyProtection="1">
      <alignment horizontal="left"/>
      <protection hidden="1"/>
    </xf>
    <xf numFmtId="0" fontId="30" fillId="0" borderId="0" xfId="0" applyFont="1" applyFill="1" applyAlignment="1" applyProtection="1">
      <alignment horizontal="right"/>
      <protection hidden="1"/>
    </xf>
    <xf numFmtId="0" fontId="14" fillId="0" borderId="0" xfId="12" applyFont="1" applyFill="1" applyProtection="1">
      <protection hidden="1"/>
    </xf>
    <xf numFmtId="0" fontId="30" fillId="0" borderId="0" xfId="0" applyFont="1" applyFill="1" applyProtection="1">
      <protection hidden="1"/>
    </xf>
    <xf numFmtId="0" fontId="39" fillId="0" borderId="0" xfId="0" applyFont="1" applyProtection="1">
      <protection hidden="1"/>
    </xf>
    <xf numFmtId="0" fontId="14" fillId="0" borderId="10" xfId="12" applyFont="1" applyFill="1" applyBorder="1" applyAlignment="1" applyProtection="1">
      <alignment horizontal="center"/>
      <protection hidden="1"/>
    </xf>
    <xf numFmtId="0" fontId="23" fillId="0" borderId="0" xfId="1" applyFont="1" applyAlignment="1" applyProtection="1">
      <alignment horizontal="center"/>
      <protection hidden="1"/>
    </xf>
    <xf numFmtId="0" fontId="15" fillId="0" borderId="0" xfId="12" applyFont="1" applyFill="1" applyProtection="1">
      <protection hidden="1"/>
    </xf>
    <xf numFmtId="0" fontId="30" fillId="0" borderId="0" xfId="0" applyFont="1" applyFill="1" applyProtection="1"/>
    <xf numFmtId="172" fontId="17" fillId="14" borderId="0" xfId="12" applyNumberFormat="1" applyFont="1" applyFill="1" applyBorder="1" applyAlignment="1" applyProtection="1">
      <alignment horizontal="left"/>
      <protection hidden="1"/>
    </xf>
    <xf numFmtId="0" fontId="17" fillId="14" borderId="0" xfId="1" applyFont="1" applyFill="1" applyBorder="1" applyAlignment="1" applyProtection="1">
      <alignment horizontal="left"/>
      <protection hidden="1"/>
    </xf>
    <xf numFmtId="2" fontId="17" fillId="14" borderId="0" xfId="1" applyNumberFormat="1" applyFont="1" applyFill="1" applyBorder="1" applyAlignment="1" applyProtection="1">
      <alignment horizontal="center"/>
      <protection hidden="1"/>
    </xf>
    <xf numFmtId="0" fontId="17" fillId="14" borderId="0" xfId="1" applyFont="1" applyFill="1" applyBorder="1" applyProtection="1">
      <protection hidden="1"/>
    </xf>
    <xf numFmtId="1" fontId="0" fillId="0" borderId="0" xfId="0" applyNumberFormat="1"/>
    <xf numFmtId="1" fontId="17" fillId="0" borderId="0" xfId="12" applyNumberFormat="1"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0" fontId="32" fillId="0" borderId="0" xfId="12" applyFont="1" applyAlignment="1" applyProtection="1">
      <alignment horizontal="right"/>
      <protection hidden="1"/>
    </xf>
    <xf numFmtId="1" fontId="36" fillId="0" borderId="0" xfId="12" applyNumberFormat="1" applyFont="1" applyBorder="1" applyProtection="1">
      <protection hidden="1"/>
    </xf>
    <xf numFmtId="0" fontId="14" fillId="0" borderId="0" xfId="0" applyFont="1" applyFill="1" applyBorder="1" applyProtection="1">
      <protection hidden="1"/>
    </xf>
    <xf numFmtId="0" fontId="45" fillId="0" borderId="29" xfId="0" quotePrefix="1" applyFont="1" applyBorder="1" applyAlignment="1" applyProtection="1">
      <alignment horizontal="center"/>
      <protection hidden="1"/>
    </xf>
    <xf numFmtId="165" fontId="46" fillId="0" borderId="10" xfId="0" applyNumberFormat="1" applyFont="1" applyBorder="1" applyProtection="1">
      <protection hidden="1"/>
    </xf>
    <xf numFmtId="0" fontId="46" fillId="0" borderId="29" xfId="0" quotePrefix="1" applyFont="1" applyBorder="1" applyAlignment="1" applyProtection="1">
      <alignment horizontal="center"/>
      <protection hidden="1"/>
    </xf>
    <xf numFmtId="1" fontId="0" fillId="0" borderId="0" xfId="0" applyNumberFormat="1" applyProtection="1">
      <protection hidden="1"/>
    </xf>
    <xf numFmtId="1" fontId="5" fillId="0" borderId="0" xfId="1" applyNumberFormat="1" applyFont="1" applyFill="1" applyBorder="1" applyAlignment="1" applyProtection="1">
      <alignment horizontal="right"/>
      <protection hidden="1"/>
    </xf>
    <xf numFmtId="2" fontId="46" fillId="0" borderId="10" xfId="0" applyNumberFormat="1" applyFont="1" applyBorder="1" applyProtection="1">
      <protection hidden="1"/>
    </xf>
    <xf numFmtId="0" fontId="0" fillId="14" borderId="0" xfId="0" applyFont="1" applyFill="1" applyProtection="1">
      <protection hidden="1"/>
    </xf>
    <xf numFmtId="0" fontId="30" fillId="0" borderId="0" xfId="0" applyFont="1" applyFill="1" applyBorder="1" applyAlignment="1" applyProtection="1">
      <alignment horizontal="right"/>
      <protection hidden="1"/>
    </xf>
    <xf numFmtId="173" fontId="17" fillId="0" borderId="0" xfId="12" applyNumberFormat="1" applyFont="1" applyFill="1" applyBorder="1" applyProtection="1">
      <protection hidden="1"/>
    </xf>
    <xf numFmtId="0" fontId="26" fillId="0" borderId="0" xfId="0" applyFont="1"/>
    <xf numFmtId="0" fontId="47" fillId="0" borderId="0" xfId="0" applyFont="1" applyAlignment="1">
      <alignment horizontal="left"/>
    </xf>
    <xf numFmtId="0" fontId="48" fillId="0" borderId="0" xfId="0" applyFont="1" applyAlignment="1">
      <alignment horizontal="left"/>
    </xf>
    <xf numFmtId="0" fontId="19" fillId="0" borderId="0" xfId="0" applyFont="1" applyBorder="1" applyAlignment="1" applyProtection="1">
      <alignment horizontal="center" wrapText="1"/>
      <protection hidden="1"/>
    </xf>
    <xf numFmtId="1" fontId="5" fillId="0" borderId="0" xfId="0" applyNumberFormat="1" applyFont="1" applyBorder="1" applyProtection="1">
      <protection hidden="1"/>
    </xf>
    <xf numFmtId="0" fontId="20" fillId="0" borderId="0" xfId="0" applyFont="1" applyFill="1" applyBorder="1"/>
    <xf numFmtId="1" fontId="14" fillId="0" borderId="40" xfId="12" applyNumberFormat="1" applyFont="1" applyBorder="1" applyProtection="1">
      <protection hidden="1"/>
    </xf>
    <xf numFmtId="14" fontId="0" fillId="0" borderId="0" xfId="0" applyNumberFormat="1"/>
    <xf numFmtId="0" fontId="0" fillId="0" borderId="0" xfId="0" applyAlignment="1">
      <alignment horizontal="center"/>
    </xf>
    <xf numFmtId="0" fontId="52" fillId="0" borderId="0" xfId="0" applyFont="1" applyFill="1"/>
    <xf numFmtId="174" fontId="52" fillId="0" borderId="0" xfId="0" applyNumberFormat="1" applyFont="1" applyFill="1"/>
    <xf numFmtId="0" fontId="50" fillId="0" borderId="0" xfId="0" applyFont="1" applyFill="1"/>
    <xf numFmtId="0" fontId="0" fillId="0" borderId="15" xfId="0" applyBorder="1"/>
    <xf numFmtId="0" fontId="0" fillId="0" borderId="16" xfId="0" applyBorder="1"/>
    <xf numFmtId="0" fontId="0" fillId="16" borderId="0" xfId="0" applyFill="1" applyBorder="1"/>
    <xf numFmtId="0" fontId="0" fillId="0" borderId="0" xfId="0" applyFill="1" applyBorder="1"/>
    <xf numFmtId="0" fontId="0" fillId="0" borderId="16" xfId="0" applyFill="1" applyBorder="1"/>
    <xf numFmtId="0" fontId="0" fillId="0" borderId="0" xfId="0" applyBorder="1" applyAlignment="1"/>
    <xf numFmtId="0" fontId="0" fillId="0" borderId="17" xfId="0" applyBorder="1"/>
    <xf numFmtId="0" fontId="0" fillId="0" borderId="18" xfId="0" applyBorder="1"/>
    <xf numFmtId="0" fontId="0" fillId="0" borderId="19" xfId="0" applyBorder="1"/>
    <xf numFmtId="0" fontId="17" fillId="0" borderId="20" xfId="12" applyFont="1" applyFill="1" applyBorder="1" applyProtection="1">
      <protection hidden="1"/>
    </xf>
    <xf numFmtId="0" fontId="49" fillId="0" borderId="0" xfId="0" applyFont="1" applyFill="1"/>
    <xf numFmtId="0" fontId="46" fillId="0" borderId="0" xfId="0" applyFont="1"/>
    <xf numFmtId="0" fontId="3" fillId="0" borderId="0" xfId="0" applyFont="1" applyFill="1"/>
    <xf numFmtId="0" fontId="46" fillId="0" borderId="0" xfId="0" applyFont="1" applyFill="1"/>
    <xf numFmtId="0" fontId="53" fillId="0" borderId="0" xfId="0" applyFont="1" applyFill="1"/>
    <xf numFmtId="0" fontId="53" fillId="0" borderId="0" xfId="0" applyFont="1" applyFill="1" applyAlignment="1">
      <alignment horizontal="center"/>
    </xf>
    <xf numFmtId="0" fontId="45" fillId="0" borderId="0" xfId="0" applyFont="1" applyFill="1"/>
    <xf numFmtId="165" fontId="53" fillId="0" borderId="0" xfId="0" applyNumberFormat="1" applyFont="1" applyFill="1"/>
    <xf numFmtId="0" fontId="55" fillId="0" borderId="0" xfId="0" applyFont="1" applyFill="1"/>
    <xf numFmtId="0" fontId="51" fillId="0" borderId="0" xfId="0" applyFont="1" applyFill="1" applyAlignment="1">
      <alignment horizontal="center"/>
    </xf>
    <xf numFmtId="0" fontId="49" fillId="0" borderId="0" xfId="0" applyFont="1" applyFill="1" applyAlignment="1">
      <alignment horizontal="center"/>
    </xf>
    <xf numFmtId="0" fontId="51" fillId="0" borderId="0" xfId="0" applyFont="1" applyFill="1" applyAlignment="1">
      <alignment horizontal="left"/>
    </xf>
    <xf numFmtId="174" fontId="46" fillId="0" borderId="0" xfId="0" applyNumberFormat="1" applyFont="1" applyFill="1"/>
    <xf numFmtId="174" fontId="3" fillId="0" borderId="0" xfId="0" applyNumberFormat="1" applyFont="1" applyFill="1"/>
    <xf numFmtId="0" fontId="54" fillId="0" borderId="0" xfId="0" applyFont="1" applyFill="1"/>
    <xf numFmtId="0" fontId="54" fillId="0" borderId="0" xfId="0" quotePrefix="1" applyFont="1" applyFill="1"/>
    <xf numFmtId="0" fontId="46" fillId="0" borderId="0" xfId="0" quotePrefix="1" applyFont="1" applyFill="1"/>
    <xf numFmtId="0" fontId="51" fillId="0" borderId="0" xfId="0" applyFont="1" applyFill="1"/>
    <xf numFmtId="0" fontId="0" fillId="0" borderId="0" xfId="0" applyFill="1" applyAlignment="1">
      <alignment horizontal="center"/>
    </xf>
    <xf numFmtId="0" fontId="29" fillId="0" borderId="0" xfId="0" applyFont="1" applyAlignment="1">
      <alignment vertical="center"/>
    </xf>
    <xf numFmtId="0" fontId="0" fillId="0" borderId="0" xfId="0" applyFont="1" applyAlignment="1">
      <alignment horizontal="center"/>
    </xf>
    <xf numFmtId="0" fontId="17" fillId="0" borderId="0" xfId="12" applyFont="1" applyBorder="1" applyAlignment="1" applyProtection="1">
      <alignment horizontal="center"/>
      <protection hidden="1"/>
    </xf>
    <xf numFmtId="172" fontId="21" fillId="0" borderId="0" xfId="12" applyNumberFormat="1" applyFont="1" applyBorder="1" applyProtection="1">
      <protection hidden="1"/>
    </xf>
    <xf numFmtId="0" fontId="30" fillId="9" borderId="0" xfId="0" applyFont="1" applyFill="1" applyAlignment="1">
      <alignment horizontal="center"/>
    </xf>
    <xf numFmtId="0" fontId="30" fillId="0" borderId="0" xfId="0" applyFont="1" applyAlignment="1" applyProtection="1">
      <alignment horizontal="left"/>
      <protection hidden="1"/>
    </xf>
    <xf numFmtId="0" fontId="30" fillId="0" borderId="31" xfId="0" applyFont="1" applyBorder="1" applyProtection="1">
      <protection locked="0"/>
    </xf>
    <xf numFmtId="173" fontId="30" fillId="0" borderId="40" xfId="0" applyNumberFormat="1" applyFont="1" applyBorder="1" applyProtection="1">
      <protection hidden="1"/>
    </xf>
    <xf numFmtId="173" fontId="14" fillId="0" borderId="40" xfId="12" applyNumberFormat="1" applyFont="1" applyBorder="1" applyProtection="1">
      <protection hidden="1"/>
    </xf>
    <xf numFmtId="0" fontId="0" fillId="0" borderId="0" xfId="0" applyFont="1" applyFill="1" applyAlignment="1" applyProtection="1">
      <alignment horizontal="left"/>
      <protection hidden="1"/>
    </xf>
    <xf numFmtId="173" fontId="5" fillId="0" borderId="0" xfId="0" applyNumberFormat="1" applyFont="1" applyBorder="1" applyProtection="1">
      <protection hidden="1"/>
    </xf>
    <xf numFmtId="0" fontId="0" fillId="14" borderId="15" xfId="0" applyFont="1" applyFill="1" applyBorder="1" applyProtection="1">
      <protection hidden="1"/>
    </xf>
    <xf numFmtId="171" fontId="5" fillId="14" borderId="0" xfId="1" applyNumberFormat="1" applyFont="1" applyFill="1" applyBorder="1" applyAlignment="1" applyProtection="1">
      <alignment horizontal="left"/>
      <protection hidden="1"/>
    </xf>
    <xf numFmtId="1" fontId="5" fillId="14" borderId="0" xfId="1" applyNumberFormat="1" applyFont="1" applyFill="1" applyBorder="1" applyAlignment="1" applyProtection="1">
      <alignment horizontal="left"/>
      <protection hidden="1"/>
    </xf>
    <xf numFmtId="2" fontId="14" fillId="0" borderId="10" xfId="12" applyNumberFormat="1" applyFont="1" applyFill="1" applyBorder="1" applyProtection="1">
      <protection hidden="1"/>
    </xf>
    <xf numFmtId="0" fontId="17" fillId="0" borderId="0" xfId="22" quotePrefix="1" applyFont="1" applyFill="1" applyBorder="1" applyProtection="1">
      <protection hidden="1"/>
    </xf>
    <xf numFmtId="1" fontId="0" fillId="0" borderId="0" xfId="0" applyNumberFormat="1" applyFont="1" applyFill="1" applyProtection="1">
      <protection hidden="1"/>
    </xf>
    <xf numFmtId="173" fontId="0" fillId="0" borderId="0" xfId="0" applyNumberFormat="1" applyAlignment="1">
      <alignment horizontal="center"/>
    </xf>
    <xf numFmtId="178" fontId="0" fillId="0" borderId="0" xfId="0" applyNumberFormat="1" applyFont="1" applyFill="1" applyBorder="1" applyAlignment="1" applyProtection="1">
      <alignment horizontal="center"/>
      <protection hidden="1"/>
    </xf>
    <xf numFmtId="0" fontId="0" fillId="0" borderId="0" xfId="0" applyBorder="1" applyAlignment="1">
      <alignment horizontal="center"/>
    </xf>
    <xf numFmtId="0" fontId="21" fillId="0" borderId="0" xfId="0" applyFont="1" applyFill="1" applyBorder="1"/>
    <xf numFmtId="0" fontId="0" fillId="0" borderId="48" xfId="0" applyBorder="1" applyAlignment="1">
      <alignment horizontal="center"/>
    </xf>
    <xf numFmtId="0" fontId="0" fillId="0" borderId="48" xfId="0" applyBorder="1"/>
    <xf numFmtId="0" fontId="31" fillId="0" borderId="48" xfId="0" applyFont="1" applyBorder="1" applyAlignment="1">
      <alignment horizontal="left"/>
    </xf>
    <xf numFmtId="0" fontId="31" fillId="0" borderId="48" xfId="0" applyFont="1" applyBorder="1"/>
    <xf numFmtId="0" fontId="26" fillId="0" borderId="48" xfId="0" applyFont="1" applyBorder="1"/>
    <xf numFmtId="0" fontId="21" fillId="0" borderId="30" xfId="0" applyFont="1" applyBorder="1" applyAlignment="1" applyProtection="1">
      <alignment horizontal="center"/>
      <protection hidden="1"/>
    </xf>
    <xf numFmtId="0" fontId="0" fillId="0" borderId="48" xfId="0" applyFont="1" applyBorder="1" applyAlignment="1">
      <alignment horizontal="left"/>
    </xf>
    <xf numFmtId="0" fontId="21" fillId="0" borderId="49" xfId="0" applyFont="1" applyBorder="1" applyAlignment="1" applyProtection="1">
      <alignment horizontal="center"/>
      <protection hidden="1"/>
    </xf>
    <xf numFmtId="0" fontId="26" fillId="0" borderId="0" xfId="0" applyFont="1" applyBorder="1"/>
    <xf numFmtId="0" fontId="0" fillId="0" borderId="0" xfId="0" applyFont="1" applyAlignment="1">
      <alignment horizontal="center"/>
    </xf>
    <xf numFmtId="0" fontId="0" fillId="0" borderId="6" xfId="0" applyFont="1" applyBorder="1" applyAlignment="1">
      <alignment horizontal="left"/>
    </xf>
    <xf numFmtId="0" fontId="21" fillId="0" borderId="3" xfId="0" applyFont="1" applyBorder="1" applyAlignment="1" applyProtection="1">
      <alignment horizontal="center"/>
      <protection hidden="1"/>
    </xf>
    <xf numFmtId="173" fontId="48" fillId="0" borderId="0" xfId="0" applyNumberFormat="1" applyFont="1" applyAlignment="1">
      <alignment horizontal="left" wrapText="1"/>
    </xf>
    <xf numFmtId="0" fontId="48" fillId="0" borderId="0" xfId="0" applyFont="1"/>
    <xf numFmtId="1" fontId="26" fillId="0" borderId="0" xfId="0" applyNumberFormat="1" applyFont="1" applyAlignment="1">
      <alignment horizontal="left"/>
    </xf>
    <xf numFmtId="178" fontId="0" fillId="0" borderId="10" xfId="0" applyNumberFormat="1" applyBorder="1"/>
    <xf numFmtId="178" fontId="0" fillId="0" borderId="21" xfId="0" applyNumberFormat="1" applyBorder="1"/>
    <xf numFmtId="178" fontId="0" fillId="0" borderId="3" xfId="0" applyNumberFormat="1" applyBorder="1"/>
    <xf numFmtId="178" fontId="0" fillId="0" borderId="30" xfId="0" applyNumberFormat="1" applyBorder="1"/>
    <xf numFmtId="178" fontId="0" fillId="0" borderId="49" xfId="0" applyNumberFormat="1" applyBorder="1"/>
    <xf numFmtId="0" fontId="31" fillId="0" borderId="0" xfId="0" applyFont="1" applyProtection="1">
      <protection hidden="1"/>
    </xf>
    <xf numFmtId="0" fontId="21" fillId="0" borderId="0" xfId="1" applyFont="1" applyBorder="1" applyAlignment="1" applyProtection="1">
      <alignment horizontal="left"/>
      <protection hidden="1"/>
    </xf>
    <xf numFmtId="172" fontId="25" fillId="0" borderId="0" xfId="0" applyNumberFormat="1" applyFont="1" applyFill="1" applyBorder="1" applyProtection="1">
      <protection hidden="1"/>
    </xf>
    <xf numFmtId="172" fontId="5" fillId="0" borderId="0" xfId="1" applyNumberFormat="1" applyFont="1" applyFill="1" applyBorder="1" applyAlignment="1" applyProtection="1">
      <alignment horizontal="right"/>
      <protection hidden="1"/>
    </xf>
    <xf numFmtId="0" fontId="2" fillId="0" borderId="0" xfId="27"/>
    <xf numFmtId="11" fontId="2" fillId="0" borderId="0" xfId="27" applyNumberFormat="1"/>
    <xf numFmtId="0" fontId="0" fillId="17" borderId="0" xfId="0" applyFill="1"/>
    <xf numFmtId="0" fontId="2" fillId="0" borderId="0" xfId="27"/>
    <xf numFmtId="11" fontId="2" fillId="0" borderId="0" xfId="27" applyNumberFormat="1"/>
    <xf numFmtId="0" fontId="2" fillId="0" borderId="0" xfId="27"/>
    <xf numFmtId="11" fontId="2" fillId="0" borderId="0" xfId="27" applyNumberFormat="1"/>
    <xf numFmtId="0" fontId="38" fillId="0" borderId="0" xfId="0" applyFont="1" applyProtection="1">
      <protection hidden="1"/>
    </xf>
    <xf numFmtId="0" fontId="38" fillId="0" borderId="0" xfId="0" quotePrefix="1" applyFont="1" applyProtection="1">
      <protection hidden="1"/>
    </xf>
    <xf numFmtId="0" fontId="56" fillId="0" borderId="50" xfId="0" applyFont="1" applyBorder="1" applyProtection="1">
      <protection hidden="1"/>
    </xf>
    <xf numFmtId="0" fontId="31" fillId="0" borderId="48" xfId="0" applyFont="1" applyBorder="1" applyProtection="1">
      <protection hidden="1"/>
    </xf>
    <xf numFmtId="0" fontId="0" fillId="0" borderId="51" xfId="0" applyBorder="1" applyProtection="1">
      <protection hidden="1"/>
    </xf>
    <xf numFmtId="0" fontId="31" fillId="0" borderId="52" xfId="0" applyFont="1" applyBorder="1" applyProtection="1">
      <protection hidden="1"/>
    </xf>
    <xf numFmtId="0" fontId="31" fillId="0" borderId="0" xfId="0" applyFont="1" applyBorder="1" applyProtection="1">
      <protection hidden="1"/>
    </xf>
    <xf numFmtId="0" fontId="0" fillId="0" borderId="53" xfId="0" applyBorder="1" applyProtection="1">
      <protection hidden="1"/>
    </xf>
    <xf numFmtId="0" fontId="30" fillId="0" borderId="52" xfId="0" applyFont="1" applyBorder="1" applyProtection="1">
      <protection hidden="1"/>
    </xf>
    <xf numFmtId="0" fontId="30" fillId="0" borderId="0" xfId="0" applyFont="1" applyBorder="1" applyProtection="1">
      <protection hidden="1"/>
    </xf>
    <xf numFmtId="0" fontId="21" fillId="0" borderId="53" xfId="0" applyFont="1" applyBorder="1" applyProtection="1">
      <protection hidden="1"/>
    </xf>
    <xf numFmtId="0" fontId="31" fillId="0" borderId="54" xfId="0" applyFont="1" applyBorder="1" applyProtection="1">
      <protection hidden="1"/>
    </xf>
    <xf numFmtId="0" fontId="31" fillId="0" borderId="55" xfId="0" applyFont="1" applyBorder="1" applyProtection="1">
      <protection hidden="1"/>
    </xf>
    <xf numFmtId="0" fontId="0" fillId="0" borderId="56" xfId="0" applyBorder="1" applyProtection="1">
      <protection hidden="1"/>
    </xf>
    <xf numFmtId="0" fontId="0" fillId="0" borderId="0" xfId="0" applyNumberFormat="1"/>
    <xf numFmtId="0" fontId="0" fillId="0" borderId="0" xfId="0" applyNumberFormat="1" applyAlignment="1">
      <alignment horizontal="center"/>
    </xf>
    <xf numFmtId="0" fontId="0" fillId="0" borderId="0" xfId="0" applyNumberFormat="1" applyAlignment="1">
      <alignment horizontal="left"/>
    </xf>
    <xf numFmtId="11" fontId="0" fillId="0" borderId="0" xfId="0" applyNumberFormat="1"/>
    <xf numFmtId="11" fontId="0" fillId="0" borderId="0" xfId="0" applyNumberFormat="1" applyAlignment="1">
      <alignment horizontal="center"/>
    </xf>
    <xf numFmtId="0" fontId="0" fillId="0" borderId="0" xfId="0" applyAlignment="1">
      <alignment horizontal="left" vertical="center"/>
    </xf>
    <xf numFmtId="0" fontId="0" fillId="18" borderId="0" xfId="0" applyNumberFormat="1" applyFill="1" applyAlignment="1">
      <alignment horizontal="left" vertical="center"/>
    </xf>
    <xf numFmtId="0" fontId="0" fillId="18" borderId="0" xfId="0" applyNumberFormat="1" applyFill="1"/>
    <xf numFmtId="0" fontId="0" fillId="17" borderId="48" xfId="0" applyFill="1" applyBorder="1"/>
    <xf numFmtId="178" fontId="0" fillId="10" borderId="0" xfId="0" applyNumberFormat="1" applyFill="1" applyAlignment="1">
      <alignment horizontal="right"/>
    </xf>
    <xf numFmtId="178" fontId="0" fillId="0" borderId="0" xfId="0" applyNumberFormat="1" applyAlignment="1">
      <alignment horizontal="right"/>
    </xf>
    <xf numFmtId="178" fontId="2" fillId="0" borderId="0" xfId="27" applyNumberFormat="1" applyAlignment="1">
      <alignment horizontal="right"/>
    </xf>
    <xf numFmtId="178" fontId="0" fillId="0" borderId="0" xfId="0" applyNumberFormat="1" applyFill="1" applyAlignment="1">
      <alignment horizontal="right"/>
    </xf>
    <xf numFmtId="178" fontId="2" fillId="10" borderId="0" xfId="27" applyNumberFormat="1" applyFill="1" applyAlignment="1">
      <alignment horizontal="right"/>
    </xf>
    <xf numFmtId="0" fontId="0" fillId="19" borderId="0" xfId="0" applyFill="1" applyAlignment="1">
      <alignment horizontal="center"/>
    </xf>
    <xf numFmtId="2" fontId="39" fillId="0" borderId="0" xfId="1" applyNumberFormat="1" applyFont="1" applyFill="1" applyBorder="1" applyAlignment="1" applyProtection="1">
      <alignment horizontal="center"/>
      <protection hidden="1"/>
    </xf>
    <xf numFmtId="172" fontId="39" fillId="0" borderId="0" xfId="0" applyNumberFormat="1" applyFont="1" applyFill="1" applyBorder="1" applyAlignment="1" applyProtection="1">
      <alignment horizontal="left"/>
      <protection hidden="1"/>
    </xf>
    <xf numFmtId="2" fontId="31" fillId="0" borderId="0" xfId="1" applyNumberFormat="1" applyFont="1" applyFill="1" applyBorder="1" applyAlignment="1" applyProtection="1">
      <alignment horizontal="center"/>
      <protection hidden="1"/>
    </xf>
    <xf numFmtId="172" fontId="31" fillId="0" borderId="0" xfId="1" applyNumberFormat="1" applyFont="1" applyFill="1" applyBorder="1" applyAlignment="1" applyProtection="1">
      <alignment horizontal="left"/>
      <protection hidden="1"/>
    </xf>
    <xf numFmtId="0" fontId="30" fillId="0" borderId="0" xfId="1" applyFont="1" applyAlignment="1" applyProtection="1">
      <alignment horizontal="left"/>
      <protection hidden="1"/>
    </xf>
    <xf numFmtId="1" fontId="31" fillId="0" borderId="31" xfId="1" applyNumberFormat="1" applyFont="1" applyFill="1" applyBorder="1" applyAlignment="1" applyProtection="1">
      <alignment horizontal="right"/>
      <protection locked="0" hidden="1"/>
    </xf>
    <xf numFmtId="0" fontId="31" fillId="0" borderId="0" xfId="1" applyFont="1" applyFill="1" applyBorder="1" applyAlignment="1" applyProtection="1">
      <alignment horizontal="left"/>
      <protection hidden="1"/>
    </xf>
    <xf numFmtId="0" fontId="30" fillId="0" borderId="0" xfId="0" applyFont="1" applyFill="1" applyBorder="1" applyProtection="1">
      <protection hidden="1"/>
    </xf>
    <xf numFmtId="1" fontId="31" fillId="0" borderId="29" xfId="1" applyNumberFormat="1" applyFont="1" applyFill="1" applyBorder="1" applyAlignment="1" applyProtection="1">
      <alignment horizontal="right"/>
      <protection hidden="1"/>
    </xf>
    <xf numFmtId="1" fontId="31" fillId="0" borderId="10" xfId="0" applyNumberFormat="1" applyFont="1" applyFill="1" applyBorder="1" applyProtection="1">
      <protection hidden="1"/>
    </xf>
    <xf numFmtId="178" fontId="21" fillId="19" borderId="0" xfId="0" applyNumberFormat="1" applyFont="1" applyFill="1" applyAlignment="1">
      <alignment horizontal="left"/>
    </xf>
    <xf numFmtId="178" fontId="57" fillId="19" borderId="0" xfId="27" applyNumberFormat="1" applyFont="1" applyFill="1" applyAlignment="1">
      <alignment horizontal="left"/>
    </xf>
    <xf numFmtId="0" fontId="0" fillId="0" borderId="0" xfId="0" quotePrefix="1" applyFont="1" applyProtection="1">
      <protection hidden="1"/>
    </xf>
    <xf numFmtId="0" fontId="17" fillId="0" borderId="0" xfId="12" quotePrefix="1" applyFont="1" applyProtection="1">
      <protection hidden="1"/>
    </xf>
    <xf numFmtId="0" fontId="17" fillId="0" borderId="0" xfId="28" applyFont="1" applyFill="1" applyProtection="1">
      <protection hidden="1"/>
    </xf>
    <xf numFmtId="0" fontId="17" fillId="0" borderId="0" xfId="28" applyFont="1" applyBorder="1" applyProtection="1">
      <protection hidden="1"/>
    </xf>
    <xf numFmtId="0" fontId="17" fillId="0" borderId="0" xfId="28" applyFont="1" applyProtection="1">
      <protection hidden="1"/>
    </xf>
    <xf numFmtId="0" fontId="14" fillId="0" borderId="10" xfId="28" applyFont="1" applyFill="1" applyBorder="1" applyAlignment="1" applyProtection="1">
      <alignment horizontal="center"/>
      <protection hidden="1"/>
    </xf>
    <xf numFmtId="0" fontId="46" fillId="0" borderId="0" xfId="0" applyFont="1" applyProtection="1">
      <protection hidden="1"/>
    </xf>
    <xf numFmtId="0" fontId="46" fillId="0" borderId="31" xfId="0" applyFont="1" applyFill="1" applyBorder="1" applyProtection="1">
      <protection locked="0"/>
    </xf>
    <xf numFmtId="0" fontId="46" fillId="0" borderId="0" xfId="0" applyFont="1" applyAlignment="1" applyProtection="1">
      <alignment horizontal="center"/>
      <protection hidden="1"/>
    </xf>
    <xf numFmtId="173" fontId="46" fillId="0" borderId="0" xfId="0" applyNumberFormat="1" applyFont="1" applyProtection="1">
      <protection hidden="1"/>
    </xf>
    <xf numFmtId="0" fontId="17" fillId="0" borderId="0" xfId="28" applyFont="1" applyFill="1" applyBorder="1" applyProtection="1">
      <protection hidden="1"/>
    </xf>
    <xf numFmtId="0" fontId="14" fillId="0" borderId="0" xfId="28" applyFont="1" applyProtection="1">
      <protection hidden="1"/>
    </xf>
    <xf numFmtId="0" fontId="0" fillId="0" borderId="0" xfId="0" applyBorder="1" applyProtection="1">
      <protection hidden="1"/>
    </xf>
    <xf numFmtId="0" fontId="38" fillId="0" borderId="68" xfId="0" applyFont="1" applyFill="1" applyBorder="1"/>
    <xf numFmtId="0" fontId="38" fillId="0" borderId="52" xfId="0" applyFont="1" applyFill="1" applyBorder="1"/>
    <xf numFmtId="14" fontId="0" fillId="0" borderId="0" xfId="0" applyNumberFormat="1" applyAlignment="1">
      <alignment horizontal="right"/>
    </xf>
    <xf numFmtId="0" fontId="40" fillId="0" borderId="11" xfId="19" applyFont="1" applyFill="1" applyBorder="1"/>
    <xf numFmtId="0" fontId="40" fillId="0" borderId="21" xfId="19" applyFont="1" applyFill="1" applyBorder="1"/>
    <xf numFmtId="0" fontId="40" fillId="0" borderId="12" xfId="19" applyFont="1" applyFill="1" applyBorder="1"/>
    <xf numFmtId="0" fontId="40" fillId="0" borderId="0" xfId="19" applyFont="1" applyFill="1" applyBorder="1"/>
    <xf numFmtId="0" fontId="40" fillId="0" borderId="0" xfId="19" applyFont="1" applyProtection="1">
      <protection hidden="1"/>
    </xf>
    <xf numFmtId="0" fontId="40" fillId="0" borderId="0" xfId="19" applyFont="1" applyFill="1" applyProtection="1">
      <protection hidden="1"/>
    </xf>
    <xf numFmtId="0" fontId="40" fillId="0" borderId="0" xfId="19" applyFont="1" applyAlignment="1" applyProtection="1">
      <alignment horizontal="left"/>
      <protection hidden="1"/>
    </xf>
    <xf numFmtId="0" fontId="40" fillId="0" borderId="0" xfId="19" applyFont="1"/>
    <xf numFmtId="0" fontId="40" fillId="0" borderId="0" xfId="19" applyFont="1" applyProtection="1"/>
    <xf numFmtId="0" fontId="0" fillId="0" borderId="0" xfId="0" applyBorder="1" applyAlignment="1" applyProtection="1">
      <alignment horizontal="center"/>
      <protection hidden="1"/>
    </xf>
    <xf numFmtId="1" fontId="0" fillId="0" borderId="0" xfId="0" applyNumberFormat="1" applyFill="1" applyBorder="1" applyProtection="1">
      <protection hidden="1"/>
    </xf>
    <xf numFmtId="0" fontId="5" fillId="0" borderId="0" xfId="0" applyFont="1" applyBorder="1" applyAlignment="1" applyProtection="1">
      <alignment horizontal="center"/>
      <protection hidden="1"/>
    </xf>
    <xf numFmtId="0" fontId="5" fillId="0" borderId="3" xfId="0" applyFont="1" applyBorder="1" applyAlignment="1" applyProtection="1">
      <alignment horizontal="center"/>
      <protection hidden="1"/>
    </xf>
    <xf numFmtId="0" fontId="5" fillId="0" borderId="3" xfId="0" applyFont="1" applyBorder="1" applyProtection="1">
      <protection hidden="1"/>
    </xf>
    <xf numFmtId="1" fontId="5" fillId="0" borderId="3" xfId="0" applyNumberFormat="1" applyFont="1" applyBorder="1" applyProtection="1">
      <protection hidden="1"/>
    </xf>
    <xf numFmtId="0" fontId="17" fillId="0" borderId="3" xfId="12" applyFont="1" applyBorder="1" applyAlignment="1" applyProtection="1">
      <alignment horizontal="center"/>
      <protection hidden="1"/>
    </xf>
    <xf numFmtId="1" fontId="17" fillId="0" borderId="3" xfId="12" applyNumberFormat="1" applyFont="1" applyFill="1" applyBorder="1" applyProtection="1">
      <protection hidden="1"/>
    </xf>
    <xf numFmtId="174" fontId="5" fillId="0" borderId="0" xfId="0" applyNumberFormat="1" applyFont="1" applyBorder="1" applyProtection="1">
      <protection hidden="1"/>
    </xf>
    <xf numFmtId="2" fontId="46" fillId="0" borderId="0" xfId="0" applyNumberFormat="1" applyFont="1" applyBorder="1" applyProtection="1">
      <protection hidden="1"/>
    </xf>
    <xf numFmtId="165" fontId="46" fillId="0" borderId="0" xfId="0" applyNumberFormat="1" applyFont="1" applyBorder="1" applyProtection="1">
      <protection hidden="1"/>
    </xf>
    <xf numFmtId="1" fontId="0" fillId="0" borderId="0" xfId="0" applyNumberFormat="1" applyFont="1" applyFill="1" applyBorder="1" applyProtection="1">
      <protection locked="0"/>
    </xf>
    <xf numFmtId="174" fontId="5" fillId="0" borderId="3" xfId="0" applyNumberFormat="1" applyFont="1" applyBorder="1" applyProtection="1">
      <protection hidden="1"/>
    </xf>
    <xf numFmtId="2" fontId="46" fillId="0" borderId="3" xfId="0" applyNumberFormat="1" applyFont="1" applyBorder="1" applyProtection="1">
      <protection hidden="1"/>
    </xf>
    <xf numFmtId="165" fontId="46" fillId="0" borderId="3" xfId="0" applyNumberFormat="1" applyFont="1" applyBorder="1" applyProtection="1">
      <protection hidden="1"/>
    </xf>
    <xf numFmtId="0" fontId="0" fillId="14" borderId="3" xfId="0" applyFont="1" applyFill="1" applyBorder="1" applyProtection="1">
      <protection hidden="1"/>
    </xf>
    <xf numFmtId="172" fontId="21" fillId="0" borderId="3" xfId="12" applyNumberFormat="1" applyFont="1" applyBorder="1" applyProtection="1">
      <protection hidden="1"/>
    </xf>
    <xf numFmtId="1" fontId="17" fillId="0" borderId="3" xfId="12" applyNumberFormat="1" applyFont="1" applyFill="1" applyBorder="1" applyAlignment="1" applyProtection="1">
      <alignment horizontal="center"/>
      <protection hidden="1"/>
    </xf>
    <xf numFmtId="0" fontId="36" fillId="0" borderId="0" xfId="12" applyFont="1" applyProtection="1">
      <protection hidden="1"/>
    </xf>
    <xf numFmtId="0" fontId="30" fillId="0" borderId="13" xfId="12" applyFont="1" applyFill="1" applyBorder="1" applyProtection="1">
      <protection hidden="1"/>
    </xf>
    <xf numFmtId="0" fontId="36" fillId="0" borderId="14" xfId="12" applyFont="1" applyFill="1" applyBorder="1" applyProtection="1">
      <protection hidden="1"/>
    </xf>
    <xf numFmtId="0" fontId="36" fillId="0" borderId="14" xfId="12" applyFont="1" applyBorder="1" applyProtection="1">
      <protection hidden="1"/>
    </xf>
    <xf numFmtId="0" fontId="30" fillId="0" borderId="20" xfId="12" applyFont="1" applyFill="1" applyBorder="1" applyProtection="1">
      <protection hidden="1"/>
    </xf>
    <xf numFmtId="0" fontId="36" fillId="0" borderId="0" xfId="12" applyFont="1" applyFill="1" applyBorder="1" applyProtection="1">
      <protection hidden="1"/>
    </xf>
    <xf numFmtId="0" fontId="30" fillId="0" borderId="15" xfId="12" applyFont="1" applyFill="1" applyBorder="1" applyProtection="1">
      <protection hidden="1"/>
    </xf>
    <xf numFmtId="0" fontId="14" fillId="0" borderId="16" xfId="12" applyFont="1" applyFill="1" applyBorder="1" applyProtection="1">
      <protection hidden="1"/>
    </xf>
    <xf numFmtId="0" fontId="31" fillId="0" borderId="15" xfId="12" applyFont="1" applyFill="1" applyBorder="1" applyProtection="1">
      <protection hidden="1"/>
    </xf>
    <xf numFmtId="0" fontId="30" fillId="0" borderId="0" xfId="12" applyFont="1" applyBorder="1" applyProtection="1">
      <protection hidden="1"/>
    </xf>
    <xf numFmtId="0" fontId="36" fillId="0" borderId="0" xfId="12" applyFont="1" applyBorder="1" applyProtection="1">
      <protection hidden="1"/>
    </xf>
    <xf numFmtId="0" fontId="31" fillId="0" borderId="16" xfId="12" applyFont="1" applyFill="1" applyBorder="1" applyProtection="1">
      <protection hidden="1"/>
    </xf>
    <xf numFmtId="0" fontId="60" fillId="0" borderId="28" xfId="12" quotePrefix="1" applyFont="1" applyFill="1" applyBorder="1" applyProtection="1">
      <protection hidden="1"/>
    </xf>
    <xf numFmtId="0" fontId="36" fillId="0" borderId="26" xfId="12" applyFont="1" applyFill="1" applyBorder="1" applyProtection="1">
      <protection hidden="1"/>
    </xf>
    <xf numFmtId="0" fontId="36" fillId="0" borderId="27" xfId="12" applyFont="1" applyFill="1" applyBorder="1" applyProtection="1">
      <protection hidden="1"/>
    </xf>
    <xf numFmtId="0" fontId="67" fillId="0" borderId="0" xfId="12" applyFont="1" applyAlignment="1" applyProtection="1">
      <alignment horizontal="left" vertical="center" readingOrder="1"/>
      <protection hidden="1"/>
    </xf>
    <xf numFmtId="0" fontId="60" fillId="0" borderId="16" xfId="12" quotePrefix="1" applyFont="1" applyFill="1" applyBorder="1" applyProtection="1">
      <protection hidden="1"/>
    </xf>
    <xf numFmtId="0" fontId="36" fillId="0" borderId="15" xfId="12" applyFont="1" applyBorder="1" applyProtection="1">
      <protection hidden="1"/>
    </xf>
    <xf numFmtId="0" fontId="36" fillId="0" borderId="16" xfId="12" applyFont="1" applyFill="1" applyBorder="1" applyProtection="1">
      <protection hidden="1"/>
    </xf>
    <xf numFmtId="176" fontId="36" fillId="0" borderId="0" xfId="12" applyNumberFormat="1" applyFont="1" applyFill="1" applyBorder="1" applyProtection="1">
      <protection hidden="1"/>
    </xf>
    <xf numFmtId="178" fontId="36" fillId="0" borderId="10" xfId="12" applyNumberFormat="1" applyFont="1" applyFill="1" applyBorder="1" applyProtection="1">
      <protection hidden="1"/>
    </xf>
    <xf numFmtId="0" fontId="31" fillId="0" borderId="15" xfId="12" applyFont="1" applyBorder="1" applyProtection="1">
      <protection hidden="1"/>
    </xf>
    <xf numFmtId="0" fontId="68" fillId="0" borderId="0" xfId="12" applyFont="1" applyBorder="1" applyProtection="1">
      <protection hidden="1"/>
    </xf>
    <xf numFmtId="0" fontId="31" fillId="0" borderId="0" xfId="12" applyFont="1" applyBorder="1" applyProtection="1">
      <protection hidden="1"/>
    </xf>
    <xf numFmtId="0" fontId="30" fillId="0" borderId="0" xfId="12" applyFont="1" applyFill="1" applyBorder="1" applyAlignment="1" applyProtection="1">
      <alignment horizontal="center"/>
      <protection hidden="1"/>
    </xf>
    <xf numFmtId="0" fontId="14" fillId="0" borderId="0" xfId="12" applyFont="1" applyBorder="1" applyAlignment="1" applyProtection="1">
      <alignment horizontal="center"/>
      <protection hidden="1"/>
    </xf>
    <xf numFmtId="0" fontId="69" fillId="0" borderId="0" xfId="12" applyFont="1" applyBorder="1" applyProtection="1">
      <protection hidden="1"/>
    </xf>
    <xf numFmtId="0" fontId="31" fillId="0" borderId="0" xfId="12" applyFont="1" applyBorder="1" applyAlignment="1" applyProtection="1">
      <alignment horizontal="left"/>
      <protection hidden="1"/>
    </xf>
    <xf numFmtId="1" fontId="36" fillId="0" borderId="0" xfId="12" applyNumberFormat="1" applyFont="1" applyFill="1" applyBorder="1" applyProtection="1">
      <protection hidden="1"/>
    </xf>
    <xf numFmtId="0" fontId="31" fillId="0" borderId="0" xfId="12" applyFont="1" applyFill="1" applyBorder="1" applyProtection="1">
      <protection hidden="1"/>
    </xf>
    <xf numFmtId="0" fontId="70" fillId="0" borderId="0" xfId="12" applyFont="1" applyBorder="1" applyProtection="1">
      <protection hidden="1"/>
    </xf>
    <xf numFmtId="0" fontId="31" fillId="0" borderId="0" xfId="12" applyFont="1" applyBorder="1" applyAlignment="1" applyProtection="1">
      <alignment horizontal="right"/>
      <protection hidden="1"/>
    </xf>
    <xf numFmtId="0" fontId="71" fillId="0" borderId="0" xfId="12" applyFont="1" applyBorder="1" applyProtection="1">
      <protection hidden="1"/>
    </xf>
    <xf numFmtId="172" fontId="36" fillId="0" borderId="31" xfId="12" applyNumberFormat="1" applyFont="1" applyFill="1" applyBorder="1" applyProtection="1">
      <protection locked="0" hidden="1"/>
    </xf>
    <xf numFmtId="0" fontId="72" fillId="0" borderId="0" xfId="12" applyFont="1" applyBorder="1" applyProtection="1">
      <protection hidden="1"/>
    </xf>
    <xf numFmtId="172" fontId="36" fillId="0" borderId="0" xfId="12" applyNumberFormat="1" applyFont="1" applyFill="1" applyBorder="1" applyProtection="1">
      <protection hidden="1"/>
    </xf>
    <xf numFmtId="172" fontId="36" fillId="0" borderId="29" xfId="12" applyNumberFormat="1" applyFont="1" applyFill="1" applyBorder="1" applyProtection="1">
      <protection hidden="1"/>
    </xf>
    <xf numFmtId="172" fontId="31" fillId="0" borderId="0" xfId="12" applyNumberFormat="1" applyFont="1" applyFill="1" applyBorder="1" applyProtection="1">
      <protection hidden="1"/>
    </xf>
    <xf numFmtId="172" fontId="36" fillId="0" borderId="30" xfId="12" applyNumberFormat="1" applyFont="1" applyFill="1" applyBorder="1" applyProtection="1">
      <protection hidden="1"/>
    </xf>
    <xf numFmtId="1" fontId="36" fillId="0" borderId="38" xfId="12" applyNumberFormat="1" applyFont="1" applyFill="1" applyBorder="1" applyProtection="1">
      <protection hidden="1"/>
    </xf>
    <xf numFmtId="0" fontId="73" fillId="0" borderId="0" xfId="12" applyFont="1" applyBorder="1" applyProtection="1">
      <protection hidden="1"/>
    </xf>
    <xf numFmtId="0" fontId="14" fillId="0" borderId="15" xfId="12" applyFont="1" applyFill="1" applyBorder="1" applyProtection="1">
      <protection hidden="1"/>
    </xf>
    <xf numFmtId="0" fontId="30" fillId="0" borderId="28" xfId="12" quotePrefix="1" applyFont="1" applyFill="1" applyBorder="1" applyProtection="1">
      <protection hidden="1"/>
    </xf>
    <xf numFmtId="0" fontId="31" fillId="0" borderId="0" xfId="12" applyFont="1" applyProtection="1">
      <protection hidden="1"/>
    </xf>
    <xf numFmtId="0" fontId="30" fillId="0" borderId="0" xfId="12" applyFont="1" applyBorder="1" applyAlignment="1" applyProtection="1">
      <alignment horizontal="center"/>
      <protection hidden="1"/>
    </xf>
    <xf numFmtId="0" fontId="36" fillId="0" borderId="0" xfId="12" applyFont="1" applyFill="1" applyProtection="1">
      <protection hidden="1"/>
    </xf>
    <xf numFmtId="1" fontId="80" fillId="0" borderId="31" xfId="1" applyNumberFormat="1" applyFont="1" applyFill="1" applyBorder="1" applyAlignment="1" applyProtection="1">
      <alignment horizontal="right"/>
      <protection locked="0" hidden="1"/>
    </xf>
    <xf numFmtId="172" fontId="36" fillId="0" borderId="39" xfId="12" applyNumberFormat="1" applyFont="1" applyFill="1" applyBorder="1" applyProtection="1">
      <protection hidden="1"/>
    </xf>
    <xf numFmtId="0" fontId="73" fillId="0" borderId="0" xfId="12" applyFont="1" applyFill="1" applyBorder="1" applyProtection="1">
      <protection hidden="1"/>
    </xf>
    <xf numFmtId="172" fontId="31" fillId="0" borderId="29" xfId="12" applyNumberFormat="1" applyFont="1" applyFill="1" applyBorder="1" applyProtection="1">
      <protection hidden="1"/>
    </xf>
    <xf numFmtId="172" fontId="36" fillId="0" borderId="10" xfId="12" applyNumberFormat="1" applyFont="1" applyFill="1" applyBorder="1" applyProtection="1">
      <protection hidden="1"/>
    </xf>
    <xf numFmtId="169" fontId="36" fillId="0" borderId="0" xfId="12" applyNumberFormat="1" applyFont="1" applyBorder="1" applyProtection="1">
      <protection hidden="1"/>
    </xf>
    <xf numFmtId="0" fontId="36" fillId="0" borderId="17" xfId="12" applyFont="1" applyBorder="1" applyProtection="1">
      <protection hidden="1"/>
    </xf>
    <xf numFmtId="0" fontId="36" fillId="0" borderId="18" xfId="12" applyFont="1" applyBorder="1" applyProtection="1">
      <protection hidden="1"/>
    </xf>
    <xf numFmtId="0" fontId="36" fillId="0" borderId="19" xfId="12" applyFont="1" applyFill="1" applyBorder="1" applyProtection="1">
      <protection hidden="1"/>
    </xf>
    <xf numFmtId="0" fontId="14" fillId="0" borderId="0" xfId="12" applyFont="1" applyAlignment="1" applyProtection="1">
      <alignment horizontal="right"/>
      <protection hidden="1"/>
    </xf>
    <xf numFmtId="0" fontId="30" fillId="0" borderId="0" xfId="0" applyFont="1" applyAlignment="1" applyProtection="1">
      <alignment horizontal="center"/>
      <protection hidden="1"/>
    </xf>
    <xf numFmtId="1" fontId="31" fillId="0" borderId="0" xfId="0" applyNumberFormat="1" applyFont="1" applyProtection="1">
      <protection hidden="1"/>
    </xf>
    <xf numFmtId="0" fontId="81" fillId="0" borderId="0" xfId="0" applyFont="1" applyProtection="1">
      <protection hidden="1"/>
    </xf>
    <xf numFmtId="0" fontId="30" fillId="0" borderId="0" xfId="0" applyFont="1" applyAlignment="1" applyProtection="1">
      <alignment horizontal="right"/>
      <protection hidden="1"/>
    </xf>
    <xf numFmtId="177" fontId="36" fillId="10" borderId="10" xfId="12" applyNumberFormat="1" applyFont="1" applyFill="1" applyBorder="1" applyProtection="1">
      <protection hidden="1"/>
    </xf>
    <xf numFmtId="177" fontId="36" fillId="10" borderId="30" xfId="12" applyNumberFormat="1" applyFont="1" applyFill="1" applyBorder="1" applyProtection="1">
      <protection hidden="1"/>
    </xf>
    <xf numFmtId="1" fontId="30" fillId="0" borderId="0" xfId="0" applyNumberFormat="1" applyFont="1" applyProtection="1">
      <protection hidden="1"/>
    </xf>
    <xf numFmtId="1" fontId="30" fillId="0" borderId="0" xfId="0" applyNumberFormat="1" applyFont="1" applyFill="1" applyBorder="1" applyAlignment="1" applyProtection="1">
      <alignment horizontal="center"/>
      <protection hidden="1"/>
    </xf>
    <xf numFmtId="0" fontId="30" fillId="0" borderId="32" xfId="0" applyFont="1" applyFill="1" applyBorder="1" applyProtection="1">
      <protection locked="0"/>
    </xf>
    <xf numFmtId="0" fontId="30" fillId="0" borderId="33" xfId="0" applyFont="1" applyFill="1" applyBorder="1" applyProtection="1">
      <protection locked="0"/>
    </xf>
    <xf numFmtId="0" fontId="30" fillId="0" borderId="34" xfId="0" applyFont="1" applyFill="1" applyBorder="1" applyProtection="1">
      <protection locked="0"/>
    </xf>
    <xf numFmtId="0" fontId="30" fillId="0" borderId="0" xfId="0" applyFont="1" applyFill="1" applyAlignment="1" applyProtection="1">
      <alignment horizontal="center"/>
      <protection hidden="1"/>
    </xf>
    <xf numFmtId="1" fontId="31" fillId="0" borderId="0" xfId="0" quotePrefix="1" applyNumberFormat="1" applyFont="1" applyFill="1" applyBorder="1" applyAlignment="1" applyProtection="1">
      <alignment horizontal="center"/>
      <protection hidden="1"/>
    </xf>
    <xf numFmtId="0" fontId="30" fillId="0" borderId="35" xfId="0" applyFont="1" applyFill="1" applyBorder="1" applyProtection="1">
      <protection locked="0"/>
    </xf>
    <xf numFmtId="0" fontId="30" fillId="0" borderId="25" xfId="0" applyFont="1" applyFill="1" applyBorder="1" applyProtection="1">
      <protection locked="0"/>
    </xf>
    <xf numFmtId="0" fontId="30" fillId="0" borderId="36" xfId="0" applyFont="1" applyFill="1" applyBorder="1" applyProtection="1">
      <protection locked="0"/>
    </xf>
    <xf numFmtId="9" fontId="31" fillId="0" borderId="0" xfId="0" applyNumberFormat="1" applyFont="1" applyFill="1" applyBorder="1" applyProtection="1">
      <protection locked="0"/>
    </xf>
    <xf numFmtId="0" fontId="31" fillId="0" borderId="0" xfId="0" applyFont="1" applyAlignment="1" applyProtection="1">
      <alignment vertical="center"/>
      <protection hidden="1"/>
    </xf>
    <xf numFmtId="0" fontId="56" fillId="0" borderId="30" xfId="0" applyFont="1" applyBorder="1" applyAlignment="1" applyProtection="1">
      <alignment horizontal="center"/>
      <protection hidden="1"/>
    </xf>
    <xf numFmtId="0" fontId="56" fillId="0" borderId="0" xfId="0" applyFont="1" applyAlignment="1" applyProtection="1">
      <alignment horizontal="center"/>
      <protection hidden="1"/>
    </xf>
    <xf numFmtId="0" fontId="31" fillId="0" borderId="29" xfId="0" applyFont="1" applyBorder="1" applyAlignment="1" applyProtection="1">
      <alignment horizontal="center"/>
      <protection hidden="1"/>
    </xf>
    <xf numFmtId="0" fontId="31" fillId="0" borderId="0" xfId="0" applyFont="1" applyAlignment="1" applyProtection="1">
      <alignment horizontal="center"/>
      <protection hidden="1"/>
    </xf>
    <xf numFmtId="0" fontId="31" fillId="0" borderId="43" xfId="0" applyFont="1" applyBorder="1" applyAlignment="1" applyProtection="1">
      <alignment horizontal="center"/>
      <protection hidden="1"/>
    </xf>
    <xf numFmtId="0" fontId="31" fillId="0" borderId="10" xfId="0" applyFont="1" applyBorder="1" applyAlignment="1" applyProtection="1">
      <alignment horizontal="center"/>
      <protection hidden="1"/>
    </xf>
    <xf numFmtId="0" fontId="31" fillId="0" borderId="10" xfId="0" applyFont="1" applyBorder="1" applyProtection="1">
      <protection hidden="1"/>
    </xf>
    <xf numFmtId="1" fontId="31" fillId="0" borderId="10" xfId="0" applyNumberFormat="1" applyFont="1" applyBorder="1" applyProtection="1">
      <protection hidden="1"/>
    </xf>
    <xf numFmtId="1" fontId="36" fillId="0" borderId="10" xfId="12" applyNumberFormat="1" applyFont="1" applyFill="1" applyBorder="1" applyProtection="1">
      <protection hidden="1"/>
    </xf>
    <xf numFmtId="174" fontId="31" fillId="0" borderId="10" xfId="0" applyNumberFormat="1" applyFont="1" applyBorder="1" applyProtection="1">
      <protection hidden="1"/>
    </xf>
    <xf numFmtId="0" fontId="31" fillId="0" borderId="7" xfId="0" applyFont="1" applyBorder="1" applyProtection="1">
      <protection hidden="1"/>
    </xf>
    <xf numFmtId="1" fontId="31" fillId="0" borderId="42" xfId="0" applyNumberFormat="1" applyFont="1" applyFill="1" applyBorder="1" applyProtection="1">
      <protection locked="0"/>
    </xf>
    <xf numFmtId="174" fontId="31" fillId="0" borderId="9" xfId="0" applyNumberFormat="1" applyFont="1" applyBorder="1" applyProtection="1">
      <protection hidden="1"/>
    </xf>
    <xf numFmtId="174" fontId="31" fillId="0" borderId="29" xfId="0" applyNumberFormat="1" applyFont="1" applyBorder="1" applyProtection="1">
      <protection hidden="1"/>
    </xf>
    <xf numFmtId="0" fontId="31" fillId="0" borderId="11" xfId="0" applyFont="1" applyBorder="1" applyProtection="1">
      <protection hidden="1"/>
    </xf>
    <xf numFmtId="1" fontId="31" fillId="0" borderId="37" xfId="0" applyNumberFormat="1" applyFont="1" applyFill="1" applyBorder="1" applyProtection="1">
      <protection locked="0"/>
    </xf>
    <xf numFmtId="0" fontId="31" fillId="11" borderId="10" xfId="0" applyFont="1" applyFill="1" applyBorder="1" applyProtection="1">
      <protection hidden="1"/>
    </xf>
    <xf numFmtId="0" fontId="31" fillId="11" borderId="11" xfId="0" applyFont="1" applyFill="1" applyBorder="1" applyProtection="1">
      <protection hidden="1"/>
    </xf>
    <xf numFmtId="1" fontId="31" fillId="0" borderId="47" xfId="0" applyNumberFormat="1" applyFont="1" applyFill="1" applyBorder="1" applyProtection="1">
      <protection locked="0"/>
    </xf>
    <xf numFmtId="1" fontId="31" fillId="0" borderId="69" xfId="0" applyNumberFormat="1" applyFont="1" applyFill="1" applyBorder="1" applyProtection="1">
      <protection locked="0"/>
    </xf>
    <xf numFmtId="0" fontId="83" fillId="0" borderId="10" xfId="12" applyFont="1" applyBorder="1" applyAlignment="1" applyProtection="1">
      <alignment horizontal="center"/>
      <protection hidden="1"/>
    </xf>
    <xf numFmtId="0" fontId="56" fillId="0" borderId="10" xfId="0" applyFont="1" applyBorder="1" applyAlignment="1" applyProtection="1">
      <alignment horizontal="center"/>
      <protection hidden="1"/>
    </xf>
    <xf numFmtId="0" fontId="56" fillId="0" borderId="10" xfId="0" applyFont="1" applyBorder="1" applyAlignment="1" applyProtection="1">
      <alignment horizontal="center" wrapText="1"/>
      <protection hidden="1"/>
    </xf>
    <xf numFmtId="0" fontId="56" fillId="0" borderId="5" xfId="0" applyFont="1" applyBorder="1" applyAlignment="1" applyProtection="1">
      <alignment horizontal="center" wrapText="1"/>
      <protection hidden="1"/>
    </xf>
    <xf numFmtId="0" fontId="56" fillId="0" borderId="0" xfId="0" applyFont="1" applyBorder="1" applyAlignment="1" applyProtection="1">
      <alignment horizontal="center" wrapText="1"/>
      <protection hidden="1"/>
    </xf>
    <xf numFmtId="0" fontId="56" fillId="0" borderId="0" xfId="12" applyFont="1" applyFill="1" applyBorder="1" applyAlignment="1" applyProtection="1">
      <alignment horizontal="center"/>
      <protection hidden="1"/>
    </xf>
    <xf numFmtId="0" fontId="56" fillId="0" borderId="0" xfId="12" applyFont="1" applyFill="1" applyBorder="1" applyAlignment="1" applyProtection="1">
      <alignment horizontal="center" wrapText="1"/>
      <protection hidden="1"/>
    </xf>
    <xf numFmtId="0" fontId="83" fillId="0" borderId="10" xfId="12" applyFont="1" applyBorder="1" applyAlignment="1" applyProtection="1">
      <alignment horizontal="center" wrapText="1"/>
      <protection hidden="1"/>
    </xf>
    <xf numFmtId="173" fontId="31" fillId="0" borderId="5" xfId="0" applyNumberFormat="1" applyFont="1" applyBorder="1" applyProtection="1">
      <protection hidden="1"/>
    </xf>
    <xf numFmtId="1" fontId="31" fillId="0" borderId="0" xfId="0" applyNumberFormat="1" applyFont="1" applyBorder="1" applyProtection="1">
      <protection hidden="1"/>
    </xf>
    <xf numFmtId="0" fontId="36" fillId="0" borderId="10" xfId="12" applyFont="1" applyBorder="1" applyAlignment="1" applyProtection="1">
      <alignment horizontal="center"/>
      <protection hidden="1"/>
    </xf>
    <xf numFmtId="0" fontId="36" fillId="0" borderId="10" xfId="12" applyFont="1" applyBorder="1" applyProtection="1">
      <protection hidden="1"/>
    </xf>
    <xf numFmtId="0" fontId="36" fillId="11" borderId="10" xfId="12" applyFont="1" applyFill="1" applyBorder="1" applyProtection="1">
      <protection hidden="1"/>
    </xf>
    <xf numFmtId="0" fontId="36" fillId="0" borderId="3" xfId="12" applyFont="1" applyBorder="1" applyAlignment="1" applyProtection="1">
      <alignment horizontal="center"/>
      <protection hidden="1"/>
    </xf>
    <xf numFmtId="0" fontId="36" fillId="0" borderId="3" xfId="12" applyFont="1" applyBorder="1" applyProtection="1">
      <protection hidden="1"/>
    </xf>
    <xf numFmtId="1" fontId="31" fillId="0" borderId="3" xfId="0" applyNumberFormat="1" applyFont="1" applyBorder="1" applyProtection="1">
      <protection hidden="1"/>
    </xf>
    <xf numFmtId="1" fontId="36" fillId="0" borderId="3" xfId="12" applyNumberFormat="1" applyFont="1" applyFill="1" applyBorder="1" applyProtection="1">
      <protection hidden="1"/>
    </xf>
    <xf numFmtId="0" fontId="31" fillId="0" borderId="3" xfId="0" applyFont="1" applyBorder="1" applyAlignment="1" applyProtection="1">
      <alignment horizontal="center"/>
      <protection hidden="1"/>
    </xf>
    <xf numFmtId="0" fontId="31" fillId="0" borderId="3" xfId="0" applyFont="1" applyBorder="1" applyProtection="1">
      <protection hidden="1"/>
    </xf>
    <xf numFmtId="1" fontId="31" fillId="0" borderId="3" xfId="0" applyNumberFormat="1" applyFont="1" applyFill="1" applyBorder="1" applyProtection="1">
      <protection hidden="1"/>
    </xf>
    <xf numFmtId="173" fontId="31" fillId="0" borderId="0" xfId="0" applyNumberFormat="1" applyFont="1" applyBorder="1" applyProtection="1">
      <protection hidden="1"/>
    </xf>
    <xf numFmtId="0" fontId="31" fillId="0" borderId="13" xfId="12" applyFont="1" applyBorder="1" applyProtection="1">
      <protection hidden="1"/>
    </xf>
    <xf numFmtId="1" fontId="36" fillId="0" borderId="14" xfId="12" applyNumberFormat="1" applyFont="1" applyFill="1" applyBorder="1" applyProtection="1">
      <protection hidden="1"/>
    </xf>
    <xf numFmtId="0" fontId="31" fillId="0" borderId="14" xfId="12" applyFont="1" applyBorder="1" applyProtection="1">
      <protection hidden="1"/>
    </xf>
    <xf numFmtId="0" fontId="31" fillId="0" borderId="20" xfId="12" applyFont="1" applyFill="1" applyBorder="1" applyProtection="1">
      <protection hidden="1"/>
    </xf>
    <xf numFmtId="172" fontId="30" fillId="0" borderId="0" xfId="12" applyNumberFormat="1" applyFont="1" applyFill="1" applyBorder="1" applyProtection="1">
      <protection hidden="1"/>
    </xf>
    <xf numFmtId="0" fontId="14" fillId="0" borderId="0" xfId="12" applyFont="1" applyFill="1" applyBorder="1" applyProtection="1">
      <protection hidden="1"/>
    </xf>
    <xf numFmtId="174" fontId="80" fillId="0" borderId="31" xfId="1" applyNumberFormat="1" applyFont="1" applyFill="1" applyBorder="1" applyAlignment="1" applyProtection="1">
      <alignment horizontal="right"/>
      <protection locked="0" hidden="1"/>
    </xf>
    <xf numFmtId="0" fontId="30" fillId="0" borderId="0" xfId="1" applyFont="1" applyAlignment="1" applyProtection="1">
      <alignment horizontal="right"/>
      <protection hidden="1"/>
    </xf>
    <xf numFmtId="0" fontId="30" fillId="0" borderId="10" xfId="1" applyFont="1" applyFill="1" applyBorder="1" applyAlignment="1" applyProtection="1">
      <alignment horizontal="center"/>
      <protection hidden="1"/>
    </xf>
    <xf numFmtId="0" fontId="31" fillId="0" borderId="0" xfId="1" applyFont="1" applyProtection="1">
      <protection hidden="1"/>
    </xf>
    <xf numFmtId="0" fontId="30" fillId="0" borderId="10" xfId="1" applyFont="1" applyBorder="1" applyAlignment="1" applyProtection="1">
      <alignment horizontal="centerContinuous"/>
      <protection hidden="1"/>
    </xf>
    <xf numFmtId="0" fontId="30" fillId="0" borderId="12" xfId="1" applyFont="1" applyBorder="1" applyAlignment="1" applyProtection="1">
      <alignment horizontal="centerContinuous"/>
      <protection hidden="1"/>
    </xf>
    <xf numFmtId="168" fontId="31" fillId="0" borderId="0" xfId="1" applyNumberFormat="1" applyFont="1" applyFill="1" applyAlignment="1" applyProtection="1">
      <alignment horizontal="center"/>
      <protection hidden="1"/>
    </xf>
    <xf numFmtId="0" fontId="31" fillId="0" borderId="10" xfId="0" applyFont="1" applyFill="1" applyBorder="1" applyProtection="1">
      <protection hidden="1"/>
    </xf>
    <xf numFmtId="169" fontId="31" fillId="0" borderId="10" xfId="1" applyNumberFormat="1" applyFont="1" applyFill="1" applyBorder="1" applyProtection="1">
      <protection hidden="1"/>
    </xf>
    <xf numFmtId="0" fontId="31" fillId="0" borderId="0" xfId="0" applyFont="1" applyAlignment="1" applyProtection="1">
      <alignment horizontal="left"/>
      <protection hidden="1"/>
    </xf>
    <xf numFmtId="0" fontId="14" fillId="0" borderId="0" xfId="1" applyFont="1" applyAlignment="1" applyProtection="1">
      <alignment horizontal="left"/>
      <protection hidden="1"/>
    </xf>
    <xf numFmtId="0" fontId="31" fillId="0" borderId="0" xfId="1" applyFont="1" applyAlignment="1" applyProtection="1">
      <alignment horizontal="center"/>
      <protection hidden="1"/>
    </xf>
    <xf numFmtId="170" fontId="31" fillId="0" borderId="0" xfId="1" applyNumberFormat="1" applyFont="1" applyProtection="1">
      <protection hidden="1"/>
    </xf>
    <xf numFmtId="49" fontId="31" fillId="0" borderId="0" xfId="1" applyNumberFormat="1" applyFont="1" applyProtection="1">
      <protection hidden="1"/>
    </xf>
    <xf numFmtId="0" fontId="30" fillId="0" borderId="0" xfId="1" applyFont="1" applyFill="1" applyAlignment="1" applyProtection="1">
      <alignment horizontal="left"/>
      <protection hidden="1"/>
    </xf>
    <xf numFmtId="0" fontId="31" fillId="0" borderId="0" xfId="1" applyFont="1" applyFill="1" applyAlignment="1" applyProtection="1">
      <alignment horizontal="center"/>
      <protection hidden="1"/>
    </xf>
    <xf numFmtId="0" fontId="31" fillId="0" borderId="0" xfId="1" applyFont="1" applyAlignment="1" applyProtection="1">
      <alignment horizontal="left"/>
      <protection hidden="1"/>
    </xf>
    <xf numFmtId="174" fontId="31" fillId="0" borderId="31" xfId="1" applyNumberFormat="1" applyFont="1" applyFill="1" applyBorder="1" applyAlignment="1" applyProtection="1">
      <alignment horizontal="center" vertical="center"/>
      <protection locked="0" hidden="1"/>
    </xf>
    <xf numFmtId="170" fontId="31" fillId="0" borderId="44" xfId="1" applyNumberFormat="1" applyFont="1" applyBorder="1" applyProtection="1">
      <protection hidden="1"/>
    </xf>
    <xf numFmtId="1" fontId="31" fillId="0" borderId="38" xfId="1" applyNumberFormat="1" applyFont="1" applyFill="1" applyBorder="1" applyAlignment="1" applyProtection="1">
      <alignment horizontal="center"/>
      <protection hidden="1"/>
    </xf>
    <xf numFmtId="49" fontId="31" fillId="0" borderId="0" xfId="1" applyNumberFormat="1" applyFont="1" applyBorder="1" applyProtection="1">
      <protection hidden="1"/>
    </xf>
    <xf numFmtId="0" fontId="31" fillId="0" borderId="0" xfId="1" applyFont="1" applyBorder="1" applyProtection="1">
      <protection hidden="1"/>
    </xf>
    <xf numFmtId="1" fontId="31" fillId="0" borderId="38" xfId="1" applyNumberFormat="1" applyFont="1" applyFill="1" applyBorder="1" applyAlignment="1" applyProtection="1">
      <alignment horizontal="center" vertical="center"/>
      <protection hidden="1"/>
    </xf>
    <xf numFmtId="1" fontId="31" fillId="0" borderId="0" xfId="1" applyNumberFormat="1" applyFont="1" applyFill="1" applyBorder="1" applyAlignment="1" applyProtection="1">
      <alignment horizontal="center" vertical="center"/>
      <protection hidden="1"/>
    </xf>
    <xf numFmtId="2" fontId="31" fillId="0" borderId="38" xfId="1" applyNumberFormat="1" applyFont="1" applyFill="1" applyBorder="1" applyAlignment="1" applyProtection="1">
      <alignment horizontal="center"/>
      <protection hidden="1"/>
    </xf>
    <xf numFmtId="1" fontId="80" fillId="0" borderId="0" xfId="1" applyNumberFormat="1" applyFont="1" applyFill="1" applyBorder="1" applyAlignment="1" applyProtection="1">
      <alignment horizontal="left"/>
      <protection hidden="1"/>
    </xf>
    <xf numFmtId="2" fontId="31" fillId="0" borderId="0" xfId="1" applyNumberFormat="1" applyFont="1" applyFill="1" applyBorder="1" applyAlignment="1" applyProtection="1">
      <alignment horizontal="right"/>
      <protection hidden="1"/>
    </xf>
    <xf numFmtId="10" fontId="31" fillId="0" borderId="0" xfId="0" applyNumberFormat="1" applyFont="1" applyFill="1" applyProtection="1">
      <protection hidden="1"/>
    </xf>
    <xf numFmtId="1" fontId="80" fillId="0" borderId="40" xfId="1" applyNumberFormat="1" applyFont="1" applyFill="1" applyBorder="1" applyAlignment="1" applyProtection="1">
      <alignment horizontal="right"/>
      <protection hidden="1"/>
    </xf>
    <xf numFmtId="1" fontId="31" fillId="0" borderId="21" xfId="1" applyNumberFormat="1" applyFont="1" applyFill="1" applyBorder="1" applyAlignment="1" applyProtection="1">
      <alignment horizontal="right"/>
      <protection hidden="1"/>
    </xf>
    <xf numFmtId="165" fontId="31" fillId="0" borderId="10" xfId="1" applyNumberFormat="1" applyFont="1" applyFill="1" applyBorder="1" applyAlignment="1" applyProtection="1">
      <alignment horizontal="center"/>
      <protection hidden="1"/>
    </xf>
    <xf numFmtId="0" fontId="31" fillId="0" borderId="10" xfId="1" applyFont="1" applyFill="1" applyBorder="1" applyProtection="1">
      <protection hidden="1"/>
    </xf>
    <xf numFmtId="0" fontId="31" fillId="0" borderId="0" xfId="1" applyFont="1" applyFill="1" applyAlignment="1" applyProtection="1">
      <alignment horizontal="left"/>
      <protection hidden="1"/>
    </xf>
    <xf numFmtId="1" fontId="80" fillId="0" borderId="29" xfId="1" applyNumberFormat="1" applyFont="1" applyFill="1" applyBorder="1" applyAlignment="1" applyProtection="1">
      <protection hidden="1"/>
    </xf>
    <xf numFmtId="2" fontId="31" fillId="0" borderId="10" xfId="1" applyNumberFormat="1" applyFont="1" applyFill="1" applyBorder="1" applyAlignment="1" applyProtection="1">
      <alignment horizontal="left"/>
      <protection hidden="1"/>
    </xf>
    <xf numFmtId="0" fontId="31" fillId="0" borderId="0" xfId="1" applyFont="1" applyFill="1" applyProtection="1">
      <protection hidden="1"/>
    </xf>
    <xf numFmtId="1" fontId="80" fillId="0" borderId="10" xfId="1" applyNumberFormat="1" applyFont="1" applyFill="1" applyBorder="1" applyAlignment="1" applyProtection="1">
      <alignment horizontal="right"/>
      <protection hidden="1"/>
    </xf>
    <xf numFmtId="171" fontId="80" fillId="0" borderId="10" xfId="1" applyNumberFormat="1" applyFont="1" applyFill="1" applyBorder="1" applyAlignment="1" applyProtection="1">
      <alignment horizontal="right"/>
      <protection hidden="1"/>
    </xf>
    <xf numFmtId="0" fontId="31" fillId="0" borderId="10" xfId="0" applyFont="1" applyFill="1" applyBorder="1" applyAlignment="1" applyProtection="1">
      <alignment horizontal="left"/>
      <protection hidden="1"/>
    </xf>
    <xf numFmtId="0" fontId="31" fillId="0" borderId="10" xfId="1" applyFont="1" applyFill="1" applyBorder="1" applyAlignment="1" applyProtection="1">
      <alignment horizontal="left"/>
      <protection hidden="1"/>
    </xf>
    <xf numFmtId="2" fontId="31" fillId="0" borderId="10" xfId="1" applyNumberFormat="1" applyFont="1" applyFill="1" applyBorder="1" applyAlignment="1" applyProtection="1">
      <alignment horizontal="center"/>
      <protection hidden="1"/>
    </xf>
    <xf numFmtId="0" fontId="36" fillId="0" borderId="0" xfId="12" quotePrefix="1" applyFont="1" applyBorder="1" applyProtection="1">
      <protection hidden="1"/>
    </xf>
    <xf numFmtId="171" fontId="80" fillId="0" borderId="0" xfId="1" applyNumberFormat="1" applyFont="1" applyFill="1" applyBorder="1" applyAlignment="1" applyProtection="1">
      <alignment horizontal="left"/>
      <protection hidden="1"/>
    </xf>
    <xf numFmtId="0" fontId="31" fillId="0" borderId="0" xfId="1" applyFont="1" applyFill="1" applyBorder="1" applyProtection="1">
      <protection hidden="1"/>
    </xf>
    <xf numFmtId="0" fontId="71" fillId="14" borderId="0" xfId="0" applyFont="1" applyFill="1" applyBorder="1"/>
    <xf numFmtId="171" fontId="60" fillId="0" borderId="0" xfId="1" applyNumberFormat="1" applyFont="1" applyFill="1" applyBorder="1" applyAlignment="1" applyProtection="1">
      <alignment horizontal="left"/>
      <protection hidden="1"/>
    </xf>
    <xf numFmtId="172" fontId="31" fillId="0" borderId="0" xfId="0" applyNumberFormat="1" applyFont="1" applyFill="1" applyBorder="1" applyAlignment="1" applyProtection="1">
      <alignment horizontal="right"/>
      <protection hidden="1"/>
    </xf>
    <xf numFmtId="1" fontId="80" fillId="0" borderId="29" xfId="1" applyNumberFormat="1" applyFont="1" applyFill="1" applyBorder="1" applyAlignment="1" applyProtection="1">
      <alignment horizontal="right"/>
      <protection hidden="1"/>
    </xf>
    <xf numFmtId="172" fontId="85" fillId="0" borderId="10" xfId="0" applyNumberFormat="1" applyFont="1" applyFill="1" applyBorder="1" applyProtection="1">
      <protection hidden="1"/>
    </xf>
    <xf numFmtId="172" fontId="31" fillId="0" borderId="0" xfId="0" applyNumberFormat="1" applyFont="1" applyFill="1" applyBorder="1" applyAlignment="1" applyProtection="1">
      <alignment horizontal="left"/>
      <protection hidden="1"/>
    </xf>
    <xf numFmtId="172" fontId="80" fillId="0" borderId="38" xfId="1" applyNumberFormat="1" applyFont="1" applyFill="1" applyBorder="1" applyAlignment="1" applyProtection="1">
      <alignment horizontal="right"/>
      <protection hidden="1"/>
    </xf>
    <xf numFmtId="0" fontId="31" fillId="0" borderId="0" xfId="0" applyFont="1" applyBorder="1" applyAlignment="1" applyProtection="1">
      <alignment horizontal="center"/>
      <protection hidden="1"/>
    </xf>
    <xf numFmtId="1" fontId="31" fillId="0" borderId="0" xfId="0" applyNumberFormat="1" applyFont="1" applyFill="1" applyBorder="1" applyProtection="1">
      <protection hidden="1"/>
    </xf>
    <xf numFmtId="172" fontId="80" fillId="0" borderId="0" xfId="1" applyNumberFormat="1" applyFont="1" applyFill="1" applyBorder="1" applyAlignment="1" applyProtection="1">
      <alignment horizontal="right"/>
      <protection hidden="1"/>
    </xf>
    <xf numFmtId="0" fontId="14" fillId="0" borderId="10" xfId="12" applyFont="1" applyBorder="1" applyAlignment="1" applyProtection="1">
      <alignment horizontal="center"/>
      <protection hidden="1"/>
    </xf>
    <xf numFmtId="0" fontId="14" fillId="0" borderId="10" xfId="12" applyFont="1" applyFill="1" applyBorder="1" applyAlignment="1" applyProtection="1">
      <alignment horizontal="center" vertical="center"/>
      <protection hidden="1"/>
    </xf>
    <xf numFmtId="0" fontId="14" fillId="0" borderId="0" xfId="12" applyFont="1" applyFill="1" applyBorder="1" applyAlignment="1" applyProtection="1">
      <alignment horizontal="center" vertical="center" wrapText="1"/>
      <protection hidden="1"/>
    </xf>
    <xf numFmtId="172" fontId="30" fillId="0" borderId="10" xfId="12" applyNumberFormat="1" applyFont="1" applyBorder="1" applyProtection="1">
      <protection hidden="1"/>
    </xf>
    <xf numFmtId="1" fontId="36" fillId="0" borderId="10" xfId="12" applyNumberFormat="1" applyFont="1" applyFill="1" applyBorder="1" applyAlignment="1" applyProtection="1">
      <alignment horizontal="center"/>
      <protection hidden="1"/>
    </xf>
    <xf numFmtId="173" fontId="36" fillId="0" borderId="0" xfId="12" applyNumberFormat="1" applyFont="1" applyFill="1" applyBorder="1" applyProtection="1">
      <protection hidden="1"/>
    </xf>
    <xf numFmtId="175" fontId="80" fillId="0" borderId="0" xfId="1" applyNumberFormat="1" applyFont="1" applyFill="1" applyBorder="1" applyAlignment="1" applyProtection="1">
      <alignment horizontal="right"/>
      <protection hidden="1"/>
    </xf>
    <xf numFmtId="172" fontId="30" fillId="11" borderId="10" xfId="12" applyNumberFormat="1" applyFont="1" applyFill="1" applyBorder="1" applyProtection="1">
      <protection hidden="1"/>
    </xf>
    <xf numFmtId="179" fontId="36" fillId="0" borderId="0" xfId="12" applyNumberFormat="1" applyFont="1" applyFill="1" applyBorder="1" applyProtection="1">
      <protection hidden="1"/>
    </xf>
    <xf numFmtId="2" fontId="36" fillId="0" borderId="0" xfId="12" applyNumberFormat="1" applyFont="1" applyFill="1" applyBorder="1" applyProtection="1">
      <protection hidden="1"/>
    </xf>
    <xf numFmtId="0" fontId="14" fillId="0" borderId="10" xfId="12" applyFont="1" applyFill="1" applyBorder="1" applyProtection="1">
      <protection hidden="1"/>
    </xf>
    <xf numFmtId="178" fontId="36" fillId="0" borderId="0" xfId="12" applyNumberFormat="1" applyFont="1" applyFill="1" applyBorder="1" applyProtection="1">
      <protection hidden="1"/>
    </xf>
    <xf numFmtId="0" fontId="14" fillId="0" borderId="0" xfId="12" applyFont="1" applyBorder="1" applyProtection="1">
      <protection hidden="1"/>
    </xf>
    <xf numFmtId="0" fontId="31" fillId="0" borderId="11" xfId="12" applyFont="1" applyBorder="1" applyProtection="1">
      <protection hidden="1"/>
    </xf>
    <xf numFmtId="0" fontId="31" fillId="0" borderId="12" xfId="12" applyFont="1" applyBorder="1" applyProtection="1">
      <protection hidden="1"/>
    </xf>
    <xf numFmtId="0" fontId="31" fillId="0" borderId="10" xfId="12" applyFont="1" applyBorder="1" applyProtection="1">
      <protection hidden="1"/>
    </xf>
    <xf numFmtId="0" fontId="36" fillId="0" borderId="11" xfId="12" applyFont="1" applyFill="1" applyBorder="1" applyProtection="1">
      <protection hidden="1"/>
    </xf>
    <xf numFmtId="0" fontId="14" fillId="0" borderId="11" xfId="12" applyFont="1" applyBorder="1" applyProtection="1">
      <protection hidden="1"/>
    </xf>
    <xf numFmtId="0" fontId="36" fillId="0" borderId="38" xfId="12" applyFont="1" applyFill="1" applyBorder="1" applyProtection="1">
      <protection hidden="1"/>
    </xf>
    <xf numFmtId="0" fontId="36" fillId="0" borderId="12" xfId="12" applyFont="1" applyBorder="1" applyProtection="1">
      <protection hidden="1"/>
    </xf>
    <xf numFmtId="0" fontId="36" fillId="0" borderId="10" xfId="12" applyFont="1" applyFill="1" applyBorder="1" applyProtection="1">
      <protection hidden="1"/>
    </xf>
    <xf numFmtId="173" fontId="36" fillId="0" borderId="10" xfId="12" applyNumberFormat="1" applyFont="1" applyFill="1" applyBorder="1" applyProtection="1">
      <protection hidden="1"/>
    </xf>
    <xf numFmtId="2" fontId="36" fillId="0" borderId="30" xfId="12" applyNumberFormat="1" applyFont="1" applyFill="1" applyBorder="1" applyProtection="1">
      <protection hidden="1"/>
    </xf>
    <xf numFmtId="0" fontId="36" fillId="0" borderId="11" xfId="12" applyFont="1" applyBorder="1" applyProtection="1">
      <protection hidden="1"/>
    </xf>
    <xf numFmtId="0" fontId="36" fillId="0" borderId="3" xfId="12" applyFont="1" applyFill="1" applyBorder="1" applyProtection="1">
      <protection hidden="1"/>
    </xf>
    <xf numFmtId="172" fontId="30" fillId="0" borderId="0" xfId="12" applyNumberFormat="1" applyFont="1" applyBorder="1" applyProtection="1">
      <protection hidden="1"/>
    </xf>
    <xf numFmtId="1" fontId="31" fillId="0" borderId="0" xfId="12" applyNumberFormat="1" applyFont="1" applyFill="1" applyBorder="1" applyAlignment="1" applyProtection="1">
      <alignment horizontal="center"/>
      <protection hidden="1"/>
    </xf>
    <xf numFmtId="172" fontId="36" fillId="0" borderId="0" xfId="12" applyNumberFormat="1" applyFont="1" applyBorder="1" applyProtection="1">
      <protection hidden="1"/>
    </xf>
    <xf numFmtId="172" fontId="30" fillId="0" borderId="0" xfId="12" applyNumberFormat="1" applyFont="1" applyProtection="1">
      <protection hidden="1"/>
    </xf>
    <xf numFmtId="172" fontId="31" fillId="0" borderId="0" xfId="12" applyNumberFormat="1" applyFont="1" applyFill="1" applyProtection="1">
      <protection hidden="1"/>
    </xf>
    <xf numFmtId="2" fontId="31" fillId="0" borderId="0" xfId="12" applyNumberFormat="1" applyFont="1" applyFill="1" applyProtection="1">
      <protection hidden="1"/>
    </xf>
    <xf numFmtId="0" fontId="36" fillId="0" borderId="0" xfId="28" applyFont="1" applyProtection="1">
      <protection hidden="1"/>
    </xf>
    <xf numFmtId="0" fontId="3" fillId="0" borderId="0" xfId="29" applyFont="1"/>
    <xf numFmtId="0" fontId="3" fillId="0" borderId="31" xfId="29" applyFont="1" applyFill="1" applyBorder="1"/>
    <xf numFmtId="0" fontId="31" fillId="0" borderId="59" xfId="0" applyFont="1" applyBorder="1" applyProtection="1">
      <protection hidden="1"/>
    </xf>
    <xf numFmtId="0" fontId="31" fillId="0" borderId="60" xfId="0" applyFont="1" applyBorder="1" applyProtection="1">
      <protection hidden="1"/>
    </xf>
    <xf numFmtId="173" fontId="31" fillId="10" borderId="42" xfId="0" applyNumberFormat="1" applyFont="1" applyFill="1" applyBorder="1" applyProtection="1">
      <protection locked="0"/>
    </xf>
    <xf numFmtId="173" fontId="31" fillId="0" borderId="12" xfId="0" applyNumberFormat="1" applyFont="1" applyBorder="1" applyProtection="1">
      <protection hidden="1"/>
    </xf>
    <xf numFmtId="173" fontId="31" fillId="0" borderId="37" xfId="0" applyNumberFormat="1" applyFont="1" applyBorder="1" applyProtection="1">
      <protection locked="0"/>
    </xf>
    <xf numFmtId="0" fontId="31" fillId="0" borderId="50" xfId="0" applyFont="1" applyBorder="1" applyProtection="1">
      <protection hidden="1"/>
    </xf>
    <xf numFmtId="0" fontId="31" fillId="0" borderId="51" xfId="0" applyFont="1" applyBorder="1" applyProtection="1">
      <protection hidden="1"/>
    </xf>
    <xf numFmtId="0" fontId="46" fillId="12" borderId="52" xfId="0" applyFont="1" applyFill="1" applyBorder="1" applyProtection="1">
      <protection hidden="1"/>
    </xf>
    <xf numFmtId="0" fontId="46" fillId="12" borderId="0" xfId="0" applyFont="1" applyFill="1" applyBorder="1" applyProtection="1">
      <protection hidden="1"/>
    </xf>
    <xf numFmtId="0" fontId="31" fillId="12" borderId="0" xfId="0" applyFont="1" applyFill="1" applyBorder="1" applyProtection="1">
      <protection hidden="1"/>
    </xf>
    <xf numFmtId="0" fontId="31" fillId="12" borderId="53" xfId="0" applyFont="1" applyFill="1" applyBorder="1" applyProtection="1">
      <protection hidden="1"/>
    </xf>
    <xf numFmtId="0" fontId="46" fillId="0" borderId="52" xfId="0" applyFont="1" applyBorder="1" applyProtection="1">
      <protection hidden="1"/>
    </xf>
    <xf numFmtId="0" fontId="46" fillId="0" borderId="0" xfId="0" applyFont="1" applyBorder="1" applyProtection="1">
      <protection hidden="1"/>
    </xf>
    <xf numFmtId="0" fontId="31" fillId="0" borderId="53" xfId="0" applyFont="1" applyBorder="1" applyProtection="1">
      <protection hidden="1"/>
    </xf>
    <xf numFmtId="0" fontId="45" fillId="0" borderId="61" xfId="0" applyFont="1" applyBorder="1" applyProtection="1">
      <protection hidden="1"/>
    </xf>
    <xf numFmtId="0" fontId="46" fillId="0" borderId="3" xfId="0" applyFont="1" applyBorder="1" applyProtection="1">
      <protection hidden="1"/>
    </xf>
    <xf numFmtId="0" fontId="31" fillId="0" borderId="62" xfId="0" applyFont="1" applyBorder="1" applyProtection="1">
      <protection hidden="1"/>
    </xf>
    <xf numFmtId="0" fontId="31" fillId="0" borderId="63" xfId="0" applyFont="1" applyBorder="1" applyProtection="1">
      <protection hidden="1"/>
    </xf>
    <xf numFmtId="0" fontId="31" fillId="0" borderId="8" xfId="0" applyFont="1" applyBorder="1" applyProtection="1">
      <protection hidden="1"/>
    </xf>
    <xf numFmtId="0" fontId="31" fillId="0" borderId="64" xfId="0" applyFont="1" applyBorder="1" applyProtection="1">
      <protection hidden="1"/>
    </xf>
    <xf numFmtId="173" fontId="31" fillId="0" borderId="65" xfId="0" applyNumberFormat="1" applyFont="1" applyBorder="1" applyProtection="1">
      <protection locked="0"/>
    </xf>
    <xf numFmtId="173" fontId="31" fillId="0" borderId="66" xfId="0" applyNumberFormat="1" applyFont="1" applyBorder="1" applyProtection="1">
      <protection locked="0"/>
    </xf>
    <xf numFmtId="173" fontId="31" fillId="0" borderId="67" xfId="0" applyNumberFormat="1" applyFont="1" applyBorder="1" applyProtection="1">
      <protection locked="0"/>
    </xf>
    <xf numFmtId="173" fontId="31" fillId="0" borderId="0" xfId="0" applyNumberFormat="1" applyFont="1" applyProtection="1">
      <protection hidden="1"/>
    </xf>
    <xf numFmtId="0" fontId="31" fillId="0" borderId="0" xfId="0" applyFont="1" applyProtection="1"/>
    <xf numFmtId="0" fontId="36" fillId="0" borderId="0" xfId="12" applyFont="1" applyProtection="1"/>
    <xf numFmtId="0" fontId="30" fillId="0" borderId="0" xfId="1" applyFont="1" applyFill="1" applyAlignment="1" applyProtection="1">
      <alignment horizontal="left"/>
    </xf>
    <xf numFmtId="0" fontId="36" fillId="0" borderId="0" xfId="12" applyFont="1" applyFill="1" applyProtection="1"/>
    <xf numFmtId="173" fontId="36" fillId="0" borderId="38" xfId="12" applyNumberFormat="1" applyFont="1" applyFill="1" applyBorder="1" applyProtection="1">
      <protection hidden="1"/>
    </xf>
    <xf numFmtId="0" fontId="36" fillId="0" borderId="0" xfId="12" applyFont="1" applyAlignment="1" applyProtection="1">
      <alignment horizontal="left"/>
      <protection hidden="1"/>
    </xf>
    <xf numFmtId="2" fontId="36" fillId="0" borderId="10" xfId="12" applyNumberFormat="1" applyFont="1" applyFill="1" applyBorder="1" applyProtection="1">
      <protection hidden="1"/>
    </xf>
    <xf numFmtId="1" fontId="36" fillId="0" borderId="30" xfId="12" applyNumberFormat="1" applyFont="1" applyFill="1" applyBorder="1" applyProtection="1">
      <protection hidden="1"/>
    </xf>
    <xf numFmtId="0" fontId="36" fillId="0" borderId="31" xfId="12" applyFont="1" applyFill="1" applyBorder="1" applyProtection="1">
      <protection locked="0"/>
    </xf>
    <xf numFmtId="1" fontId="80" fillId="0" borderId="0" xfId="1" applyNumberFormat="1" applyFont="1" applyFill="1" applyBorder="1" applyAlignment="1" applyProtection="1">
      <alignment horizontal="left"/>
    </xf>
    <xf numFmtId="2" fontId="31" fillId="0" borderId="0" xfId="1" applyNumberFormat="1" applyFont="1" applyFill="1" applyBorder="1" applyAlignment="1" applyProtection="1">
      <alignment horizontal="right"/>
    </xf>
    <xf numFmtId="0" fontId="31" fillId="0" borderId="0" xfId="1" applyFont="1" applyFill="1" applyProtection="1"/>
    <xf numFmtId="0" fontId="31" fillId="0" borderId="0" xfId="1" applyFont="1" applyProtection="1"/>
    <xf numFmtId="2" fontId="36" fillId="0" borderId="58" xfId="12" applyNumberFormat="1" applyFont="1" applyFill="1" applyBorder="1" applyProtection="1">
      <protection hidden="1"/>
    </xf>
    <xf numFmtId="0" fontId="31" fillId="0" borderId="0" xfId="1" applyFont="1" applyAlignment="1" applyProtection="1">
      <alignment horizontal="left"/>
    </xf>
    <xf numFmtId="1" fontId="31" fillId="0" borderId="57" xfId="1" applyNumberFormat="1" applyFont="1" applyFill="1" applyBorder="1" applyAlignment="1" applyProtection="1">
      <alignment horizontal="right"/>
      <protection hidden="1"/>
    </xf>
    <xf numFmtId="0" fontId="36" fillId="0" borderId="21" xfId="12" applyFont="1" applyBorder="1" applyProtection="1">
      <protection hidden="1"/>
    </xf>
    <xf numFmtId="165" fontId="31" fillId="0" borderId="38" xfId="1" applyNumberFormat="1" applyFont="1" applyFill="1" applyBorder="1" applyAlignment="1" applyProtection="1">
      <alignment horizontal="right"/>
      <protection hidden="1"/>
    </xf>
    <xf numFmtId="0" fontId="31" fillId="0" borderId="10" xfId="1" applyFont="1" applyBorder="1" applyProtection="1">
      <protection hidden="1"/>
    </xf>
    <xf numFmtId="0" fontId="30" fillId="0" borderId="0" xfId="1" applyFont="1" applyAlignment="1" applyProtection="1">
      <alignment horizontal="left"/>
    </xf>
    <xf numFmtId="1" fontId="36" fillId="0" borderId="31" xfId="12" applyNumberFormat="1" applyFont="1" applyFill="1" applyBorder="1" applyProtection="1">
      <protection locked="0" hidden="1"/>
    </xf>
    <xf numFmtId="1" fontId="31" fillId="0" borderId="0" xfId="1" applyNumberFormat="1" applyFont="1" applyFill="1" applyBorder="1" applyAlignment="1" applyProtection="1">
      <alignment horizontal="right"/>
      <protection hidden="1"/>
    </xf>
    <xf numFmtId="165" fontId="31" fillId="0" borderId="0" xfId="1" applyNumberFormat="1" applyFont="1" applyFill="1" applyBorder="1" applyAlignment="1" applyProtection="1">
      <alignment horizontal="right"/>
      <protection hidden="1"/>
    </xf>
    <xf numFmtId="0" fontId="30" fillId="0" borderId="0" xfId="0" applyFont="1" applyProtection="1"/>
    <xf numFmtId="1" fontId="80" fillId="0" borderId="41" xfId="1" applyNumberFormat="1" applyFont="1" applyFill="1" applyBorder="1" applyAlignment="1" applyProtection="1">
      <alignment horizontal="right"/>
      <protection hidden="1"/>
    </xf>
    <xf numFmtId="2" fontId="31" fillId="0" borderId="46" xfId="1" applyNumberFormat="1" applyFont="1" applyFill="1" applyBorder="1" applyAlignment="1" applyProtection="1">
      <alignment horizontal="left"/>
      <protection hidden="1"/>
    </xf>
    <xf numFmtId="1" fontId="80" fillId="0" borderId="39" xfId="1" applyNumberFormat="1" applyFont="1" applyFill="1" applyBorder="1" applyAlignment="1" applyProtection="1">
      <alignment horizontal="right"/>
      <protection hidden="1"/>
    </xf>
    <xf numFmtId="2" fontId="31" fillId="0" borderId="12" xfId="1" applyNumberFormat="1" applyFont="1" applyFill="1" applyBorder="1" applyAlignment="1" applyProtection="1">
      <alignment horizontal="left"/>
      <protection hidden="1"/>
    </xf>
    <xf numFmtId="1" fontId="80" fillId="0" borderId="38" xfId="1" applyNumberFormat="1" applyFont="1" applyFill="1" applyBorder="1" applyAlignment="1" applyProtection="1">
      <alignment horizontal="right"/>
      <protection hidden="1"/>
    </xf>
    <xf numFmtId="171" fontId="80" fillId="0" borderId="38" xfId="1" applyNumberFormat="1" applyFont="1" applyFill="1" applyBorder="1" applyAlignment="1" applyProtection="1">
      <alignment horizontal="right"/>
      <protection hidden="1"/>
    </xf>
    <xf numFmtId="0" fontId="36" fillId="0" borderId="12" xfId="12" applyFont="1" applyBorder="1" applyAlignment="1" applyProtection="1">
      <alignment horizontal="left"/>
      <protection hidden="1"/>
    </xf>
    <xf numFmtId="0" fontId="31" fillId="0" borderId="12" xfId="1" applyFont="1" applyBorder="1" applyAlignment="1" applyProtection="1">
      <alignment horizontal="left"/>
      <protection hidden="1"/>
    </xf>
    <xf numFmtId="171" fontId="80" fillId="0" borderId="0" xfId="1" applyNumberFormat="1" applyFont="1" applyFill="1" applyBorder="1" applyAlignment="1" applyProtection="1">
      <alignment horizontal="right"/>
      <protection hidden="1"/>
    </xf>
    <xf numFmtId="0" fontId="31" fillId="0" borderId="3" xfId="1" applyFont="1" applyBorder="1" applyAlignment="1" applyProtection="1">
      <alignment horizontal="left"/>
      <protection hidden="1"/>
    </xf>
    <xf numFmtId="0" fontId="36" fillId="0" borderId="0" xfId="12" applyFont="1" applyBorder="1" applyProtection="1"/>
    <xf numFmtId="0" fontId="31" fillId="0" borderId="45" xfId="1" applyFont="1" applyBorder="1" applyProtection="1">
      <protection hidden="1"/>
    </xf>
    <xf numFmtId="2" fontId="31" fillId="0" borderId="38" xfId="1" applyNumberFormat="1" applyFont="1" applyFill="1" applyBorder="1" applyAlignment="1" applyProtection="1">
      <alignment horizontal="right"/>
      <protection hidden="1"/>
    </xf>
    <xf numFmtId="173" fontId="31" fillId="0" borderId="38" xfId="1" applyNumberFormat="1" applyFont="1" applyFill="1" applyBorder="1" applyProtection="1">
      <protection hidden="1"/>
    </xf>
    <xf numFmtId="0" fontId="40" fillId="0" borderId="11" xfId="19" applyFont="1" applyFill="1" applyBorder="1"/>
    <xf numFmtId="0" fontId="40" fillId="0" borderId="21" xfId="19" applyFont="1" applyFill="1" applyBorder="1"/>
    <xf numFmtId="0" fontId="40" fillId="0" borderId="12" xfId="19" applyFont="1" applyFill="1" applyBorder="1"/>
    <xf numFmtId="0" fontId="40" fillId="14" borderId="11" xfId="19" applyFont="1" applyFill="1" applyBorder="1"/>
    <xf numFmtId="0" fontId="40" fillId="14" borderId="21" xfId="19" applyFont="1" applyFill="1" applyBorder="1"/>
    <xf numFmtId="0" fontId="40" fillId="14" borderId="12" xfId="19" applyFont="1" applyFill="1" applyBorder="1"/>
    <xf numFmtId="0" fontId="0" fillId="0" borderId="0" xfId="0" applyFont="1" applyAlignment="1">
      <alignment horizontal="center"/>
    </xf>
    <xf numFmtId="0" fontId="0" fillId="13" borderId="22" xfId="0" applyFont="1" applyFill="1" applyBorder="1" applyAlignment="1">
      <alignment horizontal="center"/>
    </xf>
    <xf numFmtId="0" fontId="0" fillId="13" borderId="0" xfId="0" applyFont="1" applyFill="1" applyBorder="1" applyAlignment="1">
      <alignment horizontal="center"/>
    </xf>
    <xf numFmtId="2" fontId="38" fillId="0" borderId="23" xfId="0" applyNumberFormat="1" applyFont="1" applyFill="1" applyBorder="1" applyAlignment="1" applyProtection="1">
      <alignment horizontal="center"/>
      <protection locked="0"/>
    </xf>
    <xf numFmtId="2" fontId="38" fillId="0" borderId="24" xfId="0" applyNumberFormat="1" applyFont="1" applyFill="1" applyBorder="1" applyAlignment="1" applyProtection="1">
      <alignment horizontal="center"/>
      <protection locked="0"/>
    </xf>
    <xf numFmtId="0" fontId="31" fillId="0" borderId="25" xfId="0" applyFont="1" applyFill="1" applyBorder="1" applyAlignment="1">
      <alignment horizontal="center"/>
    </xf>
    <xf numFmtId="0" fontId="38" fillId="0" borderId="23" xfId="0" applyFont="1" applyFill="1" applyBorder="1" applyAlignment="1" applyProtection="1">
      <alignment horizontal="center" vertical="center"/>
      <protection locked="0"/>
    </xf>
    <xf numFmtId="0" fontId="38" fillId="0" borderId="24" xfId="0" applyFont="1" applyFill="1" applyBorder="1" applyAlignment="1" applyProtection="1">
      <alignment horizontal="center" vertical="center"/>
      <protection locked="0"/>
    </xf>
    <xf numFmtId="1" fontId="38" fillId="0" borderId="23" xfId="0" applyNumberFormat="1" applyFont="1" applyFill="1" applyBorder="1" applyAlignment="1" applyProtection="1">
      <alignment horizontal="center"/>
      <protection locked="0"/>
    </xf>
    <xf numFmtId="1" fontId="38" fillId="0" borderId="24" xfId="0" applyNumberFormat="1" applyFont="1" applyFill="1" applyBorder="1" applyAlignment="1" applyProtection="1">
      <alignment horizontal="center"/>
      <protection locked="0"/>
    </xf>
    <xf numFmtId="173" fontId="38" fillId="0" borderId="23" xfId="0" applyNumberFormat="1" applyFont="1" applyFill="1" applyBorder="1" applyAlignment="1" applyProtection="1">
      <alignment horizontal="center"/>
      <protection locked="0"/>
    </xf>
    <xf numFmtId="173" fontId="38" fillId="0" borderId="24" xfId="0" applyNumberFormat="1" applyFont="1" applyFill="1" applyBorder="1" applyAlignment="1" applyProtection="1">
      <alignment horizontal="center"/>
      <protection locked="0"/>
    </xf>
    <xf numFmtId="0" fontId="31" fillId="0" borderId="0" xfId="0" applyFont="1" applyFill="1" applyBorder="1" applyAlignment="1">
      <alignment horizontal="center"/>
    </xf>
    <xf numFmtId="0" fontId="40" fillId="0" borderId="0" xfId="19" applyFont="1" applyProtection="1"/>
    <xf numFmtId="0" fontId="0" fillId="0" borderId="0" xfId="0" applyFont="1" applyAlignment="1" applyProtection="1">
      <alignment horizontal="center"/>
      <protection hidden="1"/>
    </xf>
    <xf numFmtId="0" fontId="0" fillId="13" borderId="22" xfId="0" applyFont="1" applyFill="1" applyBorder="1" applyAlignment="1" applyProtection="1">
      <alignment horizontal="center"/>
      <protection hidden="1"/>
    </xf>
    <xf numFmtId="0" fontId="0" fillId="13" borderId="0" xfId="0" applyFont="1" applyFill="1" applyBorder="1" applyAlignment="1" applyProtection="1">
      <alignment horizontal="center"/>
      <protection hidden="1"/>
    </xf>
  </cellXfs>
  <cellStyles count="30">
    <cellStyle name="20% - Accent1 2" xfId="3" xr:uid="{00000000-0005-0000-0000-000000000000}"/>
    <cellStyle name="20% - Accent1 2 2" xfId="20" xr:uid="{00000000-0005-0000-0000-000001000000}"/>
    <cellStyle name="20% - Accent6 2" xfId="4" xr:uid="{00000000-0005-0000-0000-000002000000}"/>
    <cellStyle name="20% - Accent6 2 2" xfId="21" xr:uid="{00000000-0005-0000-0000-000003000000}"/>
    <cellStyle name="Accent1 2" xfId="5" xr:uid="{00000000-0005-0000-0000-000004000000}"/>
    <cellStyle name="Accent6 2" xfId="6" xr:uid="{00000000-0005-0000-0000-000005000000}"/>
    <cellStyle name="Calculation 2" xfId="7" xr:uid="{00000000-0005-0000-0000-000006000000}"/>
    <cellStyle name="Hiperhivatkozás_smdrakt" xfId="8" xr:uid="{00000000-0005-0000-0000-000007000000}"/>
    <cellStyle name="Hyperlink" xfId="19" builtinId="8"/>
    <cellStyle name="Input 2" xfId="9" xr:uid="{00000000-0005-0000-0000-000009000000}"/>
    <cellStyle name="Neutral 2" xfId="10" xr:uid="{00000000-0005-0000-0000-00000A000000}"/>
    <cellStyle name="Normal" xfId="0" builtinId="0"/>
    <cellStyle name="Normal 10" xfId="29" xr:uid="{8561A9C6-24BB-47BB-8884-76B6D1CFE329}"/>
    <cellStyle name="Normal 2" xfId="11" xr:uid="{00000000-0005-0000-0000-00000C000000}"/>
    <cellStyle name="Normal 3" xfId="12" xr:uid="{00000000-0005-0000-0000-00000D000000}"/>
    <cellStyle name="Normal 3 2" xfId="13" xr:uid="{00000000-0005-0000-0000-00000E000000}"/>
    <cellStyle name="Normal 3 3" xfId="22" xr:uid="{00000000-0005-0000-0000-00000F000000}"/>
    <cellStyle name="Normal 3 4" xfId="28" xr:uid="{8E4267CE-7507-4F01-8524-90E1ED24BC9D}"/>
    <cellStyle name="Normal 4" xfId="14" xr:uid="{00000000-0005-0000-0000-000010000000}"/>
    <cellStyle name="Normal 4 2" xfId="23" xr:uid="{00000000-0005-0000-0000-000011000000}"/>
    <cellStyle name="Normal 5" xfId="15" xr:uid="{00000000-0005-0000-0000-000012000000}"/>
    <cellStyle name="Normal 5 2" xfId="24" xr:uid="{00000000-0005-0000-0000-000013000000}"/>
    <cellStyle name="Normal 6" xfId="16" xr:uid="{00000000-0005-0000-0000-000014000000}"/>
    <cellStyle name="Normal 6 2" xfId="25" xr:uid="{00000000-0005-0000-0000-000015000000}"/>
    <cellStyle name="Normal 7" xfId="26" xr:uid="{00000000-0005-0000-0000-000016000000}"/>
    <cellStyle name="Normal 8" xfId="27" xr:uid="{00000000-0005-0000-0000-000017000000}"/>
    <cellStyle name="Normál_smdrakt" xfId="17" xr:uid="{00000000-0005-0000-0000-000018000000}"/>
    <cellStyle name="Normal_ST&amp;HT_EQ" xfId="1" xr:uid="{00000000-0005-0000-0000-000019000000}"/>
    <cellStyle name="Normal_STEINHRT" xfId="2" xr:uid="{00000000-0005-0000-0000-00001A000000}"/>
    <cellStyle name="Percent 2" xfId="18" xr:uid="{00000000-0005-0000-0000-00001B000000}"/>
  </cellStyles>
  <dxfs count="8">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Resistance to Temperature Characteristic</a:t>
            </a:r>
          </a:p>
        </c:rich>
      </c:tx>
      <c:overlay val="0"/>
    </c:title>
    <c:autoTitleDeleted val="0"/>
    <c:plotArea>
      <c:layout/>
      <c:scatterChart>
        <c:scatterStyle val="lineMarker"/>
        <c:varyColors val="0"/>
        <c:ser>
          <c:idx val="0"/>
          <c:order val="0"/>
          <c:tx>
            <c:strRef>
              <c:f>'NTC Thermistor Comparison'!$B$29</c:f>
              <c:strCache>
                <c:ptCount val="1"/>
                <c:pt idx="0">
                  <c:v>TMP6131DECR</c:v>
                </c:pt>
              </c:strCache>
            </c:strRef>
          </c:tx>
          <c:marker>
            <c:symbol val="none"/>
          </c:marker>
          <c:xVal>
            <c:numRef>
              <c:f>'NTC Thermistor Comparison'!$B$36:$B$251</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Comparison'!$D$36:$D$251</c:f>
              <c:numCache>
                <c:formatCode>0</c:formatCode>
                <c:ptCount val="216"/>
                <c:pt idx="0">
                  <c:v>6514.0402550496137</c:v>
                </c:pt>
                <c:pt idx="1">
                  <c:v>6555.848186798853</c:v>
                </c:pt>
                <c:pt idx="2">
                  <c:v>6598.0350925161956</c:v>
                </c:pt>
                <c:pt idx="3">
                  <c:v>6640.5983306888866</c:v>
                </c:pt>
                <c:pt idx="4">
                  <c:v>6683.535303055618</c:v>
                </c:pt>
                <c:pt idx="5">
                  <c:v>6726.8434546065191</c:v>
                </c:pt>
                <c:pt idx="6">
                  <c:v>6770.5202735831617</c:v>
                </c:pt>
                <c:pt idx="7">
                  <c:v>6814.563291478561</c:v>
                </c:pt>
                <c:pt idx="8">
                  <c:v>6858.9700830371703</c:v>
                </c:pt>
                <c:pt idx="9">
                  <c:v>6903.7382662548889</c:v>
                </c:pt>
                <c:pt idx="10">
                  <c:v>6948.8655023790488</c:v>
                </c:pt>
                <c:pt idx="11">
                  <c:v>6994.3494959084337</c:v>
                </c:pt>
                <c:pt idx="12">
                  <c:v>7040.1879945932606</c:v>
                </c:pt>
                <c:pt idx="13">
                  <c:v>7086.3787894351908</c:v>
                </c:pt>
                <c:pt idx="14">
                  <c:v>7132.9197146873294</c:v>
                </c:pt>
                <c:pt idx="15">
                  <c:v>7179.8086478542191</c:v>
                </c:pt>
                <c:pt idx="16">
                  <c:v>7227.0435096918427</c:v>
                </c:pt>
                <c:pt idx="17">
                  <c:v>7274.62226420763</c:v>
                </c:pt>
                <c:pt idx="18">
                  <c:v>7322.5429186604479</c:v>
                </c:pt>
                <c:pt idx="19">
                  <c:v>7370.8035235606039</c:v>
                </c:pt>
                <c:pt idx="20">
                  <c:v>7419.4021726698502</c:v>
                </c:pt>
                <c:pt idx="21">
                  <c:v>7468.3370030013784</c:v>
                </c:pt>
                <c:pt idx="22">
                  <c:v>7517.6061948198203</c:v>
                </c:pt>
                <c:pt idx="23">
                  <c:v>7567.2079716412518</c:v>
                </c:pt>
                <c:pt idx="24">
                  <c:v>7617.1406002331887</c:v>
                </c:pt>
                <c:pt idx="25">
                  <c:v>7667.4023906145867</c:v>
                </c:pt>
                <c:pt idx="26">
                  <c:v>7717.9916960558412</c:v>
                </c:pt>
                <c:pt idx="27">
                  <c:v>7768.9069130787975</c:v>
                </c:pt>
                <c:pt idx="28">
                  <c:v>7820.1464814567344</c:v>
                </c:pt>
                <c:pt idx="29">
                  <c:v>7871.7088842143712</c:v>
                </c:pt>
                <c:pt idx="30">
                  <c:v>7923.5926476278764</c:v>
                </c:pt>
                <c:pt idx="31">
                  <c:v>7975.7963412248491</c:v>
                </c:pt>
                <c:pt idx="32">
                  <c:v>8028.3185777843391</c:v>
                </c:pt>
                <c:pt idx="33">
                  <c:v>8081.1580133368334</c:v>
                </c:pt>
                <c:pt idx="34">
                  <c:v>8134.3133471642586</c:v>
                </c:pt>
                <c:pt idx="35">
                  <c:v>8187.7833217999869</c:v>
                </c:pt>
                <c:pt idx="36">
                  <c:v>8241.5667230288273</c:v>
                </c:pt>
                <c:pt idx="37">
                  <c:v>8295.6623798870351</c:v>
                </c:pt>
                <c:pt idx="38">
                  <c:v>8350.0691646623036</c:v>
                </c:pt>
                <c:pt idx="39">
                  <c:v>8404.7859928937669</c:v>
                </c:pt>
                <c:pt idx="40">
                  <c:v>8459.8118233719997</c:v>
                </c:pt>
                <c:pt idx="41">
                  <c:v>8515.1456581390212</c:v>
                </c:pt>
                <c:pt idx="42">
                  <c:v>8570.786542488293</c:v>
                </c:pt>
                <c:pt idx="43">
                  <c:v>8626.7335649647139</c:v>
                </c:pt>
                <c:pt idx="44">
                  <c:v>8682.9858573646234</c:v>
                </c:pt>
                <c:pt idx="45">
                  <c:v>8739.5425947358053</c:v>
                </c:pt>
                <c:pt idx="46">
                  <c:v>8796.4029953774861</c:v>
                </c:pt>
                <c:pt idx="47">
                  <c:v>8853.5663208403312</c:v>
                </c:pt>
                <c:pt idx="48">
                  <c:v>8911.0318759264446</c:v>
                </c:pt>
                <c:pt idx="49">
                  <c:v>8968.7990086893751</c:v>
                </c:pt>
                <c:pt idx="50">
                  <c:v>9026.8671104341156</c:v>
                </c:pt>
                <c:pt idx="51">
                  <c:v>9085.2356157170925</c:v>
                </c:pt>
                <c:pt idx="52">
                  <c:v>9143.9040023461821</c:v>
                </c:pt>
                <c:pt idx="53">
                  <c:v>9202.8717913806922</c:v>
                </c:pt>
                <c:pt idx="54">
                  <c:v>9262.1385471313806</c:v>
                </c:pt>
                <c:pt idx="55">
                  <c:v>9321.7038771604457</c:v>
                </c:pt>
                <c:pt idx="56">
                  <c:v>9381.5674322815212</c:v>
                </c:pt>
                <c:pt idx="57">
                  <c:v>9441.7289065596888</c:v>
                </c:pt>
                <c:pt idx="58">
                  <c:v>9502.1880373114636</c:v>
                </c:pt>
                <c:pt idx="59">
                  <c:v>9562.9446051048089</c:v>
                </c:pt>
                <c:pt idx="60">
                  <c:v>9623.9984337591304</c:v>
                </c:pt>
                <c:pt idx="61">
                  <c:v>9685.3493903452709</c:v>
                </c:pt>
                <c:pt idx="62">
                  <c:v>9746.9973851855102</c:v>
                </c:pt>
                <c:pt idx="63">
                  <c:v>9808.94237185358</c:v>
                </c:pt>
                <c:pt idx="64">
                  <c:v>9871.1843471746452</c:v>
                </c:pt>
                <c:pt idx="65">
                  <c:v>9933.7233512253169</c:v>
                </c:pt>
                <c:pt idx="66">
                  <c:v>9996.5594673336454</c:v>
                </c:pt>
                <c:pt idx="67">
                  <c:v>10059.692822079123</c:v>
                </c:pt>
                <c:pt idx="68">
                  <c:v>10123.123585292678</c:v>
                </c:pt>
                <c:pt idx="69">
                  <c:v>10186.851970056689</c:v>
                </c:pt>
                <c:pt idx="70">
                  <c:v>10250.878232704968</c:v>
                </c:pt>
                <c:pt idx="71">
                  <c:v>10315.202672822779</c:v>
                </c:pt>
                <c:pt idx="72">
                  <c:v>10379.82563324681</c:v>
                </c:pt>
                <c:pt idx="73">
                  <c:v>10444.747500065207</c:v>
                </c:pt>
                <c:pt idx="74">
                  <c:v>10509.968702617549</c:v>
                </c:pt>
                <c:pt idx="75">
                  <c:v>10575.489713494859</c:v>
                </c:pt>
                <c:pt idx="76">
                  <c:v>10641.311048539599</c:v>
                </c:pt>
                <c:pt idx="77">
                  <c:v>10707.433266845675</c:v>
                </c:pt>
                <c:pt idx="78">
                  <c:v>10773.85697075843</c:v>
                </c:pt>
                <c:pt idx="79">
                  <c:v>10840.582805874654</c:v>
                </c:pt>
                <c:pt idx="80">
                  <c:v>10907.611461042574</c:v>
                </c:pt>
                <c:pt idx="81">
                  <c:v>10974.943668361862</c:v>
                </c:pt>
                <c:pt idx="82">
                  <c:v>11042.580203183627</c:v>
                </c:pt>
                <c:pt idx="83">
                  <c:v>11110.521884110422</c:v>
                </c:pt>
                <c:pt idx="84">
                  <c:v>11178.769572996238</c:v>
                </c:pt>
                <c:pt idx="85">
                  <c:v>11247.324174946516</c:v>
                </c:pt>
                <c:pt idx="86">
                  <c:v>11316.186638318128</c:v>
                </c:pt>
                <c:pt idx="87">
                  <c:v>11385.357954719393</c:v>
                </c:pt>
                <c:pt idx="88">
                  <c:v>11454.839159010069</c:v>
                </c:pt>
                <c:pt idx="89">
                  <c:v>11524.631329301359</c:v>
                </c:pt>
                <c:pt idx="90">
                  <c:v>11594.735586955901</c:v>
                </c:pt>
                <c:pt idx="91">
                  <c:v>11665.153096587779</c:v>
                </c:pt>
                <c:pt idx="92">
                  <c:v>11735.885066062518</c:v>
                </c:pt>
                <c:pt idx="93">
                  <c:v>11806.932746497079</c:v>
                </c:pt>
                <c:pt idx="94">
                  <c:v>11878.297432259878</c:v>
                </c:pt>
                <c:pt idx="95">
                  <c:v>11949.980460970753</c:v>
                </c:pt>
                <c:pt idx="96">
                  <c:v>12021.983213501002</c:v>
                </c:pt>
                <c:pt idx="97">
                  <c:v>12094.307113973347</c:v>
                </c:pt>
                <c:pt idx="98">
                  <c:v>12166.953629761969</c:v>
                </c:pt>
                <c:pt idx="99">
                  <c:v>12239.924271492477</c:v>
                </c:pt>
                <c:pt idx="100">
                  <c:v>12313.22059304192</c:v>
                </c:pt>
                <c:pt idx="101">
                  <c:v>12386.844191538803</c:v>
                </c:pt>
                <c:pt idx="102">
                  <c:v>12460.796707363059</c:v>
                </c:pt>
                <c:pt idx="103">
                  <c:v>12535.079824146067</c:v>
                </c:pt>
                <c:pt idx="104">
                  <c:v>12609.695268770643</c:v>
                </c:pt>
                <c:pt idx="105">
                  <c:v>12684.644811371058</c:v>
                </c:pt>
                <c:pt idx="106">
                  <c:v>12759.930265333003</c:v>
                </c:pt>
                <c:pt idx="107">
                  <c:v>12835.553487293628</c:v>
                </c:pt>
                <c:pt idx="108">
                  <c:v>12911.516377141515</c:v>
                </c:pt>
                <c:pt idx="109">
                  <c:v>12987.820878016695</c:v>
                </c:pt>
                <c:pt idx="110">
                  <c:v>13064.468976310629</c:v>
                </c:pt>
                <c:pt idx="111">
                  <c:v>13141.462701666229</c:v>
                </c:pt>
                <c:pt idx="112">
                  <c:v>13218.804126977848</c:v>
                </c:pt>
                <c:pt idx="113">
                  <c:v>13296.495368391274</c:v>
                </c:pt>
                <c:pt idx="114">
                  <c:v>13374.538585303735</c:v>
                </c:pt>
                <c:pt idx="115">
                  <c:v>13452.93598036392</c:v>
                </c:pt>
                <c:pt idx="116">
                  <c:v>13531.689799471929</c:v>
                </c:pt>
                <c:pt idx="117">
                  <c:v>13610.802331779327</c:v>
                </c:pt>
                <c:pt idx="118">
                  <c:v>13690.275909689111</c:v>
                </c:pt>
                <c:pt idx="119">
                  <c:v>13770.112908855715</c:v>
                </c:pt>
                <c:pt idx="120">
                  <c:v>13850.315748185027</c:v>
                </c:pt>
                <c:pt idx="121">
                  <c:v>13930.886889834363</c:v>
                </c:pt>
                <c:pt idx="122">
                  <c:v>14011.82883921249</c:v>
                </c:pt>
                <c:pt idx="123">
                  <c:v>14093.144144979609</c:v>
                </c:pt>
                <c:pt idx="124">
                  <c:v>14174.835399047368</c:v>
                </c:pt>
                <c:pt idx="125">
                  <c:v>14256.905236578858</c:v>
                </c:pt>
                <c:pt idx="126">
                  <c:v>14339.356335988599</c:v>
                </c:pt>
                <c:pt idx="127">
                  <c:v>14422.19141894257</c:v>
                </c:pt>
                <c:pt idx="128">
                  <c:v>14505.413250358171</c:v>
                </c:pt>
                <c:pt idx="129">
                  <c:v>14589.024638404262</c:v>
                </c:pt>
                <c:pt idx="130">
                  <c:v>14673.028434501137</c:v>
                </c:pt>
                <c:pt idx="131">
                  <c:v>14757.427533320526</c:v>
                </c:pt>
                <c:pt idx="132">
                  <c:v>14842.224872785613</c:v>
                </c:pt>
                <c:pt idx="133">
                  <c:v>14927.423434071005</c:v>
                </c:pt>
                <c:pt idx="134">
                  <c:v>15013.026241602771</c:v>
                </c:pt>
                <c:pt idx="135">
                  <c:v>15099.036363058402</c:v>
                </c:pt>
                <c:pt idx="136">
                  <c:v>15185.456909366843</c:v>
                </c:pt>
                <c:pt idx="137">
                  <c:v>15272.291034708483</c:v>
                </c:pt>
                <c:pt idx="138">
                  <c:v>15359.541936515136</c:v>
                </c:pt>
                <c:pt idx="139">
                  <c:v>15447.212855470074</c:v>
                </c:pt>
                <c:pt idx="140">
                  <c:v>15535.307075507999</c:v>
                </c:pt>
                <c:pt idx="141">
                  <c:v>15623.827923815064</c:v>
                </c:pt>
                <c:pt idx="142">
                  <c:v>15712.778770828854</c:v>
                </c:pt>
                <c:pt idx="143">
                  <c:v>15802.163030238404</c:v>
                </c:pt>
                <c:pt idx="144">
                  <c:v>15891.98415898418</c:v>
                </c:pt>
                <c:pt idx="145">
                  <c:v>15982.2456572581</c:v>
                </c:pt>
                <c:pt idx="146">
                  <c:v>16072.951068503513</c:v>
                </c:pt>
                <c:pt idx="147">
                  <c:v>16164.10397941522</c:v>
                </c:pt>
                <c:pt idx="148">
                  <c:v>16255.708019939457</c:v>
                </c:pt>
                <c:pt idx="149">
                  <c:v>16347.766863273902</c:v>
                </c:pt>
                <c:pt idx="150">
                  <c:v>16440.284225867672</c:v>
                </c:pt>
                <c:pt idx="151">
                  <c:v>16533.26386742133</c:v>
                </c:pt>
                <c:pt idx="152">
                  <c:v>16626.70959088688</c:v>
                </c:pt>
                <c:pt idx="153">
                  <c:v>16720.625242467762</c:v>
                </c:pt>
                <c:pt idx="154">
                  <c:v>16815.014711618864</c:v>
                </c:pt>
                <c:pt idx="155">
                  <c:v>16909.881931046515</c:v>
                </c:pt>
                <c:pt idx="156">
                  <c:v>17005.230876708472</c:v>
                </c:pt>
                <c:pt idx="157">
                  <c:v>17101.065567813948</c:v>
                </c:pt>
                <c:pt idx="158">
                  <c:v>17197.390066823598</c:v>
                </c:pt>
                <c:pt idx="159">
                  <c:v>17294.208479449517</c:v>
                </c:pt>
                <c:pt idx="160">
                  <c:v>17391.524954655222</c:v>
                </c:pt>
                <c:pt idx="161">
                  <c:v>17489.343684655698</c:v>
                </c:pt>
                <c:pt idx="162">
                  <c:v>17587.668904917358</c:v>
                </c:pt>
                <c:pt idx="163">
                  <c:v>17686.504894158057</c:v>
                </c:pt>
                <c:pt idx="164">
                  <c:v>17785.855974347101</c:v>
                </c:pt>
                <c:pt idx="165">
                  <c:v>17885.726510705219</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0-A701-4BB6-ABB1-4D69C274676C}"/>
            </c:ext>
          </c:extLst>
        </c:ser>
        <c:ser>
          <c:idx val="1"/>
          <c:order val="1"/>
          <c:tx>
            <c:strRef>
              <c:f>'NTC Thermistor Comparison'!$M$29</c:f>
              <c:strCache>
                <c:ptCount val="1"/>
                <c:pt idx="0">
                  <c:v>Typical NTC</c:v>
                </c:pt>
              </c:strCache>
            </c:strRef>
          </c:tx>
          <c:marker>
            <c:symbol val="none"/>
          </c:marker>
          <c:xVal>
            <c:numRef>
              <c:f>'NTC Thermistor Comparison'!$M$36:$M$251</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Comparison'!$O$36:$O$251</c:f>
              <c:numCache>
                <c:formatCode>0</c:formatCode>
                <c:ptCount val="216"/>
                <c:pt idx="0">
                  <c:v>195652</c:v>
                </c:pt>
                <c:pt idx="1">
                  <c:v>184917.1</c:v>
                </c:pt>
                <c:pt idx="2">
                  <c:v>174845.2</c:v>
                </c:pt>
                <c:pt idx="3">
                  <c:v>165391</c:v>
                </c:pt>
                <c:pt idx="4">
                  <c:v>156512.5</c:v>
                </c:pt>
                <c:pt idx="5">
                  <c:v>148171</c:v>
                </c:pt>
                <c:pt idx="6">
                  <c:v>140330.4</c:v>
                </c:pt>
                <c:pt idx="7">
                  <c:v>132957.6</c:v>
                </c:pt>
                <c:pt idx="8">
                  <c:v>126021.5</c:v>
                </c:pt>
                <c:pt idx="9">
                  <c:v>119493.6</c:v>
                </c:pt>
                <c:pt idx="10">
                  <c:v>113347.09999999999</c:v>
                </c:pt>
                <c:pt idx="11">
                  <c:v>107564.9</c:v>
                </c:pt>
                <c:pt idx="12">
                  <c:v>102115.5</c:v>
                </c:pt>
                <c:pt idx="13">
                  <c:v>96977.599999999991</c:v>
                </c:pt>
                <c:pt idx="14">
                  <c:v>92131.5</c:v>
                </c:pt>
                <c:pt idx="15">
                  <c:v>87558.8</c:v>
                </c:pt>
                <c:pt idx="16">
                  <c:v>83242.400000000009</c:v>
                </c:pt>
                <c:pt idx="17">
                  <c:v>79166.3</c:v>
                </c:pt>
                <c:pt idx="18">
                  <c:v>75315.700000000012</c:v>
                </c:pt>
                <c:pt idx="19">
                  <c:v>71676.800000000003</c:v>
                </c:pt>
                <c:pt idx="20">
                  <c:v>68236.7</c:v>
                </c:pt>
                <c:pt idx="21">
                  <c:v>64990.700000000004</c:v>
                </c:pt>
                <c:pt idx="22">
                  <c:v>61919</c:v>
                </c:pt>
                <c:pt idx="23">
                  <c:v>59011.299999999996</c:v>
                </c:pt>
                <c:pt idx="24">
                  <c:v>56257.9</c:v>
                </c:pt>
                <c:pt idx="25">
                  <c:v>53649.599999999999</c:v>
                </c:pt>
                <c:pt idx="26">
                  <c:v>51177.9</c:v>
                </c:pt>
                <c:pt idx="27">
                  <c:v>48834.899999999994</c:v>
                </c:pt>
                <c:pt idx="28">
                  <c:v>46613.2</c:v>
                </c:pt>
                <c:pt idx="29">
                  <c:v>44505.8</c:v>
                </c:pt>
                <c:pt idx="30">
                  <c:v>42506.2</c:v>
                </c:pt>
                <c:pt idx="31">
                  <c:v>40599.699999999997</c:v>
                </c:pt>
                <c:pt idx="32">
                  <c:v>38790.5</c:v>
                </c:pt>
                <c:pt idx="33">
                  <c:v>37072.899999999994</c:v>
                </c:pt>
                <c:pt idx="34">
                  <c:v>35441.699999999997</c:v>
                </c:pt>
                <c:pt idx="35">
                  <c:v>33892.200000000004</c:v>
                </c:pt>
                <c:pt idx="36">
                  <c:v>32419.699999999997</c:v>
                </c:pt>
                <c:pt idx="37">
                  <c:v>31020</c:v>
                </c:pt>
                <c:pt idx="38">
                  <c:v>29689</c:v>
                </c:pt>
                <c:pt idx="39">
                  <c:v>28423.100000000002</c:v>
                </c:pt>
                <c:pt idx="40">
                  <c:v>27218.6</c:v>
                </c:pt>
                <c:pt idx="41">
                  <c:v>26076</c:v>
                </c:pt>
                <c:pt idx="42">
                  <c:v>24987.7</c:v>
                </c:pt>
                <c:pt idx="43">
                  <c:v>23950.9</c:v>
                </c:pt>
                <c:pt idx="44">
                  <c:v>22962.9</c:v>
                </c:pt>
                <c:pt idx="45">
                  <c:v>22021.100000000002</c:v>
                </c:pt>
                <c:pt idx="46">
                  <c:v>21123</c:v>
                </c:pt>
                <c:pt idx="47">
                  <c:v>20266.600000000002</c:v>
                </c:pt>
                <c:pt idx="48">
                  <c:v>19449.5</c:v>
                </c:pt>
                <c:pt idx="49">
                  <c:v>18669.8</c:v>
                </c:pt>
                <c:pt idx="50">
                  <c:v>17925.5</c:v>
                </c:pt>
                <c:pt idx="51">
                  <c:v>17213.899999999998</c:v>
                </c:pt>
                <c:pt idx="52">
                  <c:v>16534.400000000001</c:v>
                </c:pt>
                <c:pt idx="53">
                  <c:v>15885.6</c:v>
                </c:pt>
                <c:pt idx="54">
                  <c:v>15265.800000000001</c:v>
                </c:pt>
                <c:pt idx="55">
                  <c:v>14673.5</c:v>
                </c:pt>
                <c:pt idx="56">
                  <c:v>14107.5</c:v>
                </c:pt>
                <c:pt idx="57">
                  <c:v>13566.4</c:v>
                </c:pt>
                <c:pt idx="58">
                  <c:v>13048.9</c:v>
                </c:pt>
                <c:pt idx="59">
                  <c:v>12554</c:v>
                </c:pt>
                <c:pt idx="60">
                  <c:v>12080.5</c:v>
                </c:pt>
                <c:pt idx="61">
                  <c:v>11628.1</c:v>
                </c:pt>
                <c:pt idx="62">
                  <c:v>11194.699999999999</c:v>
                </c:pt>
                <c:pt idx="63">
                  <c:v>10779.5</c:v>
                </c:pt>
                <c:pt idx="64">
                  <c:v>10381.5</c:v>
                </c:pt>
                <c:pt idx="65">
                  <c:v>10000</c:v>
                </c:pt>
                <c:pt idx="66">
                  <c:v>9634.2000000000007</c:v>
                </c:pt>
                <c:pt idx="67">
                  <c:v>9283.5</c:v>
                </c:pt>
                <c:pt idx="68">
                  <c:v>8947</c:v>
                </c:pt>
                <c:pt idx="69">
                  <c:v>8624.2000000000007</c:v>
                </c:pt>
                <c:pt idx="70">
                  <c:v>8314.5</c:v>
                </c:pt>
                <c:pt idx="71">
                  <c:v>8018.1</c:v>
                </c:pt>
                <c:pt idx="72">
                  <c:v>7733.7</c:v>
                </c:pt>
                <c:pt idx="73">
                  <c:v>7460.9</c:v>
                </c:pt>
                <c:pt idx="74">
                  <c:v>7199.0999999999995</c:v>
                </c:pt>
                <c:pt idx="75">
                  <c:v>6947.9</c:v>
                </c:pt>
                <c:pt idx="76">
                  <c:v>6706.7</c:v>
                </c:pt>
                <c:pt idx="77">
                  <c:v>6475.1</c:v>
                </c:pt>
                <c:pt idx="78">
                  <c:v>6252.6</c:v>
                </c:pt>
                <c:pt idx="79">
                  <c:v>6039</c:v>
                </c:pt>
                <c:pt idx="80">
                  <c:v>5833.5999999999995</c:v>
                </c:pt>
                <c:pt idx="81">
                  <c:v>5635.7</c:v>
                </c:pt>
                <c:pt idx="82">
                  <c:v>5445.4000000000005</c:v>
                </c:pt>
                <c:pt idx="83">
                  <c:v>5262.3</c:v>
                </c:pt>
                <c:pt idx="84">
                  <c:v>5086.2999999999993</c:v>
                </c:pt>
                <c:pt idx="85">
                  <c:v>4916.8999999999996</c:v>
                </c:pt>
                <c:pt idx="86">
                  <c:v>4753.8999999999996</c:v>
                </c:pt>
                <c:pt idx="87">
                  <c:v>4597.1000000000004</c:v>
                </c:pt>
                <c:pt idx="88">
                  <c:v>4446.1000000000004</c:v>
                </c:pt>
                <c:pt idx="89">
                  <c:v>4300.8</c:v>
                </c:pt>
                <c:pt idx="90">
                  <c:v>4160.8999999999996</c:v>
                </c:pt>
                <c:pt idx="91">
                  <c:v>4026.2000000000003</c:v>
                </c:pt>
                <c:pt idx="92">
                  <c:v>3896.3999999999996</c:v>
                </c:pt>
                <c:pt idx="93">
                  <c:v>3771.3999999999996</c:v>
                </c:pt>
                <c:pt idx="94">
                  <c:v>3651</c:v>
                </c:pt>
                <c:pt idx="95">
                  <c:v>3535</c:v>
                </c:pt>
                <c:pt idx="96">
                  <c:v>3423.1</c:v>
                </c:pt>
                <c:pt idx="97">
                  <c:v>3315.2</c:v>
                </c:pt>
                <c:pt idx="98">
                  <c:v>3211.3</c:v>
                </c:pt>
                <c:pt idx="99">
                  <c:v>3111</c:v>
                </c:pt>
                <c:pt idx="100">
                  <c:v>3014.3</c:v>
                </c:pt>
                <c:pt idx="101">
                  <c:v>2922.4</c:v>
                </c:pt>
                <c:pt idx="102">
                  <c:v>2833.7</c:v>
                </c:pt>
                <c:pt idx="103">
                  <c:v>2748.2000000000003</c:v>
                </c:pt>
                <c:pt idx="104">
                  <c:v>2665.7000000000003</c:v>
                </c:pt>
                <c:pt idx="105">
                  <c:v>2586.1</c:v>
                </c:pt>
                <c:pt idx="106">
                  <c:v>2509.3000000000002</c:v>
                </c:pt>
                <c:pt idx="107">
                  <c:v>2435.1</c:v>
                </c:pt>
                <c:pt idx="108">
                  <c:v>2363.5</c:v>
                </c:pt>
                <c:pt idx="109">
                  <c:v>2294.2999999999997</c:v>
                </c:pt>
                <c:pt idx="110">
                  <c:v>2227.5</c:v>
                </c:pt>
                <c:pt idx="111">
                  <c:v>2162.7000000000003</c:v>
                </c:pt>
                <c:pt idx="112">
                  <c:v>2100.1</c:v>
                </c:pt>
                <c:pt idx="113">
                  <c:v>2039.6000000000001</c:v>
                </c:pt>
                <c:pt idx="114">
                  <c:v>1981.1000000000001</c:v>
                </c:pt>
                <c:pt idx="115">
                  <c:v>1924.5</c:v>
                </c:pt>
                <c:pt idx="116">
                  <c:v>1869.8</c:v>
                </c:pt>
                <c:pt idx="117">
                  <c:v>1817</c:v>
                </c:pt>
                <c:pt idx="118">
                  <c:v>1765.8</c:v>
                </c:pt>
                <c:pt idx="119">
                  <c:v>1716.3999999999999</c:v>
                </c:pt>
                <c:pt idx="120">
                  <c:v>1668.5</c:v>
                </c:pt>
                <c:pt idx="121">
                  <c:v>1622.4</c:v>
                </c:pt>
                <c:pt idx="122">
                  <c:v>1577.7</c:v>
                </c:pt>
                <c:pt idx="123">
                  <c:v>1534.5</c:v>
                </c:pt>
                <c:pt idx="124">
                  <c:v>1492.6999999999998</c:v>
                </c:pt>
                <c:pt idx="125">
                  <c:v>1452.1</c:v>
                </c:pt>
                <c:pt idx="126">
                  <c:v>1412.9</c:v>
                </c:pt>
                <c:pt idx="127">
                  <c:v>1374.9</c:v>
                </c:pt>
                <c:pt idx="128">
                  <c:v>1338.1000000000001</c:v>
                </c:pt>
                <c:pt idx="129">
                  <c:v>1302.5</c:v>
                </c:pt>
                <c:pt idx="130">
                  <c:v>1268</c:v>
                </c:pt>
                <c:pt idx="131">
                  <c:v>1234.3</c:v>
                </c:pt>
                <c:pt idx="132">
                  <c:v>1201.5999999999999</c:v>
                </c:pt>
                <c:pt idx="133">
                  <c:v>1170</c:v>
                </c:pt>
                <c:pt idx="134">
                  <c:v>1139.3</c:v>
                </c:pt>
                <c:pt idx="135">
                  <c:v>1109.5999999999999</c:v>
                </c:pt>
                <c:pt idx="136">
                  <c:v>1080.7</c:v>
                </c:pt>
                <c:pt idx="137">
                  <c:v>1052.8</c:v>
                </c:pt>
                <c:pt idx="138">
                  <c:v>1025.6000000000001</c:v>
                </c:pt>
                <c:pt idx="139">
                  <c:v>999.3</c:v>
                </c:pt>
                <c:pt idx="140">
                  <c:v>973.8</c:v>
                </c:pt>
                <c:pt idx="141">
                  <c:v>949.2</c:v>
                </c:pt>
                <c:pt idx="142">
                  <c:v>925.4</c:v>
                </c:pt>
                <c:pt idx="143">
                  <c:v>902.2</c:v>
                </c:pt>
                <c:pt idx="144">
                  <c:v>879.80000000000007</c:v>
                </c:pt>
                <c:pt idx="145">
                  <c:v>858</c:v>
                </c:pt>
                <c:pt idx="146">
                  <c:v>836.8</c:v>
                </c:pt>
                <c:pt idx="147">
                  <c:v>816.2</c:v>
                </c:pt>
                <c:pt idx="148">
                  <c:v>796.3</c:v>
                </c:pt>
                <c:pt idx="149">
                  <c:v>776.90000000000009</c:v>
                </c:pt>
                <c:pt idx="150">
                  <c:v>758</c:v>
                </c:pt>
                <c:pt idx="151">
                  <c:v>739.7</c:v>
                </c:pt>
                <c:pt idx="152">
                  <c:v>721.9</c:v>
                </c:pt>
                <c:pt idx="153">
                  <c:v>704.6</c:v>
                </c:pt>
                <c:pt idx="154">
                  <c:v>687.8</c:v>
                </c:pt>
                <c:pt idx="155">
                  <c:v>671.5</c:v>
                </c:pt>
                <c:pt idx="156">
                  <c:v>655.59999999999991</c:v>
                </c:pt>
                <c:pt idx="157">
                  <c:v>640.20000000000005</c:v>
                </c:pt>
                <c:pt idx="158">
                  <c:v>625.19999999999993</c:v>
                </c:pt>
                <c:pt idx="159">
                  <c:v>610.6</c:v>
                </c:pt>
                <c:pt idx="160">
                  <c:v>596.40000000000009</c:v>
                </c:pt>
                <c:pt idx="161">
                  <c:v>582.6</c:v>
                </c:pt>
                <c:pt idx="162">
                  <c:v>569.20000000000005</c:v>
                </c:pt>
                <c:pt idx="163">
                  <c:v>556.20000000000005</c:v>
                </c:pt>
                <c:pt idx="164">
                  <c:v>543.5</c:v>
                </c:pt>
                <c:pt idx="165">
                  <c:v>531.1</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1-A701-4BB6-ABB1-4D69C274676C}"/>
            </c:ext>
          </c:extLst>
        </c:ser>
        <c:dLbls>
          <c:showLegendKey val="0"/>
          <c:showVal val="0"/>
          <c:showCatName val="0"/>
          <c:showSerName val="0"/>
          <c:showPercent val="0"/>
          <c:showBubbleSize val="0"/>
        </c:dLbls>
        <c:axId val="234477056"/>
        <c:axId val="456397952"/>
      </c:scatterChart>
      <c:valAx>
        <c:axId val="234477056"/>
        <c:scaling>
          <c:orientation val="minMax"/>
          <c:max val="175"/>
          <c:min val="-50"/>
        </c:scaling>
        <c:delete val="0"/>
        <c:axPos val="b"/>
        <c:title>
          <c:tx>
            <c:rich>
              <a:bodyPr/>
              <a:lstStyle/>
              <a:p>
                <a:pPr>
                  <a:defRPr sz="1050"/>
                </a:pPr>
                <a:r>
                  <a:rPr lang="en-US" sz="1050"/>
                  <a:t>Temperature in C</a:t>
                </a:r>
              </a:p>
            </c:rich>
          </c:tx>
          <c:overlay val="0"/>
        </c:title>
        <c:numFmt formatCode="General" sourceLinked="1"/>
        <c:majorTickMark val="none"/>
        <c:minorTickMark val="none"/>
        <c:tickLblPos val="low"/>
        <c:crossAx val="456397952"/>
        <c:crosses val="autoZero"/>
        <c:crossBetween val="midCat"/>
      </c:valAx>
      <c:valAx>
        <c:axId val="456397952"/>
        <c:scaling>
          <c:orientation val="minMax"/>
          <c:max val="300000"/>
        </c:scaling>
        <c:delete val="0"/>
        <c:axPos val="l"/>
        <c:majorGridlines/>
        <c:title>
          <c:tx>
            <c:rich>
              <a:bodyPr/>
              <a:lstStyle/>
              <a:p>
                <a:pPr>
                  <a:defRPr sz="1050"/>
                </a:pPr>
                <a:r>
                  <a:rPr lang="en-US" sz="1050"/>
                  <a:t>Resistance in </a:t>
                </a:r>
                <a:r>
                  <a:rPr lang="el-GR" sz="1050"/>
                  <a:t>(Ω)</a:t>
                </a:r>
                <a:endParaRPr lang="en-US" sz="1050"/>
              </a:p>
            </c:rich>
          </c:tx>
          <c:overlay val="0"/>
        </c:title>
        <c:numFmt formatCode="0" sourceLinked="1"/>
        <c:majorTickMark val="none"/>
        <c:minorTickMark val="none"/>
        <c:tickLblPos val="low"/>
        <c:crossAx val="23447705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IBias</a:t>
            </a:r>
            <a:r>
              <a:rPr lang="en-US" sz="1400" baseline="0"/>
              <a:t> vs thermistor</a:t>
            </a:r>
            <a:r>
              <a:rPr lang="en-US" sz="1400"/>
              <a:t> Vsense Vdc Compare</a:t>
            </a:r>
          </a:p>
        </c:rich>
      </c:tx>
      <c:overlay val="0"/>
    </c:title>
    <c:autoTitleDeleted val="0"/>
    <c:plotArea>
      <c:layout/>
      <c:scatterChart>
        <c:scatterStyle val="lineMarker"/>
        <c:varyColors val="0"/>
        <c:ser>
          <c:idx val="0"/>
          <c:order val="0"/>
          <c:tx>
            <c:strRef>
              <c:f>'NTC Thermistor Comparison'!$B$29</c:f>
              <c:strCache>
                <c:ptCount val="1"/>
                <c:pt idx="0">
                  <c:v>TMP6131DECR</c:v>
                </c:pt>
              </c:strCache>
            </c:strRef>
          </c:tx>
          <c:marker>
            <c:symbol val="none"/>
          </c:marker>
          <c:xVal>
            <c:numRef>
              <c:f>'NTC Thermistor Comparison'!$B$36:$B$251</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Comparison'!$F$36:$F$251</c:f>
              <c:numCache>
                <c:formatCode>0.0000</c:formatCode>
                <c:ptCount val="216"/>
                <c:pt idx="0">
                  <c:v>0.91196563570694589</c:v>
                </c:pt>
                <c:pt idx="1">
                  <c:v>0.91781874615183934</c:v>
                </c:pt>
                <c:pt idx="2">
                  <c:v>0.92372491295226733</c:v>
                </c:pt>
                <c:pt idx="3">
                  <c:v>0.929683766296444</c:v>
                </c:pt>
                <c:pt idx="4">
                  <c:v>0.93569494242778639</c:v>
                </c:pt>
                <c:pt idx="5">
                  <c:v>0.94175808364491265</c:v>
                </c:pt>
                <c:pt idx="6">
                  <c:v>0.9478728383016426</c:v>
                </c:pt>
                <c:pt idx="7">
                  <c:v>0.95403886080699851</c:v>
                </c:pt>
                <c:pt idx="8">
                  <c:v>0.96025581162520379</c:v>
                </c:pt>
                <c:pt idx="9">
                  <c:v>0.96652335727568439</c:v>
                </c:pt>
                <c:pt idx="10">
                  <c:v>0.97284117033306672</c:v>
                </c:pt>
                <c:pt idx="11">
                  <c:v>0.97920892942718063</c:v>
                </c:pt>
                <c:pt idx="12">
                  <c:v>0.98562631924305644</c:v>
                </c:pt>
                <c:pt idx="13">
                  <c:v>0.99209303052092668</c:v>
                </c:pt>
                <c:pt idx="14">
                  <c:v>0.99860876005622601</c:v>
                </c:pt>
                <c:pt idx="15">
                  <c:v>1.0051732106995905</c:v>
                </c:pt>
                <c:pt idx="16">
                  <c:v>1.0117860913568579</c:v>
                </c:pt>
                <c:pt idx="17">
                  <c:v>1.0184471169890681</c:v>
                </c:pt>
                <c:pt idx="18">
                  <c:v>1.0251560086124627</c:v>
                </c:pt>
                <c:pt idx="19">
                  <c:v>1.0319124932984844</c:v>
                </c:pt>
                <c:pt idx="20">
                  <c:v>1.038716304173779</c:v>
                </c:pt>
                <c:pt idx="21">
                  <c:v>1.0455671804201929</c:v>
                </c:pt>
                <c:pt idx="22">
                  <c:v>1.0524648672747747</c:v>
                </c:pt>
                <c:pt idx="23">
                  <c:v>1.0594091160297752</c:v>
                </c:pt>
                <c:pt idx="24">
                  <c:v>1.0663996840326464</c:v>
                </c:pt>
                <c:pt idx="25">
                  <c:v>1.073436334686042</c:v>
                </c:pt>
                <c:pt idx="26">
                  <c:v>1.0805188374478176</c:v>
                </c:pt>
                <c:pt idx="27">
                  <c:v>1.0876469678310317</c:v>
                </c:pt>
                <c:pt idx="28">
                  <c:v>1.0948205074039428</c:v>
                </c:pt>
                <c:pt idx="29">
                  <c:v>1.1020392437900119</c:v>
                </c:pt>
                <c:pt idx="30">
                  <c:v>1.1093029706679025</c:v>
                </c:pt>
                <c:pt idx="31">
                  <c:v>1.1166114877714788</c:v>
                </c:pt>
                <c:pt idx="32">
                  <c:v>1.1239646008898074</c:v>
                </c:pt>
                <c:pt idx="33">
                  <c:v>1.1313621218671566</c:v>
                </c:pt>
                <c:pt idx="34">
                  <c:v>1.1388038686029962</c:v>
                </c:pt>
                <c:pt idx="35">
                  <c:v>1.146289665051998</c:v>
                </c:pt>
                <c:pt idx="36">
                  <c:v>1.1538193412240356</c:v>
                </c:pt>
                <c:pt idx="37">
                  <c:v>1.1613927331841849</c:v>
                </c:pt>
                <c:pt idx="38">
                  <c:v>1.1690096830527223</c:v>
                </c:pt>
                <c:pt idx="39">
                  <c:v>1.1766700390051272</c:v>
                </c:pt>
                <c:pt idx="40">
                  <c:v>1.1843736552720798</c:v>
                </c:pt>
                <c:pt idx="41">
                  <c:v>1.192120392139463</c:v>
                </c:pt>
                <c:pt idx="42">
                  <c:v>1.1999101159483609</c:v>
                </c:pt>
                <c:pt idx="43">
                  <c:v>1.2077426990950599</c:v>
                </c:pt>
                <c:pt idx="44">
                  <c:v>1.2156180200310471</c:v>
                </c:pt>
                <c:pt idx="45">
                  <c:v>1.2235359632630127</c:v>
                </c:pt>
                <c:pt idx="46">
                  <c:v>1.2314964193528479</c:v>
                </c:pt>
                <c:pt idx="47">
                  <c:v>1.2394992849176463</c:v>
                </c:pt>
                <c:pt idx="48">
                  <c:v>1.2475444626297021</c:v>
                </c:pt>
                <c:pt idx="49">
                  <c:v>1.2556318612165125</c:v>
                </c:pt>
                <c:pt idx="50">
                  <c:v>1.263761395460776</c:v>
                </c:pt>
                <c:pt idx="51">
                  <c:v>1.2719329862003927</c:v>
                </c:pt>
                <c:pt idx="52">
                  <c:v>1.2801465603284654</c:v>
                </c:pt>
                <c:pt idx="53">
                  <c:v>1.2884020507932967</c:v>
                </c:pt>
                <c:pt idx="54">
                  <c:v>1.2966993965983933</c:v>
                </c:pt>
                <c:pt idx="55">
                  <c:v>1.3050385428024622</c:v>
                </c:pt>
                <c:pt idx="56">
                  <c:v>1.3134194405194128</c:v>
                </c:pt>
                <c:pt idx="57">
                  <c:v>1.3218420469183563</c:v>
                </c:pt>
                <c:pt idx="58">
                  <c:v>1.3303063252236047</c:v>
                </c:pt>
                <c:pt idx="59">
                  <c:v>1.3388122447146731</c:v>
                </c:pt>
                <c:pt idx="60">
                  <c:v>1.347359780726278</c:v>
                </c:pt>
                <c:pt idx="61">
                  <c:v>1.3559489146483379</c:v>
                </c:pt>
                <c:pt idx="62">
                  <c:v>1.3645796339259713</c:v>
                </c:pt>
                <c:pt idx="63">
                  <c:v>1.3732519320595011</c:v>
                </c:pt>
                <c:pt idx="64">
                  <c:v>1.3819658086044502</c:v>
                </c:pt>
                <c:pt idx="65">
                  <c:v>1.3907212691715443</c:v>
                </c:pt>
                <c:pt idx="66">
                  <c:v>1.3995183254267103</c:v>
                </c:pt>
                <c:pt idx="67">
                  <c:v>1.408356995091077</c:v>
                </c:pt>
                <c:pt idx="68">
                  <c:v>1.4172373019409747</c:v>
                </c:pt>
                <c:pt idx="69">
                  <c:v>1.4261592758079362</c:v>
                </c:pt>
                <c:pt idx="70">
                  <c:v>1.4351229525786955</c:v>
                </c:pt>
                <c:pt idx="71">
                  <c:v>1.4441283741951889</c:v>
                </c:pt>
                <c:pt idx="72">
                  <c:v>1.4531755886545532</c:v>
                </c:pt>
                <c:pt idx="73">
                  <c:v>1.4622646500091288</c:v>
                </c:pt>
                <c:pt idx="74">
                  <c:v>1.4713956183664567</c:v>
                </c:pt>
                <c:pt idx="75">
                  <c:v>1.4805685598892802</c:v>
                </c:pt>
                <c:pt idx="76">
                  <c:v>1.4897835467955438</c:v>
                </c:pt>
                <c:pt idx="77">
                  <c:v>1.4990406573583945</c:v>
                </c:pt>
                <c:pt idx="78">
                  <c:v>1.5083399759061802</c:v>
                </c:pt>
                <c:pt idx="79">
                  <c:v>1.5176815928224514</c:v>
                </c:pt>
                <c:pt idx="80">
                  <c:v>1.5270656045459603</c:v>
                </c:pt>
                <c:pt idx="81">
                  <c:v>1.5364921135706606</c:v>
                </c:pt>
                <c:pt idx="82">
                  <c:v>1.5459612284457076</c:v>
                </c:pt>
                <c:pt idx="83">
                  <c:v>1.5554730637754588</c:v>
                </c:pt>
                <c:pt idx="84">
                  <c:v>1.5650277402194732</c:v>
                </c:pt>
                <c:pt idx="85">
                  <c:v>1.574625384492512</c:v>
                </c:pt>
                <c:pt idx="86">
                  <c:v>1.5842661293645377</c:v>
                </c:pt>
                <c:pt idx="87">
                  <c:v>1.5939501136607148</c:v>
                </c:pt>
                <c:pt idx="88">
                  <c:v>1.6036774822614095</c:v>
                </c:pt>
                <c:pt idx="89">
                  <c:v>1.6134483861021902</c:v>
                </c:pt>
                <c:pt idx="90">
                  <c:v>1.623262982173826</c:v>
                </c:pt>
                <c:pt idx="91">
                  <c:v>1.633121433522289</c:v>
                </c:pt>
                <c:pt idx="92">
                  <c:v>1.6430239092487524</c:v>
                </c:pt>
                <c:pt idx="93">
                  <c:v>1.652970584509591</c:v>
                </c:pt>
                <c:pt idx="94">
                  <c:v>1.6629616405163827</c:v>
                </c:pt>
                <c:pt idx="95">
                  <c:v>1.6729972645359052</c:v>
                </c:pt>
                <c:pt idx="96">
                  <c:v>1.6830776498901401</c:v>
                </c:pt>
                <c:pt idx="97">
                  <c:v>1.6932029959562684</c:v>
                </c:pt>
                <c:pt idx="98">
                  <c:v>1.7033735081666754</c:v>
                </c:pt>
                <c:pt idx="99">
                  <c:v>1.7135893980089465</c:v>
                </c:pt>
                <c:pt idx="100">
                  <c:v>1.7238508830258688</c:v>
                </c:pt>
                <c:pt idx="101">
                  <c:v>1.7341581868154323</c:v>
                </c:pt>
                <c:pt idx="102">
                  <c:v>1.7445115390308281</c:v>
                </c:pt>
                <c:pt idx="103">
                  <c:v>1.7549111753804492</c:v>
                </c:pt>
                <c:pt idx="104">
                  <c:v>1.7653573376278899</c:v>
                </c:pt>
                <c:pt idx="105">
                  <c:v>1.7758502735919479</c:v>
                </c:pt>
                <c:pt idx="106">
                  <c:v>1.7863902371466203</c:v>
                </c:pt>
                <c:pt idx="107">
                  <c:v>1.7969774882211078</c:v>
                </c:pt>
                <c:pt idx="108">
                  <c:v>1.8076122927998119</c:v>
                </c:pt>
                <c:pt idx="109">
                  <c:v>1.8182949229223371</c:v>
                </c:pt>
                <c:pt idx="110">
                  <c:v>1.8290256566834879</c:v>
                </c:pt>
                <c:pt idx="111">
                  <c:v>1.8398047782332718</c:v>
                </c:pt>
                <c:pt idx="112">
                  <c:v>1.8506325777768986</c:v>
                </c:pt>
                <c:pt idx="113">
                  <c:v>1.861509351574778</c:v>
                </c:pt>
                <c:pt idx="114">
                  <c:v>1.8724354019425227</c:v>
                </c:pt>
                <c:pt idx="115">
                  <c:v>1.8834110372509487</c:v>
                </c:pt>
                <c:pt idx="116">
                  <c:v>1.8944365719260698</c:v>
                </c:pt>
                <c:pt idx="117">
                  <c:v>1.9055123264491056</c:v>
                </c:pt>
                <c:pt idx="118">
                  <c:v>1.9166386273564755</c:v>
                </c:pt>
                <c:pt idx="119">
                  <c:v>1.9278158072398</c:v>
                </c:pt>
                <c:pt idx="120">
                  <c:v>1.9390442047459036</c:v>
                </c:pt>
                <c:pt idx="121">
                  <c:v>1.9503241645768106</c:v>
                </c:pt>
                <c:pt idx="122">
                  <c:v>1.9616560374897485</c:v>
                </c:pt>
                <c:pt idx="123">
                  <c:v>1.9730401802971451</c:v>
                </c:pt>
                <c:pt idx="124">
                  <c:v>1.9844769558666313</c:v>
                </c:pt>
                <c:pt idx="125">
                  <c:v>1.9959667331210398</c:v>
                </c:pt>
                <c:pt idx="126">
                  <c:v>2.0075098870384038</c:v>
                </c:pt>
                <c:pt idx="127">
                  <c:v>2.0191067986519595</c:v>
                </c:pt>
                <c:pt idx="128">
                  <c:v>2.0307578550501439</c:v>
                </c:pt>
                <c:pt idx="129">
                  <c:v>2.0424634493765965</c:v>
                </c:pt>
                <c:pt idx="130">
                  <c:v>2.0542239808301588</c:v>
                </c:pt>
                <c:pt idx="131">
                  <c:v>2.0660398546648735</c:v>
                </c:pt>
                <c:pt idx="132">
                  <c:v>2.0779114821899856</c:v>
                </c:pt>
                <c:pt idx="133">
                  <c:v>2.0898392807699406</c:v>
                </c:pt>
                <c:pt idx="134">
                  <c:v>2.1018236738243878</c:v>
                </c:pt>
                <c:pt idx="135">
                  <c:v>2.1138650908281762</c:v>
                </c:pt>
                <c:pt idx="136">
                  <c:v>2.1259639673113577</c:v>
                </c:pt>
                <c:pt idx="137">
                  <c:v>2.1381207448591875</c:v>
                </c:pt>
                <c:pt idx="138">
                  <c:v>2.150335871112119</c:v>
                </c:pt>
                <c:pt idx="139">
                  <c:v>2.1626097997658102</c:v>
                </c:pt>
                <c:pt idx="140">
                  <c:v>2.1749429905711195</c:v>
                </c:pt>
                <c:pt idx="141">
                  <c:v>2.1873359093341089</c:v>
                </c:pt>
                <c:pt idx="142">
                  <c:v>2.1997890279160393</c:v>
                </c:pt>
                <c:pt idx="143">
                  <c:v>2.2123028242333764</c:v>
                </c:pt>
                <c:pt idx="144">
                  <c:v>2.224877782257785</c:v>
                </c:pt>
                <c:pt idx="145">
                  <c:v>2.2375143920161338</c:v>
                </c:pt>
                <c:pt idx="146">
                  <c:v>2.2502131495904916</c:v>
                </c:pt>
                <c:pt idx="147">
                  <c:v>2.2629745571181306</c:v>
                </c:pt>
                <c:pt idx="148">
                  <c:v>2.2757991227915237</c:v>
                </c:pt>
                <c:pt idx="149">
                  <c:v>2.2886873608583462</c:v>
                </c:pt>
                <c:pt idx="150">
                  <c:v>2.3016397916214739</c:v>
                </c:pt>
                <c:pt idx="151">
                  <c:v>2.3146569414389861</c:v>
                </c:pt>
                <c:pt idx="152">
                  <c:v>2.3277393427241631</c:v>
                </c:pt>
                <c:pt idx="153">
                  <c:v>2.3408875339454864</c:v>
                </c:pt>
                <c:pt idx="154">
                  <c:v>2.3541020596266407</c:v>
                </c:pt>
                <c:pt idx="155">
                  <c:v>2.3673834703465118</c:v>
                </c:pt>
                <c:pt idx="156">
                  <c:v>2.3807323227391861</c:v>
                </c:pt>
                <c:pt idx="157">
                  <c:v>2.3941491794939527</c:v>
                </c:pt>
                <c:pt idx="158">
                  <c:v>2.4076346093553034</c:v>
                </c:pt>
                <c:pt idx="159">
                  <c:v>2.4211891871229323</c:v>
                </c:pt>
                <c:pt idx="160">
                  <c:v>2.4348134936517307</c:v>
                </c:pt>
                <c:pt idx="161">
                  <c:v>2.4485081158517974</c:v>
                </c:pt>
                <c:pt idx="162">
                  <c:v>2.4622736466884301</c:v>
                </c:pt>
                <c:pt idx="163">
                  <c:v>2.4761106851821277</c:v>
                </c:pt>
                <c:pt idx="164">
                  <c:v>2.4900198364085941</c:v>
                </c:pt>
                <c:pt idx="165">
                  <c:v>2.5040017114987303</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0-BA61-4951-BAEA-DB831890A665}"/>
            </c:ext>
          </c:extLst>
        </c:ser>
        <c:ser>
          <c:idx val="1"/>
          <c:order val="1"/>
          <c:tx>
            <c:v>NTC/Vdiv</c:v>
          </c:tx>
          <c:marker>
            <c:symbol val="none"/>
          </c:marker>
          <c:xVal>
            <c:numRef>
              <c:f>'NTC Thermistor Comparison'!$M$36:$M$251</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Comparison'!$Q$36:$Q$251</c:f>
              <c:numCache>
                <c:formatCode>0.0000</c:formatCode>
                <c:ptCount val="216"/>
                <c:pt idx="0">
                  <c:v>2.8541224982008444</c:v>
                </c:pt>
                <c:pt idx="1">
                  <c:v>2.8460884139975402</c:v>
                </c:pt>
                <c:pt idx="2">
                  <c:v>2.8377020339181107</c:v>
                </c:pt>
                <c:pt idx="3">
                  <c:v>2.8289535951103533</c:v>
                </c:pt>
                <c:pt idx="4">
                  <c:v>2.8198333458449065</c:v>
                </c:pt>
                <c:pt idx="5">
                  <c:v>2.8103318560292343</c:v>
                </c:pt>
                <c:pt idx="6">
                  <c:v>2.8004395651179004</c:v>
                </c:pt>
                <c:pt idx="7">
                  <c:v>2.7901475682300205</c:v>
                </c:pt>
                <c:pt idx="8">
                  <c:v>2.7794466315986814</c:v>
                </c:pt>
                <c:pt idx="9">
                  <c:v>2.7683283189285031</c:v>
                </c:pt>
                <c:pt idx="10">
                  <c:v>2.7567839049316927</c:v>
                </c:pt>
                <c:pt idx="11">
                  <c:v>2.744821796301447</c:v>
                </c:pt>
                <c:pt idx="12">
                  <c:v>2.7324188002550942</c:v>
                </c:pt>
                <c:pt idx="13">
                  <c:v>2.7195674608516174</c:v>
                </c:pt>
                <c:pt idx="14">
                  <c:v>2.7062610458085898</c:v>
                </c:pt>
                <c:pt idx="15">
                  <c:v>2.6924931425970797</c:v>
                </c:pt>
                <c:pt idx="16">
                  <c:v>2.6782579598980725</c:v>
                </c:pt>
                <c:pt idx="17">
                  <c:v>2.6635500183365237</c:v>
                </c:pt>
                <c:pt idx="18">
                  <c:v>2.6483648378903295</c:v>
                </c:pt>
                <c:pt idx="19">
                  <c:v>2.6326986365773388</c:v>
                </c:pt>
                <c:pt idx="20">
                  <c:v>2.6165482439826833</c:v>
                </c:pt>
                <c:pt idx="21">
                  <c:v>2.5999503938488369</c:v>
                </c:pt>
                <c:pt idx="22">
                  <c:v>2.5828640553956537</c:v>
                </c:pt>
                <c:pt idx="23">
                  <c:v>2.5652885831740604</c:v>
                </c:pt>
                <c:pt idx="24">
                  <c:v>2.547223802746541</c:v>
                </c:pt>
                <c:pt idx="25">
                  <c:v>2.5286694653226411</c:v>
                </c:pt>
                <c:pt idx="26">
                  <c:v>2.5096268423728176</c:v>
                </c:pt>
                <c:pt idx="27">
                  <c:v>2.4900985639475888</c:v>
                </c:pt>
                <c:pt idx="28">
                  <c:v>2.470088247970438</c:v>
                </c:pt>
                <c:pt idx="29">
                  <c:v>2.4495998590975638</c:v>
                </c:pt>
                <c:pt idx="30">
                  <c:v>2.4286389035961466</c:v>
                </c:pt>
                <c:pt idx="31">
                  <c:v>2.4071111093544033</c:v>
                </c:pt>
                <c:pt idx="32">
                  <c:v>2.3851262028468656</c:v>
                </c:pt>
                <c:pt idx="33">
                  <c:v>2.3626906351637564</c:v>
                </c:pt>
                <c:pt idx="34">
                  <c:v>2.3398134312756786</c:v>
                </c:pt>
                <c:pt idx="35">
                  <c:v>2.3165072609711976</c:v>
                </c:pt>
                <c:pt idx="36">
                  <c:v>2.2927814199534651</c:v>
                </c:pt>
                <c:pt idx="37">
                  <c:v>2.2686494392979037</c:v>
                </c:pt>
                <c:pt idx="38">
                  <c:v>2.2441230567663584</c:v>
                </c:pt>
                <c:pt idx="39">
                  <c:v>2.2192196881563433</c:v>
                </c:pt>
                <c:pt idx="40">
                  <c:v>2.1939514113910787</c:v>
                </c:pt>
                <c:pt idx="41">
                  <c:v>2.1684222197582881</c:v>
                </c:pt>
                <c:pt idx="42">
                  <c:v>2.1425558124712398</c:v>
                </c:pt>
                <c:pt idx="43">
                  <c:v>2.1163709945833542</c:v>
                </c:pt>
                <c:pt idx="44">
                  <c:v>2.0898859020292511</c:v>
                </c:pt>
                <c:pt idx="45">
                  <c:v>2.0631177567291568</c:v>
                </c:pt>
                <c:pt idx="46">
                  <c:v>2.0360826398483436</c:v>
                </c:pt>
                <c:pt idx="47">
                  <c:v>2.0088083894457918</c:v>
                </c:pt>
                <c:pt idx="48">
                  <c:v>1.9813069831406307</c:v>
                </c:pt>
                <c:pt idx="49">
                  <c:v>1.9536027457463951</c:v>
                </c:pt>
                <c:pt idx="50">
                  <c:v>1.9257130579577804</c:v>
                </c:pt>
                <c:pt idx="51">
                  <c:v>1.8976221710228964</c:v>
                </c:pt>
                <c:pt idx="52">
                  <c:v>1.8693921852387845</c:v>
                </c:pt>
                <c:pt idx="53">
                  <c:v>1.8410544858917699</c:v>
                </c:pt>
                <c:pt idx="54">
                  <c:v>1.8126241797212042</c:v>
                </c:pt>
                <c:pt idx="55">
                  <c:v>1.7841206152349687</c:v>
                </c:pt>
                <c:pt idx="56">
                  <c:v>1.7555739914964223</c:v>
                </c:pt>
                <c:pt idx="57">
                  <c:v>1.7270011541856203</c:v>
                </c:pt>
                <c:pt idx="58">
                  <c:v>1.6984194473488972</c:v>
                </c:pt>
                <c:pt idx="59">
                  <c:v>1.6698590050545359</c:v>
                </c:pt>
                <c:pt idx="60">
                  <c:v>1.6413351146939605</c:v>
                </c:pt>
                <c:pt idx="61">
                  <c:v>1.6129156051618037</c:v>
                </c:pt>
                <c:pt idx="62">
                  <c:v>1.5845517983269402</c:v>
                </c:pt>
                <c:pt idx="63">
                  <c:v>1.5562694001299358</c:v>
                </c:pt>
                <c:pt idx="64">
                  <c:v>1.5280769325123273</c:v>
                </c:pt>
                <c:pt idx="65">
                  <c:v>1.4999999999999998</c:v>
                </c:pt>
                <c:pt idx="66">
                  <c:v>1.4720538651944057</c:v>
                </c:pt>
                <c:pt idx="67">
                  <c:v>1.4442658231130241</c:v>
                </c:pt>
                <c:pt idx="68">
                  <c:v>1.416635879030981</c:v>
                </c:pt>
                <c:pt idx="69">
                  <c:v>1.3891925559218652</c:v>
                </c:pt>
                <c:pt idx="70">
                  <c:v>1.361953643288105</c:v>
                </c:pt>
                <c:pt idx="71">
                  <c:v>1.3350075757155306</c:v>
                </c:pt>
                <c:pt idx="72">
                  <c:v>1.3083056553341941</c:v>
                </c:pt>
                <c:pt idx="73">
                  <c:v>1.2818755046990704</c:v>
                </c:pt>
                <c:pt idx="74">
                  <c:v>1.2557226831636541</c:v>
                </c:pt>
                <c:pt idx="75">
                  <c:v>1.2298691873329437</c:v>
                </c:pt>
                <c:pt idx="76">
                  <c:v>1.2043132395984844</c:v>
                </c:pt>
                <c:pt idx="77">
                  <c:v>1.1790702332611034</c:v>
                </c:pt>
                <c:pt idx="78">
                  <c:v>1.1541414912075607</c:v>
                </c:pt>
                <c:pt idx="79">
                  <c:v>1.1295591994513372</c:v>
                </c:pt>
                <c:pt idx="80">
                  <c:v>1.1052950687146321</c:v>
                </c:pt>
                <c:pt idx="81">
                  <c:v>1.0813139162301655</c:v>
                </c:pt>
                <c:pt idx="82">
                  <c:v>1.0576741295142891</c:v>
                </c:pt>
                <c:pt idx="83">
                  <c:v>1.0343722767865919</c:v>
                </c:pt>
                <c:pt idx="84">
                  <c:v>1.0114408436793645</c:v>
                </c:pt>
                <c:pt idx="85">
                  <c:v>0.98885827484262812</c:v>
                </c:pt>
                <c:pt idx="86">
                  <c:v>0.96663932926209339</c:v>
                </c:pt>
                <c:pt idx="87">
                  <c:v>0.94479725424913175</c:v>
                </c:pt>
                <c:pt idx="88">
                  <c:v>0.92331494313344087</c:v>
                </c:pt>
                <c:pt idx="89">
                  <c:v>0.90221526068471702</c:v>
                </c:pt>
                <c:pt idx="90">
                  <c:v>0.88149058322564233</c:v>
                </c:pt>
                <c:pt idx="91">
                  <c:v>0.86114557043247641</c:v>
                </c:pt>
                <c:pt idx="92">
                  <c:v>0.84116749661782908</c:v>
                </c:pt>
                <c:pt idx="93">
                  <c:v>0.82157224392581729</c:v>
                </c:pt>
                <c:pt idx="94">
                  <c:v>0.80235880155299977</c:v>
                </c:pt>
                <c:pt idx="95">
                  <c:v>0.78352419652752126</c:v>
                </c:pt>
                <c:pt idx="96">
                  <c:v>0.7650468222690735</c:v>
                </c:pt>
                <c:pt idx="97">
                  <c:v>0.74693583273251618</c:v>
                </c:pt>
                <c:pt idx="98">
                  <c:v>0.72921665543890468</c:v>
                </c:pt>
                <c:pt idx="99">
                  <c:v>0.71184501563572578</c:v>
                </c:pt>
                <c:pt idx="100">
                  <c:v>0.6948433646066251</c:v>
                </c:pt>
                <c:pt idx="101">
                  <c:v>0.67844982356218664</c:v>
                </c:pt>
                <c:pt idx="102">
                  <c:v>0.66240445078192567</c:v>
                </c:pt>
                <c:pt idx="103">
                  <c:v>0.64672659669600419</c:v>
                </c:pt>
                <c:pt idx="104">
                  <c:v>0.63139818565101025</c:v>
                </c:pt>
                <c:pt idx="105">
                  <c:v>0.61641811204423924</c:v>
                </c:pt>
                <c:pt idx="106">
                  <c:v>0.60178427250125921</c:v>
                </c:pt>
                <c:pt idx="107">
                  <c:v>0.58747416586919288</c:v>
                </c:pt>
                <c:pt idx="108">
                  <c:v>0.57350264892627489</c:v>
                </c:pt>
                <c:pt idx="109">
                  <c:v>0.5598448061296698</c:v>
                </c:pt>
                <c:pt idx="110">
                  <c:v>0.54651400531588634</c:v>
                </c:pt>
                <c:pt idx="111">
                  <c:v>0.53344240999120263</c:v>
                </c:pt>
                <c:pt idx="112">
                  <c:v>0.52068164725911348</c:v>
                </c:pt>
                <c:pt idx="113">
                  <c:v>0.50822286454699495</c:v>
                </c:pt>
                <c:pt idx="114">
                  <c:v>0.49605628865463103</c:v>
                </c:pt>
                <c:pt idx="115">
                  <c:v>0.48417124407731976</c:v>
                </c:pt>
                <c:pt idx="116">
                  <c:v>0.47257746550068236</c:v>
                </c:pt>
                <c:pt idx="117">
                  <c:v>0.4612845899974613</c:v>
                </c:pt>
                <c:pt idx="118">
                  <c:v>0.45023712794710091</c:v>
                </c:pt>
                <c:pt idx="119">
                  <c:v>0.43948653169915669</c:v>
                </c:pt>
                <c:pt idx="120">
                  <c:v>0.42897544671551613</c:v>
                </c:pt>
                <c:pt idx="121">
                  <c:v>0.4187775330396476</c:v>
                </c:pt>
                <c:pt idx="122">
                  <c:v>0.40881176744949338</c:v>
                </c:pt>
                <c:pt idx="123">
                  <c:v>0.39910702674584941</c:v>
                </c:pt>
                <c:pt idx="124">
                  <c:v>0.38964734135581713</c:v>
                </c:pt>
                <c:pt idx="125">
                  <c:v>0.38039311567310796</c:v>
                </c:pt>
                <c:pt idx="126">
                  <c:v>0.3713955261151855</c:v>
                </c:pt>
                <c:pt idx="127">
                  <c:v>0.36261417682792824</c:v>
                </c:pt>
                <c:pt idx="128">
                  <c:v>0.35405403021670301</c:v>
                </c:pt>
                <c:pt idx="129">
                  <c:v>0.34571997345719974</c:v>
                </c:pt>
                <c:pt idx="130">
                  <c:v>0.33759318423855167</c:v>
                </c:pt>
                <c:pt idx="131">
                  <c:v>0.32960665105970105</c:v>
                </c:pt>
                <c:pt idx="132">
                  <c:v>0.32181116983288099</c:v>
                </c:pt>
                <c:pt idx="133">
                  <c:v>0.31423455684870188</c:v>
                </c:pt>
                <c:pt idx="134">
                  <c:v>0.30683256578061457</c:v>
                </c:pt>
                <c:pt idx="135">
                  <c:v>0.2996327500540073</c:v>
                </c:pt>
                <c:pt idx="136">
                  <c:v>0.29258981833277681</c:v>
                </c:pt>
                <c:pt idx="137">
                  <c:v>0.28575564562825712</c:v>
                </c:pt>
                <c:pt idx="138">
                  <c:v>0.2790596430126252</c:v>
                </c:pt>
                <c:pt idx="139">
                  <c:v>0.27255370796323403</c:v>
                </c:pt>
                <c:pt idx="140">
                  <c:v>0.26621589604330315</c:v>
                </c:pt>
                <c:pt idx="141">
                  <c:v>0.26007379534577868</c:v>
                </c:pt>
                <c:pt idx="142">
                  <c:v>0.25410511285627985</c:v>
                </c:pt>
                <c:pt idx="143">
                  <c:v>0.24826181871548864</c:v>
                </c:pt>
                <c:pt idx="144">
                  <c:v>0.24259637125682462</c:v>
                </c:pt>
                <c:pt idx="145">
                  <c:v>0.23706023208694049</c:v>
                </c:pt>
                <c:pt idx="146">
                  <c:v>0.23165510113686696</c:v>
                </c:pt>
                <c:pt idx="147">
                  <c:v>0.22638264824984744</c:v>
                </c:pt>
                <c:pt idx="148">
                  <c:v>0.22127024999305317</c:v>
                </c:pt>
                <c:pt idx="149">
                  <c:v>0.21626812905380954</c:v>
                </c:pt>
                <c:pt idx="150">
                  <c:v>0.21137757947573899</c:v>
                </c:pt>
                <c:pt idx="151">
                  <c:v>0.20662588340456436</c:v>
                </c:pt>
                <c:pt idx="152">
                  <c:v>0.20198845353901826</c:v>
                </c:pt>
                <c:pt idx="153">
                  <c:v>0.19746650972479121</c:v>
                </c:pt>
                <c:pt idx="154">
                  <c:v>0.19306124740358163</c:v>
                </c:pt>
                <c:pt idx="155">
                  <c:v>0.18877383685517499</c:v>
                </c:pt>
                <c:pt idx="156">
                  <c:v>0.18457900071323996</c:v>
                </c:pt>
                <c:pt idx="157">
                  <c:v>0.18050412586229581</c:v>
                </c:pt>
                <c:pt idx="158">
                  <c:v>0.17652373602379248</c:v>
                </c:pt>
                <c:pt idx="159">
                  <c:v>0.17263868207264432</c:v>
                </c:pt>
                <c:pt idx="160">
                  <c:v>0.16884979804461897</c:v>
                </c:pt>
                <c:pt idx="161">
                  <c:v>0.16515790070493072</c:v>
                </c:pt>
                <c:pt idx="162">
                  <c:v>0.16156378912311245</c:v>
                </c:pt>
                <c:pt idx="163">
                  <c:v>0.15806824425456131</c:v>
                </c:pt>
                <c:pt idx="164">
                  <c:v>0.15464504196898562</c:v>
                </c:pt>
                <c:pt idx="165">
                  <c:v>0.15129473654224154</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1-BA61-4951-BAEA-DB831890A665}"/>
            </c:ext>
          </c:extLst>
        </c:ser>
        <c:dLbls>
          <c:showLegendKey val="0"/>
          <c:showVal val="0"/>
          <c:showCatName val="0"/>
          <c:showSerName val="0"/>
          <c:showPercent val="0"/>
          <c:showBubbleSize val="0"/>
        </c:dLbls>
        <c:axId val="482415744"/>
        <c:axId val="482516992"/>
      </c:scatterChart>
      <c:valAx>
        <c:axId val="482415744"/>
        <c:scaling>
          <c:orientation val="minMax"/>
          <c:max val="175"/>
          <c:min val="-50"/>
        </c:scaling>
        <c:delete val="0"/>
        <c:axPos val="b"/>
        <c:title>
          <c:tx>
            <c:rich>
              <a:bodyPr/>
              <a:lstStyle/>
              <a:p>
                <a:pPr>
                  <a:defRPr sz="1050"/>
                </a:pPr>
                <a:r>
                  <a:rPr lang="en-US" sz="1050"/>
                  <a:t>Temperature in C</a:t>
                </a:r>
              </a:p>
            </c:rich>
          </c:tx>
          <c:overlay val="0"/>
        </c:title>
        <c:numFmt formatCode="General" sourceLinked="1"/>
        <c:majorTickMark val="none"/>
        <c:minorTickMark val="none"/>
        <c:tickLblPos val="low"/>
        <c:crossAx val="482516992"/>
        <c:crosses val="autoZero"/>
        <c:crossBetween val="midCat"/>
      </c:valAx>
      <c:valAx>
        <c:axId val="482516992"/>
        <c:scaling>
          <c:orientation val="minMax"/>
        </c:scaling>
        <c:delete val="0"/>
        <c:axPos val="l"/>
        <c:majorGridlines/>
        <c:title>
          <c:tx>
            <c:rich>
              <a:bodyPr/>
              <a:lstStyle/>
              <a:p>
                <a:pPr>
                  <a:defRPr sz="1050"/>
                </a:pPr>
                <a:r>
                  <a:rPr lang="en-US" sz="1050"/>
                  <a:t>thermistor</a:t>
                </a:r>
                <a:r>
                  <a:rPr lang="en-US" sz="1050" baseline="0"/>
                  <a:t> Vsense</a:t>
                </a:r>
                <a:r>
                  <a:rPr lang="en-US" sz="1050"/>
                  <a:t> in Vdc</a:t>
                </a:r>
              </a:p>
            </c:rich>
          </c:tx>
          <c:overlay val="0"/>
        </c:title>
        <c:numFmt formatCode="0.00" sourceLinked="0"/>
        <c:majorTickMark val="none"/>
        <c:minorTickMark val="none"/>
        <c:tickLblPos val="low"/>
        <c:crossAx val="48241574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Sensitivity  for</a:t>
            </a:r>
            <a:r>
              <a:rPr lang="en-US" sz="1400" baseline="0"/>
              <a:t> </a:t>
            </a:r>
            <a:r>
              <a:rPr lang="en-US" sz="1400"/>
              <a:t>Resistance per °C</a:t>
            </a:r>
          </a:p>
        </c:rich>
      </c:tx>
      <c:overlay val="0"/>
    </c:title>
    <c:autoTitleDeleted val="0"/>
    <c:plotArea>
      <c:layout/>
      <c:scatterChart>
        <c:scatterStyle val="lineMarker"/>
        <c:varyColors val="0"/>
        <c:ser>
          <c:idx val="0"/>
          <c:order val="0"/>
          <c:tx>
            <c:strRef>
              <c:f>'NTC Thermistor Comparison'!$B$29</c:f>
              <c:strCache>
                <c:ptCount val="1"/>
                <c:pt idx="0">
                  <c:v>TMP6131DECR</c:v>
                </c:pt>
              </c:strCache>
            </c:strRef>
          </c:tx>
          <c:marker>
            <c:symbol val="none"/>
          </c:marker>
          <c:xVal>
            <c:numRef>
              <c:f>'NTC Thermistor Comparison'!$B$36:$B$251</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Comparison'!$G$36:$G$251</c:f>
              <c:numCache>
                <c:formatCode>0</c:formatCode>
                <c:ptCount val="216"/>
                <c:pt idx="1">
                  <c:v>41.807931749239287</c:v>
                </c:pt>
                <c:pt idx="2">
                  <c:v>42.186905717342597</c:v>
                </c:pt>
                <c:pt idx="3">
                  <c:v>42.563238172690944</c:v>
                </c:pt>
                <c:pt idx="4">
                  <c:v>42.936972366731425</c:v>
                </c:pt>
                <c:pt idx="5">
                  <c:v>43.30815155090113</c:v>
                </c:pt>
                <c:pt idx="6">
                  <c:v>43.676818976642608</c:v>
                </c:pt>
                <c:pt idx="7">
                  <c:v>44.043017895399316</c:v>
                </c:pt>
                <c:pt idx="8">
                  <c:v>44.406791558609257</c:v>
                </c:pt>
                <c:pt idx="9">
                  <c:v>44.768183217718615</c:v>
                </c:pt>
                <c:pt idx="10">
                  <c:v>45.127236124159936</c:v>
                </c:pt>
                <c:pt idx="11">
                  <c:v>45.483993529384861</c:v>
                </c:pt>
                <c:pt idx="12">
                  <c:v>45.838498684826845</c:v>
                </c:pt>
                <c:pt idx="13">
                  <c:v>46.190794841930256</c:v>
                </c:pt>
                <c:pt idx="14">
                  <c:v>46.54092525213855</c:v>
                </c:pt>
                <c:pt idx="15">
                  <c:v>46.888933166889728</c:v>
                </c:pt>
                <c:pt idx="16">
                  <c:v>47.234861837623612</c:v>
                </c:pt>
                <c:pt idx="17">
                  <c:v>47.578754515787296</c:v>
                </c:pt>
                <c:pt idx="18">
                  <c:v>47.920654452817871</c:v>
                </c:pt>
                <c:pt idx="19">
                  <c:v>48.260604900156068</c:v>
                </c:pt>
                <c:pt idx="20">
                  <c:v>48.598649109246253</c:v>
                </c:pt>
                <c:pt idx="21">
                  <c:v>48.934830331528246</c:v>
                </c:pt>
                <c:pt idx="22">
                  <c:v>49.269191818441868</c:v>
                </c:pt>
                <c:pt idx="23">
                  <c:v>49.601776821431486</c:v>
                </c:pt>
                <c:pt idx="24">
                  <c:v>49.932628591936918</c:v>
                </c:pt>
                <c:pt idx="25">
                  <c:v>50.261790381397986</c:v>
                </c:pt>
                <c:pt idx="26">
                  <c:v>50.58930544125451</c:v>
                </c:pt>
                <c:pt idx="27">
                  <c:v>50.915217022956313</c:v>
                </c:pt>
                <c:pt idx="28">
                  <c:v>51.239568377936848</c:v>
                </c:pt>
                <c:pt idx="29">
                  <c:v>51.562402757636846</c:v>
                </c:pt>
                <c:pt idx="30">
                  <c:v>51.883763413505221</c:v>
                </c:pt>
                <c:pt idx="31">
                  <c:v>52.203693596972698</c:v>
                </c:pt>
                <c:pt idx="32">
                  <c:v>52.522236559490011</c:v>
                </c:pt>
                <c:pt idx="33">
                  <c:v>52.839435552494251</c:v>
                </c:pt>
                <c:pt idx="34">
                  <c:v>53.155333827425238</c:v>
                </c:pt>
                <c:pt idx="35">
                  <c:v>53.469974635728249</c:v>
                </c:pt>
                <c:pt idx="36">
                  <c:v>53.783401228840376</c:v>
                </c:pt>
                <c:pt idx="37">
                  <c:v>54.095656858207803</c:v>
                </c:pt>
                <c:pt idx="38">
                  <c:v>54.406784775268534</c:v>
                </c:pt>
                <c:pt idx="39">
                  <c:v>54.716828231463296</c:v>
                </c:pt>
                <c:pt idx="40">
                  <c:v>55.02583047823282</c:v>
                </c:pt>
                <c:pt idx="41">
                  <c:v>55.333834767021472</c:v>
                </c:pt>
                <c:pt idx="42">
                  <c:v>55.640884349271801</c:v>
                </c:pt>
                <c:pt idx="43">
                  <c:v>55.947022476420898</c:v>
                </c:pt>
                <c:pt idx="44">
                  <c:v>56.252292399909493</c:v>
                </c:pt>
                <c:pt idx="45">
                  <c:v>56.556737371181953</c:v>
                </c:pt>
                <c:pt idx="46">
                  <c:v>56.860400641680826</c:v>
                </c:pt>
                <c:pt idx="47">
                  <c:v>57.163325462845023</c:v>
                </c:pt>
                <c:pt idx="48">
                  <c:v>57.465555086113454</c:v>
                </c:pt>
                <c:pt idx="49">
                  <c:v>57.767132762930487</c:v>
                </c:pt>
                <c:pt idx="50">
                  <c:v>58.068101744740488</c:v>
                </c:pt>
                <c:pt idx="51">
                  <c:v>58.368505282976912</c:v>
                </c:pt>
                <c:pt idx="52">
                  <c:v>58.668386629089582</c:v>
                </c:pt>
                <c:pt idx="53">
                  <c:v>58.967789034510133</c:v>
                </c:pt>
                <c:pt idx="54">
                  <c:v>59.26675575068839</c:v>
                </c:pt>
                <c:pt idx="55">
                  <c:v>59.56533002906508</c:v>
                </c:pt>
                <c:pt idx="56">
                  <c:v>59.863555121075478</c:v>
                </c:pt>
                <c:pt idx="57">
                  <c:v>60.161474278167589</c:v>
                </c:pt>
                <c:pt idx="58">
                  <c:v>60.459130751774865</c:v>
                </c:pt>
                <c:pt idx="59">
                  <c:v>60.756567793345312</c:v>
                </c:pt>
                <c:pt idx="60">
                  <c:v>61.053828654321478</c:v>
                </c:pt>
                <c:pt idx="61">
                  <c:v>61.350956586140455</c:v>
                </c:pt>
                <c:pt idx="62">
                  <c:v>61.647994840239335</c:v>
                </c:pt>
                <c:pt idx="63">
                  <c:v>61.94498666806976</c:v>
                </c:pt>
                <c:pt idx="64">
                  <c:v>62.241975321065183</c:v>
                </c:pt>
                <c:pt idx="65">
                  <c:v>62.539004050671792</c:v>
                </c:pt>
                <c:pt idx="66">
                  <c:v>62.836116108328497</c:v>
                </c:pt>
                <c:pt idx="67">
                  <c:v>63.133354745477845</c:v>
                </c:pt>
                <c:pt idx="68">
                  <c:v>63.43076321355511</c:v>
                </c:pt>
                <c:pt idx="69">
                  <c:v>63.728384764010116</c:v>
                </c:pt>
                <c:pt idx="70">
                  <c:v>64.026262648279953</c:v>
                </c:pt>
                <c:pt idx="71">
                  <c:v>64.324440117810809</c:v>
                </c:pt>
                <c:pt idx="72">
                  <c:v>64.62296042403068</c:v>
                </c:pt>
                <c:pt idx="73">
                  <c:v>64.921866818396666</c:v>
                </c:pt>
                <c:pt idx="74">
                  <c:v>65.22120255234222</c:v>
                </c:pt>
                <c:pt idx="75">
                  <c:v>65.521010877309891</c:v>
                </c:pt>
                <c:pt idx="76">
                  <c:v>65.821335044740408</c:v>
                </c:pt>
                <c:pt idx="77">
                  <c:v>66.12221830607632</c:v>
                </c:pt>
                <c:pt idx="78">
                  <c:v>66.423703912754718</c:v>
                </c:pt>
                <c:pt idx="79">
                  <c:v>66.725835116223607</c:v>
                </c:pt>
                <c:pt idx="80">
                  <c:v>67.028655167920078</c:v>
                </c:pt>
                <c:pt idx="81">
                  <c:v>67.3322073192885</c:v>
                </c:pt>
                <c:pt idx="82">
                  <c:v>67.636534821764144</c:v>
                </c:pt>
                <c:pt idx="83">
                  <c:v>67.941680926795016</c:v>
                </c:pt>
                <c:pt idx="84">
                  <c:v>68.247688885816387</c:v>
                </c:pt>
                <c:pt idx="85">
                  <c:v>68.554601950278084</c:v>
                </c:pt>
                <c:pt idx="86">
                  <c:v>68.862463371611739</c:v>
                </c:pt>
                <c:pt idx="87">
                  <c:v>69.171316401265358</c:v>
                </c:pt>
                <c:pt idx="88">
                  <c:v>69.481204290676033</c:v>
                </c:pt>
                <c:pt idx="89">
                  <c:v>69.792170291289949</c:v>
                </c:pt>
                <c:pt idx="90">
                  <c:v>70.10425765454238</c:v>
                </c:pt>
                <c:pt idx="91">
                  <c:v>70.417509631877692</c:v>
                </c:pt>
                <c:pt idx="92">
                  <c:v>70.731969474738435</c:v>
                </c:pt>
                <c:pt idx="93">
                  <c:v>71.047680434561698</c:v>
                </c:pt>
                <c:pt idx="94">
                  <c:v>71.364685762799127</c:v>
                </c:pt>
                <c:pt idx="95">
                  <c:v>71.683028710875078</c:v>
                </c:pt>
                <c:pt idx="96">
                  <c:v>72.002752530248472</c:v>
                </c:pt>
                <c:pt idx="97">
                  <c:v>72.323900472345485</c:v>
                </c:pt>
                <c:pt idx="98">
                  <c:v>72.6465157886214</c:v>
                </c:pt>
                <c:pt idx="99">
                  <c:v>72.97064173050785</c:v>
                </c:pt>
                <c:pt idx="100">
                  <c:v>73.296321549443746</c:v>
                </c:pt>
                <c:pt idx="101">
                  <c:v>73.623598496882551</c:v>
                </c:pt>
                <c:pt idx="102">
                  <c:v>73.952515824255897</c:v>
                </c:pt>
                <c:pt idx="103">
                  <c:v>74.283116783008154</c:v>
                </c:pt>
                <c:pt idx="104">
                  <c:v>74.615444624576412</c:v>
                </c:pt>
                <c:pt idx="105">
                  <c:v>74.949542600414134</c:v>
                </c:pt>
                <c:pt idx="106">
                  <c:v>75.285453961945677</c:v>
                </c:pt>
                <c:pt idx="107">
                  <c:v>75.623221960624505</c:v>
                </c:pt>
                <c:pt idx="108">
                  <c:v>75.962889847887709</c:v>
                </c:pt>
                <c:pt idx="109">
                  <c:v>76.304500875179656</c:v>
                </c:pt>
                <c:pt idx="110">
                  <c:v>76.648098293933799</c:v>
                </c:pt>
                <c:pt idx="111">
                  <c:v>76.993725355599963</c:v>
                </c:pt>
                <c:pt idx="112">
                  <c:v>77.341425311618877</c:v>
                </c:pt>
                <c:pt idx="113">
                  <c:v>77.691241413425814</c:v>
                </c:pt>
                <c:pt idx="114">
                  <c:v>78.043216912461503</c:v>
                </c:pt>
                <c:pt idx="115">
                  <c:v>78.397395060184863</c:v>
                </c:pt>
                <c:pt idx="116">
                  <c:v>78.753819108009338</c:v>
                </c:pt>
                <c:pt idx="117">
                  <c:v>79.112532307397487</c:v>
                </c:pt>
                <c:pt idx="118">
                  <c:v>79.473577909784581</c:v>
                </c:pt>
                <c:pt idx="119">
                  <c:v>79.836999166604073</c:v>
                </c:pt>
                <c:pt idx="120">
                  <c:v>80.202839329311246</c:v>
                </c:pt>
                <c:pt idx="121">
                  <c:v>80.571141649335914</c:v>
                </c:pt>
                <c:pt idx="122">
                  <c:v>80.941949378127902</c:v>
                </c:pt>
                <c:pt idx="123">
                  <c:v>81.315305767118844</c:v>
                </c:pt>
                <c:pt idx="124">
                  <c:v>81.691254067758564</c:v>
                </c:pt>
                <c:pt idx="125">
                  <c:v>82.069837531489611</c:v>
                </c:pt>
                <c:pt idx="126">
                  <c:v>82.451099409741801</c:v>
                </c:pt>
                <c:pt idx="127">
                  <c:v>82.835082953970414</c:v>
                </c:pt>
                <c:pt idx="128">
                  <c:v>83.221831415601628</c:v>
                </c:pt>
                <c:pt idx="129">
                  <c:v>83.611388046090724</c:v>
                </c:pt>
                <c:pt idx="130">
                  <c:v>84.003796096874794</c:v>
                </c:pt>
                <c:pt idx="131">
                  <c:v>84.39909881938911</c:v>
                </c:pt>
                <c:pt idx="132">
                  <c:v>84.797339465087134</c:v>
                </c:pt>
                <c:pt idx="133">
                  <c:v>85.198561285391406</c:v>
                </c:pt>
                <c:pt idx="134">
                  <c:v>85.602807531766302</c:v>
                </c:pt>
                <c:pt idx="135">
                  <c:v>86.010121455630724</c:v>
                </c:pt>
                <c:pt idx="136">
                  <c:v>86.420546308441772</c:v>
                </c:pt>
                <c:pt idx="137">
                  <c:v>86.834125341640174</c:v>
                </c:pt>
                <c:pt idx="138">
                  <c:v>87.250901806652109</c:v>
                </c:pt>
                <c:pt idx="139">
                  <c:v>87.670918954938315</c:v>
                </c:pt>
                <c:pt idx="140">
                  <c:v>88.09422003792497</c:v>
                </c:pt>
                <c:pt idx="141">
                  <c:v>88.520848307065535</c:v>
                </c:pt>
                <c:pt idx="142">
                  <c:v>88.950847013789826</c:v>
                </c:pt>
                <c:pt idx="143">
                  <c:v>89.384259409549486</c:v>
                </c:pt>
                <c:pt idx="144">
                  <c:v>89.82112874577615</c:v>
                </c:pt>
                <c:pt idx="145">
                  <c:v>90.261498273919642</c:v>
                </c:pt>
                <c:pt idx="146">
                  <c:v>90.705411245413416</c:v>
                </c:pt>
                <c:pt idx="147">
                  <c:v>91.152910911707295</c:v>
                </c:pt>
                <c:pt idx="148">
                  <c:v>91.604040524236552</c:v>
                </c:pt>
                <c:pt idx="149">
                  <c:v>92.058843334445555</c:v>
                </c:pt>
                <c:pt idx="150">
                  <c:v>92.517362593769576</c:v>
                </c:pt>
                <c:pt idx="151">
                  <c:v>92.979641553658439</c:v>
                </c:pt>
                <c:pt idx="152">
                  <c:v>93.445723465549236</c:v>
                </c:pt>
                <c:pt idx="153">
                  <c:v>93.915651580882695</c:v>
                </c:pt>
                <c:pt idx="154">
                  <c:v>94.389469151101366</c:v>
                </c:pt>
                <c:pt idx="155">
                  <c:v>94.867219427651435</c:v>
                </c:pt>
                <c:pt idx="156">
                  <c:v>95.348945661957259</c:v>
                </c:pt>
                <c:pt idx="157">
                  <c:v>95.83469110547594</c:v>
                </c:pt>
                <c:pt idx="158">
                  <c:v>96.324499009650026</c:v>
                </c:pt>
                <c:pt idx="159">
                  <c:v>96.818412625918427</c:v>
                </c:pt>
                <c:pt idx="160">
                  <c:v>97.316475205705501</c:v>
                </c:pt>
                <c:pt idx="161">
                  <c:v>97.818730000475625</c:v>
                </c:pt>
                <c:pt idx="162">
                  <c:v>98.325220261660434</c:v>
                </c:pt>
                <c:pt idx="163">
                  <c:v>98.835989240698837</c:v>
                </c:pt>
                <c:pt idx="164">
                  <c:v>99.351080189044296</c:v>
                </c:pt>
                <c:pt idx="165">
                  <c:v>99.870536358117533</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0-FF34-4A14-B7A3-28A5BB3DDFA7}"/>
            </c:ext>
          </c:extLst>
        </c:ser>
        <c:ser>
          <c:idx val="1"/>
          <c:order val="1"/>
          <c:tx>
            <c:v>NTC</c:v>
          </c:tx>
          <c:marker>
            <c:symbol val="none"/>
          </c:marker>
          <c:xVal>
            <c:numRef>
              <c:f>'NTC Thermistor Comparison'!$M$36:$M$251</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Comparison'!$R$36:$R$251</c:f>
              <c:numCache>
                <c:formatCode>0</c:formatCode>
                <c:ptCount val="216"/>
                <c:pt idx="1">
                  <c:v>10734.899999999994</c:v>
                </c:pt>
                <c:pt idx="2">
                  <c:v>10071.899999999994</c:v>
                </c:pt>
                <c:pt idx="3">
                  <c:v>9454.2000000000116</c:v>
                </c:pt>
                <c:pt idx="4">
                  <c:v>8878.5</c:v>
                </c:pt>
                <c:pt idx="5">
                  <c:v>8341.5</c:v>
                </c:pt>
                <c:pt idx="6">
                  <c:v>7840.6000000000058</c:v>
                </c:pt>
                <c:pt idx="7">
                  <c:v>7372.7999999999884</c:v>
                </c:pt>
                <c:pt idx="8">
                  <c:v>6936.1000000000058</c:v>
                </c:pt>
                <c:pt idx="9">
                  <c:v>6527.8999999999942</c:v>
                </c:pt>
                <c:pt idx="10">
                  <c:v>6146.5000000000146</c:v>
                </c:pt>
                <c:pt idx="11">
                  <c:v>5782.1999999999971</c:v>
                </c:pt>
                <c:pt idx="12">
                  <c:v>5449.3999999999942</c:v>
                </c:pt>
                <c:pt idx="13">
                  <c:v>5137.9000000000087</c:v>
                </c:pt>
                <c:pt idx="14">
                  <c:v>4846.0999999999913</c:v>
                </c:pt>
                <c:pt idx="15">
                  <c:v>4572.6999999999971</c:v>
                </c:pt>
                <c:pt idx="16">
                  <c:v>4316.3999999999942</c:v>
                </c:pt>
                <c:pt idx="17">
                  <c:v>4076.1000000000058</c:v>
                </c:pt>
                <c:pt idx="18">
                  <c:v>3850.5999999999913</c:v>
                </c:pt>
                <c:pt idx="19">
                  <c:v>3638.9000000000087</c:v>
                </c:pt>
                <c:pt idx="20">
                  <c:v>3440.1000000000058</c:v>
                </c:pt>
                <c:pt idx="21">
                  <c:v>3245.9999999999927</c:v>
                </c:pt>
                <c:pt idx="22">
                  <c:v>3071.7000000000044</c:v>
                </c:pt>
                <c:pt idx="23">
                  <c:v>2907.7000000000044</c:v>
                </c:pt>
                <c:pt idx="24">
                  <c:v>2753.3999999999942</c:v>
                </c:pt>
                <c:pt idx="25">
                  <c:v>2608.3000000000029</c:v>
                </c:pt>
                <c:pt idx="26">
                  <c:v>2471.6999999999971</c:v>
                </c:pt>
                <c:pt idx="27">
                  <c:v>2343.0000000000073</c:v>
                </c:pt>
                <c:pt idx="28">
                  <c:v>2221.6999999999971</c:v>
                </c:pt>
                <c:pt idx="29">
                  <c:v>2107.3999999999942</c:v>
                </c:pt>
                <c:pt idx="30">
                  <c:v>1999.6000000000058</c:v>
                </c:pt>
                <c:pt idx="31">
                  <c:v>1906.5</c:v>
                </c:pt>
                <c:pt idx="32">
                  <c:v>1809.1999999999971</c:v>
                </c:pt>
                <c:pt idx="33">
                  <c:v>1717.6000000000058</c:v>
                </c:pt>
                <c:pt idx="34">
                  <c:v>1631.1999999999971</c:v>
                </c:pt>
                <c:pt idx="35">
                  <c:v>1549.4999999999927</c:v>
                </c:pt>
                <c:pt idx="36">
                  <c:v>1472.5000000000073</c:v>
                </c:pt>
                <c:pt idx="37">
                  <c:v>1399.6999999999971</c:v>
                </c:pt>
                <c:pt idx="38">
                  <c:v>1331</c:v>
                </c:pt>
                <c:pt idx="39">
                  <c:v>1265.8999999999978</c:v>
                </c:pt>
                <c:pt idx="40">
                  <c:v>1204.5000000000036</c:v>
                </c:pt>
                <c:pt idx="41">
                  <c:v>1142.5999999999985</c:v>
                </c:pt>
                <c:pt idx="42">
                  <c:v>1088.2999999999993</c:v>
                </c:pt>
                <c:pt idx="43">
                  <c:v>1036.7999999999993</c:v>
                </c:pt>
                <c:pt idx="44">
                  <c:v>988</c:v>
                </c:pt>
                <c:pt idx="45">
                  <c:v>941.79999999999927</c:v>
                </c:pt>
                <c:pt idx="46">
                  <c:v>898.10000000000218</c:v>
                </c:pt>
                <c:pt idx="47">
                  <c:v>856.39999999999782</c:v>
                </c:pt>
                <c:pt idx="48">
                  <c:v>817.10000000000218</c:v>
                </c:pt>
                <c:pt idx="49">
                  <c:v>779.70000000000073</c:v>
                </c:pt>
                <c:pt idx="50">
                  <c:v>744.29999999999927</c:v>
                </c:pt>
                <c:pt idx="51">
                  <c:v>711.60000000000218</c:v>
                </c:pt>
                <c:pt idx="52">
                  <c:v>679.49999999999636</c:v>
                </c:pt>
                <c:pt idx="53">
                  <c:v>648.80000000000109</c:v>
                </c:pt>
                <c:pt idx="54">
                  <c:v>619.79999999999927</c:v>
                </c:pt>
                <c:pt idx="55">
                  <c:v>592.30000000000109</c:v>
                </c:pt>
                <c:pt idx="56">
                  <c:v>566</c:v>
                </c:pt>
                <c:pt idx="57">
                  <c:v>541.10000000000036</c:v>
                </c:pt>
                <c:pt idx="58">
                  <c:v>517.5</c:v>
                </c:pt>
                <c:pt idx="59">
                  <c:v>494.89999999999964</c:v>
                </c:pt>
                <c:pt idx="60">
                  <c:v>473.5</c:v>
                </c:pt>
                <c:pt idx="61">
                  <c:v>452.39999999999964</c:v>
                </c:pt>
                <c:pt idx="62">
                  <c:v>433.40000000000146</c:v>
                </c:pt>
                <c:pt idx="63">
                  <c:v>415.19999999999891</c:v>
                </c:pt>
                <c:pt idx="64">
                  <c:v>398</c:v>
                </c:pt>
                <c:pt idx="65">
                  <c:v>381.5</c:v>
                </c:pt>
                <c:pt idx="66">
                  <c:v>365.79999999999927</c:v>
                </c:pt>
                <c:pt idx="67">
                  <c:v>350.70000000000073</c:v>
                </c:pt>
                <c:pt idx="68">
                  <c:v>336.5</c:v>
                </c:pt>
                <c:pt idx="69">
                  <c:v>322.79999999999927</c:v>
                </c:pt>
                <c:pt idx="70">
                  <c:v>309.70000000000073</c:v>
                </c:pt>
                <c:pt idx="71">
                  <c:v>296.39999999999964</c:v>
                </c:pt>
                <c:pt idx="72">
                  <c:v>284.40000000000055</c:v>
                </c:pt>
                <c:pt idx="73">
                  <c:v>272.80000000000018</c:v>
                </c:pt>
                <c:pt idx="74">
                  <c:v>261.80000000000018</c:v>
                </c:pt>
                <c:pt idx="75">
                  <c:v>251.19999999999982</c:v>
                </c:pt>
                <c:pt idx="76">
                  <c:v>241.19999999999982</c:v>
                </c:pt>
                <c:pt idx="77">
                  <c:v>231.59999999999945</c:v>
                </c:pt>
                <c:pt idx="78">
                  <c:v>222.5</c:v>
                </c:pt>
                <c:pt idx="79">
                  <c:v>213.60000000000036</c:v>
                </c:pt>
                <c:pt idx="80">
                  <c:v>205.40000000000055</c:v>
                </c:pt>
                <c:pt idx="81">
                  <c:v>197.89999999999964</c:v>
                </c:pt>
                <c:pt idx="82">
                  <c:v>190.29999999999927</c:v>
                </c:pt>
                <c:pt idx="83">
                  <c:v>183.10000000000036</c:v>
                </c:pt>
                <c:pt idx="84">
                  <c:v>176.00000000000091</c:v>
                </c:pt>
                <c:pt idx="85">
                  <c:v>169.39999999999964</c:v>
                </c:pt>
                <c:pt idx="86">
                  <c:v>163</c:v>
                </c:pt>
                <c:pt idx="87">
                  <c:v>156.79999999999927</c:v>
                </c:pt>
                <c:pt idx="88">
                  <c:v>151</c:v>
                </c:pt>
                <c:pt idx="89">
                  <c:v>145.30000000000018</c:v>
                </c:pt>
                <c:pt idx="90">
                  <c:v>139.90000000000055</c:v>
                </c:pt>
                <c:pt idx="91">
                  <c:v>134.69999999999936</c:v>
                </c:pt>
                <c:pt idx="92">
                  <c:v>129.80000000000064</c:v>
                </c:pt>
                <c:pt idx="93">
                  <c:v>125</c:v>
                </c:pt>
                <c:pt idx="94">
                  <c:v>120.39999999999964</c:v>
                </c:pt>
                <c:pt idx="95">
                  <c:v>116</c:v>
                </c:pt>
                <c:pt idx="96">
                  <c:v>111.90000000000009</c:v>
                </c:pt>
                <c:pt idx="97">
                  <c:v>107.90000000000009</c:v>
                </c:pt>
                <c:pt idx="98">
                  <c:v>103.89999999999964</c:v>
                </c:pt>
                <c:pt idx="99">
                  <c:v>100.30000000000018</c:v>
                </c:pt>
                <c:pt idx="100">
                  <c:v>96.699999999999818</c:v>
                </c:pt>
                <c:pt idx="101">
                  <c:v>91.900000000000091</c:v>
                </c:pt>
                <c:pt idx="102">
                  <c:v>88.700000000000273</c:v>
                </c:pt>
                <c:pt idx="103">
                  <c:v>85.499999999999545</c:v>
                </c:pt>
                <c:pt idx="104">
                  <c:v>82.5</c:v>
                </c:pt>
                <c:pt idx="105">
                  <c:v>79.600000000000364</c:v>
                </c:pt>
                <c:pt idx="106">
                  <c:v>76.799999999999727</c:v>
                </c:pt>
                <c:pt idx="107">
                  <c:v>74.200000000000273</c:v>
                </c:pt>
                <c:pt idx="108">
                  <c:v>71.599999999999909</c:v>
                </c:pt>
                <c:pt idx="109">
                  <c:v>69.200000000000273</c:v>
                </c:pt>
                <c:pt idx="110">
                  <c:v>66.799999999999727</c:v>
                </c:pt>
                <c:pt idx="111">
                  <c:v>64.799999999999727</c:v>
                </c:pt>
                <c:pt idx="112">
                  <c:v>62.600000000000364</c:v>
                </c:pt>
                <c:pt idx="113">
                  <c:v>60.499999999999773</c:v>
                </c:pt>
                <c:pt idx="114">
                  <c:v>58.5</c:v>
                </c:pt>
                <c:pt idx="115">
                  <c:v>56.600000000000136</c:v>
                </c:pt>
                <c:pt idx="116">
                  <c:v>54.700000000000045</c:v>
                </c:pt>
                <c:pt idx="117">
                  <c:v>52.799999999999955</c:v>
                </c:pt>
                <c:pt idx="118">
                  <c:v>51.200000000000045</c:v>
                </c:pt>
                <c:pt idx="119">
                  <c:v>49.400000000000091</c:v>
                </c:pt>
                <c:pt idx="120">
                  <c:v>47.899999999999864</c:v>
                </c:pt>
                <c:pt idx="121">
                  <c:v>46.099999999999909</c:v>
                </c:pt>
                <c:pt idx="122">
                  <c:v>44.700000000000045</c:v>
                </c:pt>
                <c:pt idx="123">
                  <c:v>43.200000000000045</c:v>
                </c:pt>
                <c:pt idx="124">
                  <c:v>41.800000000000182</c:v>
                </c:pt>
                <c:pt idx="125">
                  <c:v>40.599999999999909</c:v>
                </c:pt>
                <c:pt idx="126">
                  <c:v>39.199999999999818</c:v>
                </c:pt>
                <c:pt idx="127">
                  <c:v>38</c:v>
                </c:pt>
                <c:pt idx="128">
                  <c:v>36.799999999999955</c:v>
                </c:pt>
                <c:pt idx="129">
                  <c:v>35.600000000000136</c:v>
                </c:pt>
                <c:pt idx="130">
                  <c:v>34.5</c:v>
                </c:pt>
                <c:pt idx="131">
                  <c:v>33.700000000000045</c:v>
                </c:pt>
                <c:pt idx="132">
                  <c:v>32.700000000000045</c:v>
                </c:pt>
                <c:pt idx="133">
                  <c:v>31.599999999999909</c:v>
                </c:pt>
                <c:pt idx="134">
                  <c:v>30.700000000000045</c:v>
                </c:pt>
                <c:pt idx="135">
                  <c:v>29.700000000000045</c:v>
                </c:pt>
                <c:pt idx="136">
                  <c:v>28.899999999999864</c:v>
                </c:pt>
                <c:pt idx="137">
                  <c:v>27.900000000000091</c:v>
                </c:pt>
                <c:pt idx="138">
                  <c:v>27.199999999999818</c:v>
                </c:pt>
                <c:pt idx="139">
                  <c:v>26.300000000000182</c:v>
                </c:pt>
                <c:pt idx="140">
                  <c:v>25.5</c:v>
                </c:pt>
                <c:pt idx="141">
                  <c:v>24.599999999999909</c:v>
                </c:pt>
                <c:pt idx="142">
                  <c:v>23.800000000000068</c:v>
                </c:pt>
                <c:pt idx="143">
                  <c:v>23.199999999999932</c:v>
                </c:pt>
                <c:pt idx="144">
                  <c:v>22.399999999999977</c:v>
                </c:pt>
                <c:pt idx="145">
                  <c:v>21.800000000000068</c:v>
                </c:pt>
                <c:pt idx="146">
                  <c:v>21.200000000000045</c:v>
                </c:pt>
                <c:pt idx="147">
                  <c:v>20.599999999999909</c:v>
                </c:pt>
                <c:pt idx="148">
                  <c:v>19.900000000000091</c:v>
                </c:pt>
                <c:pt idx="149">
                  <c:v>19.399999999999864</c:v>
                </c:pt>
                <c:pt idx="150">
                  <c:v>18.900000000000091</c:v>
                </c:pt>
                <c:pt idx="151">
                  <c:v>18.299999999999955</c:v>
                </c:pt>
                <c:pt idx="152">
                  <c:v>17.800000000000068</c:v>
                </c:pt>
                <c:pt idx="153">
                  <c:v>17.299999999999955</c:v>
                </c:pt>
                <c:pt idx="154">
                  <c:v>16.800000000000068</c:v>
                </c:pt>
                <c:pt idx="155">
                  <c:v>16.299999999999955</c:v>
                </c:pt>
                <c:pt idx="156">
                  <c:v>15.900000000000091</c:v>
                </c:pt>
                <c:pt idx="157">
                  <c:v>15.399999999999864</c:v>
                </c:pt>
                <c:pt idx="158">
                  <c:v>15.000000000000114</c:v>
                </c:pt>
                <c:pt idx="159">
                  <c:v>14.599999999999909</c:v>
                </c:pt>
                <c:pt idx="160">
                  <c:v>14.199999999999932</c:v>
                </c:pt>
                <c:pt idx="161">
                  <c:v>13.800000000000068</c:v>
                </c:pt>
                <c:pt idx="162">
                  <c:v>13.399999999999977</c:v>
                </c:pt>
                <c:pt idx="163">
                  <c:v>13</c:v>
                </c:pt>
                <c:pt idx="164">
                  <c:v>12.700000000000045</c:v>
                </c:pt>
                <c:pt idx="165">
                  <c:v>12.399999999999977</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1-FF34-4A14-B7A3-28A5BB3DDFA7}"/>
            </c:ext>
          </c:extLst>
        </c:ser>
        <c:dLbls>
          <c:showLegendKey val="0"/>
          <c:showVal val="0"/>
          <c:showCatName val="0"/>
          <c:showSerName val="0"/>
          <c:showPercent val="0"/>
          <c:showBubbleSize val="0"/>
        </c:dLbls>
        <c:axId val="139523584"/>
        <c:axId val="139525504"/>
      </c:scatterChart>
      <c:valAx>
        <c:axId val="139523584"/>
        <c:scaling>
          <c:orientation val="minMax"/>
          <c:max val="175"/>
          <c:min val="-50"/>
        </c:scaling>
        <c:delete val="0"/>
        <c:axPos val="b"/>
        <c:title>
          <c:tx>
            <c:rich>
              <a:bodyPr/>
              <a:lstStyle/>
              <a:p>
                <a:pPr>
                  <a:defRPr sz="1050"/>
                </a:pPr>
                <a:r>
                  <a:rPr lang="en-US" sz="1050"/>
                  <a:t>Temperature in C</a:t>
                </a:r>
              </a:p>
            </c:rich>
          </c:tx>
          <c:overlay val="0"/>
        </c:title>
        <c:numFmt formatCode="General" sourceLinked="1"/>
        <c:majorTickMark val="none"/>
        <c:minorTickMark val="none"/>
        <c:tickLblPos val="low"/>
        <c:crossAx val="139525504"/>
        <c:crosses val="autoZero"/>
        <c:crossBetween val="midCat"/>
      </c:valAx>
      <c:valAx>
        <c:axId val="139525504"/>
        <c:scaling>
          <c:orientation val="minMax"/>
          <c:max val="2000"/>
        </c:scaling>
        <c:delete val="0"/>
        <c:axPos val="l"/>
        <c:majorGridlines/>
        <c:title>
          <c:tx>
            <c:rich>
              <a:bodyPr/>
              <a:lstStyle/>
              <a:p>
                <a:pPr>
                  <a:defRPr sz="1050"/>
                </a:pPr>
                <a:r>
                  <a:rPr lang="en-US" sz="1050"/>
                  <a:t>Resistance</a:t>
                </a:r>
                <a:r>
                  <a:rPr lang="en-US" sz="1050" baseline="0"/>
                  <a:t> in </a:t>
                </a:r>
                <a:r>
                  <a:rPr lang="el-GR" sz="1050" baseline="0"/>
                  <a:t>(Ω)</a:t>
                </a:r>
                <a:endParaRPr lang="en-US" sz="1050"/>
              </a:p>
            </c:rich>
          </c:tx>
          <c:overlay val="0"/>
        </c:title>
        <c:numFmt formatCode="0" sourceLinked="0"/>
        <c:majorTickMark val="none"/>
        <c:minorTickMark val="none"/>
        <c:tickLblPos val="low"/>
        <c:crossAx val="13952358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Power in milli-Watts</a:t>
            </a:r>
            <a:r>
              <a:rPr lang="en-US" sz="1400" baseline="0"/>
              <a:t> per</a:t>
            </a:r>
            <a:r>
              <a:rPr lang="en-US" sz="1400"/>
              <a:t> °C</a:t>
            </a:r>
          </a:p>
        </c:rich>
      </c:tx>
      <c:overlay val="0"/>
    </c:title>
    <c:autoTitleDeleted val="0"/>
    <c:plotArea>
      <c:layout/>
      <c:scatterChart>
        <c:scatterStyle val="lineMarker"/>
        <c:varyColors val="0"/>
        <c:ser>
          <c:idx val="0"/>
          <c:order val="0"/>
          <c:tx>
            <c:strRef>
              <c:f>'NTC Thermistor Comparison'!$B$29</c:f>
              <c:strCache>
                <c:ptCount val="1"/>
                <c:pt idx="0">
                  <c:v>TMP6131DECR</c:v>
                </c:pt>
              </c:strCache>
            </c:strRef>
          </c:tx>
          <c:marker>
            <c:symbol val="none"/>
          </c:marker>
          <c:xVal>
            <c:numRef>
              <c:f>'NTC Thermistor Comparison'!$B$36:$B$251</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Comparison'!$H$36:$H$251</c:f>
              <c:numCache>
                <c:formatCode>0.0000</c:formatCode>
                <c:ptCount val="216"/>
                <c:pt idx="0">
                  <c:v>0.1276751889989724</c:v>
                </c:pt>
                <c:pt idx="1">
                  <c:v>0.12849462446125748</c:v>
                </c:pt>
                <c:pt idx="2">
                  <c:v>0.12932148781331743</c:v>
                </c:pt>
                <c:pt idx="3">
                  <c:v>0.13015572728150215</c:v>
                </c:pt>
                <c:pt idx="4">
                  <c:v>0.1309972919398901</c:v>
                </c:pt>
                <c:pt idx="5">
                  <c:v>0.13184613171028775</c:v>
                </c:pt>
                <c:pt idx="6">
                  <c:v>0.13270219736222993</c:v>
                </c:pt>
                <c:pt idx="7">
                  <c:v>0.13356544051297978</c:v>
                </c:pt>
                <c:pt idx="8">
                  <c:v>0.13443581362752852</c:v>
                </c:pt>
                <c:pt idx="9">
                  <c:v>0.1353132700185958</c:v>
                </c:pt>
                <c:pt idx="10">
                  <c:v>0.13619776384662932</c:v>
                </c:pt>
                <c:pt idx="11">
                  <c:v>0.13708925011980527</c:v>
                </c:pt>
                <c:pt idx="12">
                  <c:v>0.13798768469402789</c:v>
                </c:pt>
                <c:pt idx="13">
                  <c:v>0.13889302427292971</c:v>
                </c:pt>
                <c:pt idx="14">
                  <c:v>0.13980522640787163</c:v>
                </c:pt>
                <c:pt idx="15">
                  <c:v>0.14072424949794268</c:v>
                </c:pt>
                <c:pt idx="16">
                  <c:v>0.1416500527899601</c:v>
                </c:pt>
                <c:pt idx="17">
                  <c:v>0.14258259637846951</c:v>
                </c:pt>
                <c:pt idx="18">
                  <c:v>0.14352184120574477</c:v>
                </c:pt>
                <c:pt idx="19">
                  <c:v>0.1444677490617878</c:v>
                </c:pt>
                <c:pt idx="20">
                  <c:v>0.14542028258432904</c:v>
                </c:pt>
                <c:pt idx="21">
                  <c:v>0.14637940525882698</c:v>
                </c:pt>
                <c:pt idx="22">
                  <c:v>0.14734508141846847</c:v>
                </c:pt>
                <c:pt idx="23">
                  <c:v>0.14831727624416852</c:v>
                </c:pt>
                <c:pt idx="24">
                  <c:v>0.1492959557645705</c:v>
                </c:pt>
                <c:pt idx="25">
                  <c:v>0.15028108685604588</c:v>
                </c:pt>
                <c:pt idx="26">
                  <c:v>0.15127263724269446</c:v>
                </c:pt>
                <c:pt idx="27">
                  <c:v>0.1522705754963444</c:v>
                </c:pt>
                <c:pt idx="28">
                  <c:v>0.15327487103655199</c:v>
                </c:pt>
                <c:pt idx="29">
                  <c:v>0.15428549413060166</c:v>
                </c:pt>
                <c:pt idx="30">
                  <c:v>0.15530241589350635</c:v>
                </c:pt>
                <c:pt idx="31">
                  <c:v>0.15632560828800701</c:v>
                </c:pt>
                <c:pt idx="32">
                  <c:v>0.15735504412457302</c:v>
                </c:pt>
                <c:pt idx="33">
                  <c:v>0.15839069706140191</c:v>
                </c:pt>
                <c:pt idx="34">
                  <c:v>0.15943254160441944</c:v>
                </c:pt>
                <c:pt idx="35">
                  <c:v>0.16048055310727971</c:v>
                </c:pt>
                <c:pt idx="36">
                  <c:v>0.161534707771365</c:v>
                </c:pt>
                <c:pt idx="37">
                  <c:v>0.16259498264578584</c:v>
                </c:pt>
                <c:pt idx="38">
                  <c:v>0.16366135562738113</c:v>
                </c:pt>
                <c:pt idx="39">
                  <c:v>0.16473380546071781</c:v>
                </c:pt>
                <c:pt idx="40">
                  <c:v>0.16581231173809116</c:v>
                </c:pt>
                <c:pt idx="41">
                  <c:v>0.1668968548995248</c:v>
                </c:pt>
                <c:pt idx="42">
                  <c:v>0.1679874162327705</c:v>
                </c:pt>
                <c:pt idx="43">
                  <c:v>0.16908397787330837</c:v>
                </c:pt>
                <c:pt idx="44">
                  <c:v>0.1701865228043466</c:v>
                </c:pt>
                <c:pt idx="45">
                  <c:v>0.17129503485682177</c:v>
                </c:pt>
                <c:pt idx="46">
                  <c:v>0.1724094987093987</c:v>
                </c:pt>
                <c:pt idx="47">
                  <c:v>0.17352989988847048</c:v>
                </c:pt>
                <c:pt idx="48">
                  <c:v>0.17465622476815829</c:v>
                </c:pt>
                <c:pt idx="49">
                  <c:v>0.17578846057031172</c:v>
                </c:pt>
                <c:pt idx="50">
                  <c:v>0.17692659536450864</c:v>
                </c:pt>
                <c:pt idx="51">
                  <c:v>0.17807061806805499</c:v>
                </c:pt>
                <c:pt idx="52">
                  <c:v>0.17922051844598516</c:v>
                </c:pt>
                <c:pt idx="53">
                  <c:v>0.18037628711106155</c:v>
                </c:pt>
                <c:pt idx="54">
                  <c:v>0.18153791552377505</c:v>
                </c:pt>
                <c:pt idx="55">
                  <c:v>0.1827053959923447</c:v>
                </c:pt>
                <c:pt idx="56">
                  <c:v>0.18387872167271779</c:v>
                </c:pt>
                <c:pt idx="57">
                  <c:v>0.18505788656856986</c:v>
                </c:pt>
                <c:pt idx="58">
                  <c:v>0.18624288553130466</c:v>
                </c:pt>
                <c:pt idx="59">
                  <c:v>0.18743371426005423</c:v>
                </c:pt>
                <c:pt idx="60">
                  <c:v>0.18863036930167892</c:v>
                </c:pt>
                <c:pt idx="61">
                  <c:v>0.18983284805076728</c:v>
                </c:pt>
                <c:pt idx="62">
                  <c:v>0.19104114874963596</c:v>
                </c:pt>
                <c:pt idx="63">
                  <c:v>0.19225527048833016</c:v>
                </c:pt>
                <c:pt idx="64">
                  <c:v>0.19347521320462302</c:v>
                </c:pt>
                <c:pt idx="65">
                  <c:v>0.19470097768401617</c:v>
                </c:pt>
                <c:pt idx="66">
                  <c:v>0.19593256555973942</c:v>
                </c:pt>
                <c:pt idx="67">
                  <c:v>0.19716997931275079</c:v>
                </c:pt>
                <c:pt idx="68">
                  <c:v>0.19841322227173647</c:v>
                </c:pt>
                <c:pt idx="69">
                  <c:v>0.19966229861311108</c:v>
                </c:pt>
                <c:pt idx="70">
                  <c:v>0.20091721336101737</c:v>
                </c:pt>
                <c:pt idx="71">
                  <c:v>0.20217797238732646</c:v>
                </c:pt>
                <c:pt idx="72">
                  <c:v>0.20344458241163743</c:v>
                </c:pt>
                <c:pt idx="73">
                  <c:v>0.20471705100127802</c:v>
                </c:pt>
                <c:pt idx="74">
                  <c:v>0.20599538657130392</c:v>
                </c:pt>
                <c:pt idx="75">
                  <c:v>0.20727959838449919</c:v>
                </c:pt>
                <c:pt idx="76">
                  <c:v>0.20856969655137611</c:v>
                </c:pt>
                <c:pt idx="77">
                  <c:v>0.20986569203017522</c:v>
                </c:pt>
                <c:pt idx="78">
                  <c:v>0.21116759662686518</c:v>
                </c:pt>
                <c:pt idx="79">
                  <c:v>0.21247542299514316</c:v>
                </c:pt>
                <c:pt idx="80">
                  <c:v>0.2137891846364344</c:v>
                </c:pt>
                <c:pt idx="81">
                  <c:v>0.21510889589989246</c:v>
                </c:pt>
                <c:pt idx="82">
                  <c:v>0.21643457198239904</c:v>
                </c:pt>
                <c:pt idx="83">
                  <c:v>0.2177662289285642</c:v>
                </c:pt>
                <c:pt idx="84">
                  <c:v>0.21910388363072625</c:v>
                </c:pt>
                <c:pt idx="85">
                  <c:v>0.22044755382895168</c:v>
                </c:pt>
                <c:pt idx="86">
                  <c:v>0.22179725811103526</c:v>
                </c:pt>
                <c:pt idx="87">
                  <c:v>0.22315301591250009</c:v>
                </c:pt>
                <c:pt idx="88">
                  <c:v>0.22451484751659731</c:v>
                </c:pt>
                <c:pt idx="89">
                  <c:v>0.2258827740543066</c:v>
                </c:pt>
                <c:pt idx="90">
                  <c:v>0.22725681750433563</c:v>
                </c:pt>
                <c:pt idx="91">
                  <c:v>0.22863700069312043</c:v>
                </c:pt>
                <c:pt idx="92">
                  <c:v>0.23002334729482532</c:v>
                </c:pt>
                <c:pt idx="93">
                  <c:v>0.23141588183134271</c:v>
                </c:pt>
                <c:pt idx="94">
                  <c:v>0.23281462967229358</c:v>
                </c:pt>
                <c:pt idx="95">
                  <c:v>0.23421961703502672</c:v>
                </c:pt>
                <c:pt idx="96">
                  <c:v>0.2356308709846196</c:v>
                </c:pt>
                <c:pt idx="97">
                  <c:v>0.23704841943387756</c:v>
                </c:pt>
                <c:pt idx="98">
                  <c:v>0.23847229114333454</c:v>
                </c:pt>
                <c:pt idx="99">
                  <c:v>0.23990251572125249</c:v>
                </c:pt>
                <c:pt idx="100">
                  <c:v>0.24133912362362159</c:v>
                </c:pt>
                <c:pt idx="101">
                  <c:v>0.24278214615416049</c:v>
                </c:pt>
                <c:pt idx="102">
                  <c:v>0.24423161546431593</c:v>
                </c:pt>
                <c:pt idx="103">
                  <c:v>0.24568756455326288</c:v>
                </c:pt>
                <c:pt idx="104">
                  <c:v>0.24715002726790458</c:v>
                </c:pt>
                <c:pt idx="105">
                  <c:v>0.24861903830287271</c:v>
                </c:pt>
                <c:pt idx="106">
                  <c:v>0.25009463320052683</c:v>
                </c:pt>
                <c:pt idx="107">
                  <c:v>0.25157684835095506</c:v>
                </c:pt>
                <c:pt idx="108">
                  <c:v>0.25306572099197366</c:v>
                </c:pt>
                <c:pt idx="109">
                  <c:v>0.25456128920912718</c:v>
                </c:pt>
                <c:pt idx="110">
                  <c:v>0.25606359193568828</c:v>
                </c:pt>
                <c:pt idx="111">
                  <c:v>0.25757266895265807</c:v>
                </c:pt>
                <c:pt idx="112">
                  <c:v>0.25908856088876575</c:v>
                </c:pt>
                <c:pt idx="113">
                  <c:v>0.26061130922046888</c:v>
                </c:pt>
                <c:pt idx="114">
                  <c:v>0.26214095627195316</c:v>
                </c:pt>
                <c:pt idx="115">
                  <c:v>0.26367754521513276</c:v>
                </c:pt>
                <c:pt idx="116">
                  <c:v>0.26522112006964976</c:v>
                </c:pt>
                <c:pt idx="117">
                  <c:v>0.26677172570287477</c:v>
                </c:pt>
                <c:pt idx="118">
                  <c:v>0.26832940782990655</c:v>
                </c:pt>
                <c:pt idx="119">
                  <c:v>0.26989421301357197</c:v>
                </c:pt>
                <c:pt idx="120">
                  <c:v>0.27146618866442646</c:v>
                </c:pt>
                <c:pt idx="121">
                  <c:v>0.27304538304075343</c:v>
                </c:pt>
                <c:pt idx="122">
                  <c:v>0.27463184524856477</c:v>
                </c:pt>
                <c:pt idx="123">
                  <c:v>0.27622562524160033</c:v>
                </c:pt>
                <c:pt idx="124">
                  <c:v>0.27782677382132837</c:v>
                </c:pt>
                <c:pt idx="125">
                  <c:v>0.27943534263694558</c:v>
                </c:pt>
                <c:pt idx="126">
                  <c:v>0.28105138418537651</c:v>
                </c:pt>
                <c:pt idx="127">
                  <c:v>0.28267495181127433</c:v>
                </c:pt>
                <c:pt idx="128">
                  <c:v>0.28430609970702009</c:v>
                </c:pt>
                <c:pt idx="129">
                  <c:v>0.28594488291272352</c:v>
                </c:pt>
                <c:pt idx="130">
                  <c:v>0.28759135731622226</c:v>
                </c:pt>
                <c:pt idx="131">
                  <c:v>0.28924557965308223</c:v>
                </c:pt>
                <c:pt idx="132">
                  <c:v>0.29090760750659794</c:v>
                </c:pt>
                <c:pt idx="133">
                  <c:v>0.29257749930779164</c:v>
                </c:pt>
                <c:pt idx="134">
                  <c:v>0.29425531433541424</c:v>
                </c:pt>
                <c:pt idx="135">
                  <c:v>0.29594111271594464</c:v>
                </c:pt>
                <c:pt idx="136">
                  <c:v>0.29763495542359009</c:v>
                </c:pt>
                <c:pt idx="137">
                  <c:v>0.2993369042802862</c:v>
                </c:pt>
                <c:pt idx="138">
                  <c:v>0.3010470219556966</c:v>
                </c:pt>
                <c:pt idx="139">
                  <c:v>0.30276537196721343</c:v>
                </c:pt>
                <c:pt idx="140">
                  <c:v>0.30449201867995673</c:v>
                </c:pt>
                <c:pt idx="141">
                  <c:v>0.30622702730677526</c:v>
                </c:pt>
                <c:pt idx="142">
                  <c:v>0.30797046390824551</c:v>
                </c:pt>
                <c:pt idx="143">
                  <c:v>0.30972239539267266</c:v>
                </c:pt>
                <c:pt idx="144">
                  <c:v>0.31148288951608988</c:v>
                </c:pt>
                <c:pt idx="145">
                  <c:v>0.31325201488225868</c:v>
                </c:pt>
                <c:pt idx="146">
                  <c:v>0.31502984094266878</c:v>
                </c:pt>
                <c:pt idx="147">
                  <c:v>0.31681643799653825</c:v>
                </c:pt>
                <c:pt idx="148">
                  <c:v>0.3186118771908133</c:v>
                </c:pt>
                <c:pt idx="149">
                  <c:v>0.32041623052016843</c:v>
                </c:pt>
                <c:pt idx="150">
                  <c:v>0.32222957082700632</c:v>
                </c:pt>
                <c:pt idx="151">
                  <c:v>0.32405197180145806</c:v>
                </c:pt>
                <c:pt idx="152">
                  <c:v>0.32588350798138277</c:v>
                </c:pt>
                <c:pt idx="153">
                  <c:v>0.32772425475236805</c:v>
                </c:pt>
                <c:pt idx="154">
                  <c:v>0.32957428834772967</c:v>
                </c:pt>
                <c:pt idx="155">
                  <c:v>0.33143368584851163</c:v>
                </c:pt>
                <c:pt idx="156">
                  <c:v>0.33330252518348602</c:v>
                </c:pt>
                <c:pt idx="157">
                  <c:v>0.33518088512915334</c:v>
                </c:pt>
                <c:pt idx="158">
                  <c:v>0.33706884530974252</c:v>
                </c:pt>
                <c:pt idx="159">
                  <c:v>0.33896648619721048</c:v>
                </c:pt>
                <c:pt idx="160">
                  <c:v>0.34087388911124233</c:v>
                </c:pt>
                <c:pt idx="161">
                  <c:v>0.34279113621925167</c:v>
                </c:pt>
                <c:pt idx="162">
                  <c:v>0.34471831053638019</c:v>
                </c:pt>
                <c:pt idx="163">
                  <c:v>0.34665549592549783</c:v>
                </c:pt>
                <c:pt idx="164">
                  <c:v>0.34860277709720316</c:v>
                </c:pt>
                <c:pt idx="165">
                  <c:v>0.35056023960982224</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0-EF6A-4ECA-BB82-E80A65BC7D3B}"/>
            </c:ext>
          </c:extLst>
        </c:ser>
        <c:ser>
          <c:idx val="1"/>
          <c:order val="1"/>
          <c:tx>
            <c:v>NTC</c:v>
          </c:tx>
          <c:spPr>
            <a:ln>
              <a:solidFill>
                <a:srgbClr val="C00000"/>
              </a:solidFill>
            </a:ln>
          </c:spPr>
          <c:marker>
            <c:symbol val="none"/>
          </c:marker>
          <c:xVal>
            <c:numRef>
              <c:f>'NTC Thermistor Comparison'!$M$36:$M$251</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Comparison'!$S$36:$S$251</c:f>
              <c:numCache>
                <c:formatCode>0.0000</c:formatCode>
                <c:ptCount val="216"/>
                <c:pt idx="0">
                  <c:v>4.3763250539746758E-2</c:v>
                </c:pt>
                <c:pt idx="1">
                  <c:v>4.6173475800737843E-2</c:v>
                </c:pt>
                <c:pt idx="2">
                  <c:v>4.8689389824566713E-2</c:v>
                </c:pt>
                <c:pt idx="3">
                  <c:v>5.1313921466893953E-2</c:v>
                </c:pt>
                <c:pt idx="4">
                  <c:v>5.4049996246528037E-2</c:v>
                </c:pt>
                <c:pt idx="5">
                  <c:v>5.6900443191229742E-2</c:v>
                </c:pt>
                <c:pt idx="6">
                  <c:v>5.9868130464629923E-2</c:v>
                </c:pt>
                <c:pt idx="7">
                  <c:v>6.2955729530993793E-2</c:v>
                </c:pt>
                <c:pt idx="8">
                  <c:v>6.6166010520395668E-2</c:v>
                </c:pt>
                <c:pt idx="9">
                  <c:v>6.9501504321449067E-2</c:v>
                </c:pt>
                <c:pt idx="10">
                  <c:v>7.2964828520492159E-2</c:v>
                </c:pt>
                <c:pt idx="11">
                  <c:v>7.6553461109565873E-2</c:v>
                </c:pt>
                <c:pt idx="12">
                  <c:v>8.0274359923471775E-2</c:v>
                </c:pt>
                <c:pt idx="13">
                  <c:v>8.4129761744514739E-2</c:v>
                </c:pt>
                <c:pt idx="14">
                  <c:v>8.8121686257423032E-2</c:v>
                </c:pt>
                <c:pt idx="15">
                  <c:v>9.225205722087601E-2</c:v>
                </c:pt>
                <c:pt idx="16">
                  <c:v>9.6522612030578381E-2</c:v>
                </c:pt>
                <c:pt idx="17">
                  <c:v>0.10093499449904278</c:v>
                </c:pt>
                <c:pt idx="18">
                  <c:v>0.10549054863290107</c:v>
                </c:pt>
                <c:pt idx="19">
                  <c:v>0.1101904090267983</c:v>
                </c:pt>
                <c:pt idx="20">
                  <c:v>0.11503552680519501</c:v>
                </c:pt>
                <c:pt idx="21">
                  <c:v>0.12001488184534878</c:v>
                </c:pt>
                <c:pt idx="22">
                  <c:v>0.12514078338130399</c:v>
                </c:pt>
                <c:pt idx="23">
                  <c:v>0.13041342504778206</c:v>
                </c:pt>
                <c:pt idx="24">
                  <c:v>0.13583285917603791</c:v>
                </c:pt>
                <c:pt idx="25">
                  <c:v>0.14139916040320755</c:v>
                </c:pt>
                <c:pt idx="26">
                  <c:v>0.14711194728815472</c:v>
                </c:pt>
                <c:pt idx="27">
                  <c:v>0.15297043081572334</c:v>
                </c:pt>
                <c:pt idx="28">
                  <c:v>0.1589735256088686</c:v>
                </c:pt>
                <c:pt idx="29">
                  <c:v>0.16512004227073079</c:v>
                </c:pt>
                <c:pt idx="30">
                  <c:v>0.17140832892115598</c:v>
                </c:pt>
                <c:pt idx="31">
                  <c:v>0.17786666719367902</c:v>
                </c:pt>
                <c:pt idx="32">
                  <c:v>0.18446213914594034</c:v>
                </c:pt>
                <c:pt idx="33">
                  <c:v>0.19119280945087302</c:v>
                </c:pt>
                <c:pt idx="34">
                  <c:v>0.19805597061729649</c:v>
                </c:pt>
                <c:pt idx="35">
                  <c:v>0.20504782170864069</c:v>
                </c:pt>
                <c:pt idx="36">
                  <c:v>0.21216557401396052</c:v>
                </c:pt>
                <c:pt idx="37">
                  <c:v>0.21940516821062897</c:v>
                </c:pt>
                <c:pt idx="38">
                  <c:v>0.2267630829700924</c:v>
                </c:pt>
                <c:pt idx="39">
                  <c:v>0.23423409355309693</c:v>
                </c:pt>
                <c:pt idx="40">
                  <c:v>0.24181457658267644</c:v>
                </c:pt>
                <c:pt idx="41">
                  <c:v>0.24947333407251357</c:v>
                </c:pt>
                <c:pt idx="42">
                  <c:v>0.25723325625862803</c:v>
                </c:pt>
                <c:pt idx="43">
                  <c:v>0.26508870162499371</c:v>
                </c:pt>
                <c:pt idx="44">
                  <c:v>0.27303422939122474</c:v>
                </c:pt>
                <c:pt idx="45">
                  <c:v>0.28106467298125293</c:v>
                </c:pt>
                <c:pt idx="46">
                  <c:v>0.2891752080454969</c:v>
                </c:pt>
                <c:pt idx="47">
                  <c:v>0.29735748316626243</c:v>
                </c:pt>
                <c:pt idx="48">
                  <c:v>0.30560790505781088</c:v>
                </c:pt>
                <c:pt idx="49">
                  <c:v>0.31391917627608146</c:v>
                </c:pt>
                <c:pt idx="50">
                  <c:v>0.32228608261266584</c:v>
                </c:pt>
                <c:pt idx="51">
                  <c:v>0.33071334869313113</c:v>
                </c:pt>
                <c:pt idx="52">
                  <c:v>0.3391823444283647</c:v>
                </c:pt>
                <c:pt idx="53">
                  <c:v>0.34768365423246905</c:v>
                </c:pt>
                <c:pt idx="54">
                  <c:v>0.35621274608363873</c:v>
                </c:pt>
                <c:pt idx="55">
                  <c:v>0.36476381542950936</c:v>
                </c:pt>
                <c:pt idx="56">
                  <c:v>0.37332780255107328</c:v>
                </c:pt>
                <c:pt idx="57">
                  <c:v>0.381899653744314</c:v>
                </c:pt>
                <c:pt idx="58">
                  <c:v>0.39047416579533084</c:v>
                </c:pt>
                <c:pt idx="59">
                  <c:v>0.39904229848363937</c:v>
                </c:pt>
                <c:pt idx="60">
                  <c:v>0.40759946559181165</c:v>
                </c:pt>
                <c:pt idx="61">
                  <c:v>0.41612531845145906</c:v>
                </c:pt>
                <c:pt idx="62">
                  <c:v>0.424634460501918</c:v>
                </c:pt>
                <c:pt idx="63">
                  <c:v>0.43311917996101928</c:v>
                </c:pt>
                <c:pt idx="64">
                  <c:v>0.4415769202463018</c:v>
                </c:pt>
                <c:pt idx="65">
                  <c:v>0.44999999999999996</c:v>
                </c:pt>
                <c:pt idx="66">
                  <c:v>0.45838384044167824</c:v>
                </c:pt>
                <c:pt idx="67">
                  <c:v>0.46672025306609277</c:v>
                </c:pt>
                <c:pt idx="68">
                  <c:v>0.47500923629070557</c:v>
                </c:pt>
                <c:pt idx="69">
                  <c:v>0.48324223322344051</c:v>
                </c:pt>
                <c:pt idx="70">
                  <c:v>0.49141390701356852</c:v>
                </c:pt>
                <c:pt idx="71">
                  <c:v>0.49949772728534092</c:v>
                </c:pt>
                <c:pt idx="72">
                  <c:v>0.50750830339974173</c:v>
                </c:pt>
                <c:pt idx="73">
                  <c:v>0.5154373485902789</c:v>
                </c:pt>
                <c:pt idx="74">
                  <c:v>0.52328319505090393</c:v>
                </c:pt>
                <c:pt idx="75">
                  <c:v>0.53103924380011669</c:v>
                </c:pt>
                <c:pt idx="76">
                  <c:v>0.53870602812045465</c:v>
                </c:pt>
                <c:pt idx="77">
                  <c:v>0.54627893002166916</c:v>
                </c:pt>
                <c:pt idx="78">
                  <c:v>0.55375755263773174</c:v>
                </c:pt>
                <c:pt idx="79">
                  <c:v>0.56113224016459873</c:v>
                </c:pt>
                <c:pt idx="80">
                  <c:v>0.56841147938561032</c:v>
                </c:pt>
                <c:pt idx="81">
                  <c:v>0.57560582513095027</c:v>
                </c:pt>
                <c:pt idx="82">
                  <c:v>0.58269776114571314</c:v>
                </c:pt>
                <c:pt idx="83">
                  <c:v>0.58968831696402246</c:v>
                </c:pt>
                <c:pt idx="84">
                  <c:v>0.59656774689619063</c:v>
                </c:pt>
                <c:pt idx="85">
                  <c:v>0.60334251754721158</c:v>
                </c:pt>
                <c:pt idx="86">
                  <c:v>0.610008201221372</c:v>
                </c:pt>
                <c:pt idx="87">
                  <c:v>0.61656082372526055</c:v>
                </c:pt>
                <c:pt idx="88">
                  <c:v>0.62300551705996754</c:v>
                </c:pt>
                <c:pt idx="89">
                  <c:v>0.6293354217945849</c:v>
                </c:pt>
                <c:pt idx="90">
                  <c:v>0.63555282503230726</c:v>
                </c:pt>
                <c:pt idx="91">
                  <c:v>0.64165632887025714</c:v>
                </c:pt>
                <c:pt idx="92">
                  <c:v>0.64764975101465128</c:v>
                </c:pt>
                <c:pt idx="93">
                  <c:v>0.65352832682225492</c:v>
                </c:pt>
                <c:pt idx="94">
                  <c:v>0.65929235953410015</c:v>
                </c:pt>
                <c:pt idx="95">
                  <c:v>0.66494274104174367</c:v>
                </c:pt>
                <c:pt idx="96">
                  <c:v>0.67048595331927796</c:v>
                </c:pt>
                <c:pt idx="97">
                  <c:v>0.67591925018024512</c:v>
                </c:pt>
                <c:pt idx="98">
                  <c:v>0.68123500336832876</c:v>
                </c:pt>
                <c:pt idx="99">
                  <c:v>0.68644649530928237</c:v>
                </c:pt>
                <c:pt idx="100">
                  <c:v>0.6915469906180125</c:v>
                </c:pt>
                <c:pt idx="101">
                  <c:v>0.69646505293134409</c:v>
                </c:pt>
                <c:pt idx="102">
                  <c:v>0.70127866476542222</c:v>
                </c:pt>
                <c:pt idx="103">
                  <c:v>0.70598202099119867</c:v>
                </c:pt>
                <c:pt idx="104">
                  <c:v>0.71058054430469686</c:v>
                </c:pt>
                <c:pt idx="105">
                  <c:v>0.71507456638672806</c:v>
                </c:pt>
                <c:pt idx="106">
                  <c:v>0.71946471824962244</c:v>
                </c:pt>
                <c:pt idx="107">
                  <c:v>0.72375775023924227</c:v>
                </c:pt>
                <c:pt idx="108">
                  <c:v>0.7279492053221176</c:v>
                </c:pt>
                <c:pt idx="109">
                  <c:v>0.73204655816109898</c:v>
                </c:pt>
                <c:pt idx="110">
                  <c:v>0.7360457984052341</c:v>
                </c:pt>
                <c:pt idx="111">
                  <c:v>0.73996727700263909</c:v>
                </c:pt>
                <c:pt idx="112">
                  <c:v>0.74379550582226583</c:v>
                </c:pt>
                <c:pt idx="113">
                  <c:v>0.74753314063590137</c:v>
                </c:pt>
                <c:pt idx="114">
                  <c:v>0.75118311340361055</c:v>
                </c:pt>
                <c:pt idx="115">
                  <c:v>0.75474862677680388</c:v>
                </c:pt>
                <c:pt idx="116">
                  <c:v>0.7582267603497953</c:v>
                </c:pt>
                <c:pt idx="117">
                  <c:v>0.76161462300076166</c:v>
                </c:pt>
                <c:pt idx="118">
                  <c:v>0.76492886161586959</c:v>
                </c:pt>
                <c:pt idx="119">
                  <c:v>0.76815404049025293</c:v>
                </c:pt>
                <c:pt idx="120">
                  <c:v>0.77130736598534511</c:v>
                </c:pt>
                <c:pt idx="121">
                  <c:v>0.77436674008810569</c:v>
                </c:pt>
                <c:pt idx="122">
                  <c:v>0.77735646976515183</c:v>
                </c:pt>
                <c:pt idx="123">
                  <c:v>0.78026789197624524</c:v>
                </c:pt>
                <c:pt idx="124">
                  <c:v>0.78310579759325483</c:v>
                </c:pt>
                <c:pt idx="125">
                  <c:v>0.7858820652980677</c:v>
                </c:pt>
                <c:pt idx="126">
                  <c:v>0.78858134216544451</c:v>
                </c:pt>
                <c:pt idx="127">
                  <c:v>0.79121574695162167</c:v>
                </c:pt>
                <c:pt idx="128">
                  <c:v>0.7937837909349893</c:v>
                </c:pt>
                <c:pt idx="129">
                  <c:v>0.79628400796283993</c:v>
                </c:pt>
                <c:pt idx="130">
                  <c:v>0.79872204472843467</c:v>
                </c:pt>
                <c:pt idx="131">
                  <c:v>0.8011180046820896</c:v>
                </c:pt>
                <c:pt idx="132">
                  <c:v>0.8034566490501357</c:v>
                </c:pt>
                <c:pt idx="133">
                  <c:v>0.80572963294538957</c:v>
                </c:pt>
                <c:pt idx="134">
                  <c:v>0.80795023026581558</c:v>
                </c:pt>
                <c:pt idx="135">
                  <c:v>0.81011017498379778</c:v>
                </c:pt>
                <c:pt idx="136">
                  <c:v>0.81222305450016685</c:v>
                </c:pt>
                <c:pt idx="137">
                  <c:v>0.81427330631152295</c:v>
                </c:pt>
                <c:pt idx="138">
                  <c:v>0.81628210709621241</c:v>
                </c:pt>
                <c:pt idx="139">
                  <c:v>0.81823388761103</c:v>
                </c:pt>
                <c:pt idx="140">
                  <c:v>0.82013523118700926</c:v>
                </c:pt>
                <c:pt idx="141">
                  <c:v>0.8219778613962665</c:v>
                </c:pt>
                <c:pt idx="142">
                  <c:v>0.82376846614311605</c:v>
                </c:pt>
                <c:pt idx="143">
                  <c:v>0.8255214543853534</c:v>
                </c:pt>
                <c:pt idx="144">
                  <c:v>0.82722108862295274</c:v>
                </c:pt>
                <c:pt idx="145">
                  <c:v>0.82888193037391777</c:v>
                </c:pt>
                <c:pt idx="146">
                  <c:v>0.83050346965893995</c:v>
                </c:pt>
                <c:pt idx="147">
                  <c:v>0.8320852055250455</c:v>
                </c:pt>
                <c:pt idx="148">
                  <c:v>0.83361892500208412</c:v>
                </c:pt>
                <c:pt idx="149">
                  <c:v>0.83511956128385711</c:v>
                </c:pt>
                <c:pt idx="150">
                  <c:v>0.83658672615727847</c:v>
                </c:pt>
                <c:pt idx="151">
                  <c:v>0.83801223497863053</c:v>
                </c:pt>
                <c:pt idx="152">
                  <c:v>0.83940346393829446</c:v>
                </c:pt>
                <c:pt idx="153">
                  <c:v>0.84076004708256258</c:v>
                </c:pt>
                <c:pt idx="154">
                  <c:v>0.84208162577892542</c:v>
                </c:pt>
                <c:pt idx="155">
                  <c:v>0.84336784894344752</c:v>
                </c:pt>
                <c:pt idx="156">
                  <c:v>0.84462629978602799</c:v>
                </c:pt>
                <c:pt idx="157">
                  <c:v>0.845848762241311</c:v>
                </c:pt>
                <c:pt idx="158">
                  <c:v>0.84704287919286214</c:v>
                </c:pt>
                <c:pt idx="159">
                  <c:v>0.84820839537820658</c:v>
                </c:pt>
                <c:pt idx="160">
                  <c:v>0.84934506058661441</c:v>
                </c:pt>
                <c:pt idx="161">
                  <c:v>0.85045262978852076</c:v>
                </c:pt>
                <c:pt idx="162">
                  <c:v>0.85153086326306626</c:v>
                </c:pt>
                <c:pt idx="163">
                  <c:v>0.85257952672363146</c:v>
                </c:pt>
                <c:pt idx="164">
                  <c:v>0.85360648740930412</c:v>
                </c:pt>
                <c:pt idx="165">
                  <c:v>0.85461157903732754</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1-EF6A-4ECA-BB82-E80A65BC7D3B}"/>
            </c:ext>
          </c:extLst>
        </c:ser>
        <c:dLbls>
          <c:showLegendKey val="0"/>
          <c:showVal val="0"/>
          <c:showCatName val="0"/>
          <c:showSerName val="0"/>
          <c:showPercent val="0"/>
          <c:showBubbleSize val="0"/>
        </c:dLbls>
        <c:axId val="140854400"/>
        <c:axId val="140856320"/>
      </c:scatterChart>
      <c:valAx>
        <c:axId val="140854400"/>
        <c:scaling>
          <c:orientation val="minMax"/>
          <c:max val="100"/>
          <c:min val="0"/>
        </c:scaling>
        <c:delete val="0"/>
        <c:axPos val="b"/>
        <c:title>
          <c:tx>
            <c:rich>
              <a:bodyPr/>
              <a:lstStyle/>
              <a:p>
                <a:pPr>
                  <a:defRPr sz="1050"/>
                </a:pPr>
                <a:r>
                  <a:rPr lang="en-US" sz="1050"/>
                  <a:t>Temperature in C</a:t>
                </a:r>
              </a:p>
            </c:rich>
          </c:tx>
          <c:overlay val="0"/>
        </c:title>
        <c:numFmt formatCode="General" sourceLinked="1"/>
        <c:majorTickMark val="none"/>
        <c:minorTickMark val="none"/>
        <c:tickLblPos val="low"/>
        <c:crossAx val="140856320"/>
        <c:crosses val="autoZero"/>
        <c:crossBetween val="midCat"/>
      </c:valAx>
      <c:valAx>
        <c:axId val="140856320"/>
        <c:scaling>
          <c:orientation val="minMax"/>
        </c:scaling>
        <c:delete val="0"/>
        <c:axPos val="l"/>
        <c:majorGridlines/>
        <c:title>
          <c:tx>
            <c:rich>
              <a:bodyPr/>
              <a:lstStyle/>
              <a:p>
                <a:pPr>
                  <a:defRPr sz="1050"/>
                </a:pPr>
                <a:r>
                  <a:rPr lang="en-US" sz="1050"/>
                  <a:t>milli-watts</a:t>
                </a:r>
              </a:p>
            </c:rich>
          </c:tx>
          <c:overlay val="0"/>
        </c:title>
        <c:numFmt formatCode="0.000000" sourceLinked="0"/>
        <c:majorTickMark val="none"/>
        <c:minorTickMark val="none"/>
        <c:tickLblPos val="low"/>
        <c:crossAx val="140854400"/>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Resistance Tolerance vs Temperature</a:t>
            </a:r>
          </a:p>
        </c:rich>
      </c:tx>
      <c:layout>
        <c:manualLayout>
          <c:xMode val="edge"/>
          <c:yMode val="edge"/>
          <c:x val="0.18064070921749956"/>
          <c:y val="2.5338367738215618E-2"/>
        </c:manualLayout>
      </c:layout>
      <c:overlay val="0"/>
    </c:title>
    <c:autoTitleDeleted val="0"/>
    <c:plotArea>
      <c:layout/>
      <c:scatterChart>
        <c:scatterStyle val="lineMarker"/>
        <c:varyColors val="0"/>
        <c:ser>
          <c:idx val="3"/>
          <c:order val="0"/>
          <c:tx>
            <c:v>TI Thermistor Max High Tolerance</c:v>
          </c:tx>
          <c:spPr>
            <a:ln>
              <a:solidFill>
                <a:srgbClr val="0070C0"/>
              </a:solidFill>
            </a:ln>
          </c:spPr>
          <c:marker>
            <c:symbol val="none"/>
          </c:marker>
          <c:xVal>
            <c:numRef>
              <c:f>'NTC Thermistor Comparison'!$M$36:$M$251</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Comparison'!$J$36:$J$251</c:f>
              <c:numCache>
                <c:formatCode>0.00</c:formatCode>
                <c:ptCount val="216"/>
                <c:pt idx="0">
                  <c:v>1.499999999999988</c:v>
                </c:pt>
                <c:pt idx="1">
                  <c:v>1.4999999999999836</c:v>
                </c:pt>
                <c:pt idx="2">
                  <c:v>1.4999999999999891</c:v>
                </c:pt>
                <c:pt idx="3">
                  <c:v>1.4999999999999878</c:v>
                </c:pt>
                <c:pt idx="4">
                  <c:v>1.4999999999999911</c:v>
                </c:pt>
                <c:pt idx="5">
                  <c:v>1.4999999999999842</c:v>
                </c:pt>
                <c:pt idx="6">
                  <c:v>1.4999999999999938</c:v>
                </c:pt>
                <c:pt idx="7">
                  <c:v>1.4999999999999929</c:v>
                </c:pt>
                <c:pt idx="8">
                  <c:v>1.4999999999999962</c:v>
                </c:pt>
                <c:pt idx="9">
                  <c:v>1.4999999999999922</c:v>
                </c:pt>
                <c:pt idx="10">
                  <c:v>1.4999999999999842</c:v>
                </c:pt>
                <c:pt idx="11">
                  <c:v>1.4999999999999882</c:v>
                </c:pt>
                <c:pt idx="12">
                  <c:v>1.4999999999999956</c:v>
                </c:pt>
                <c:pt idx="13">
                  <c:v>1.4999999999999858</c:v>
                </c:pt>
                <c:pt idx="14">
                  <c:v>1.4999999999999898</c:v>
                </c:pt>
                <c:pt idx="15">
                  <c:v>1.4999999999999885</c:v>
                </c:pt>
                <c:pt idx="16">
                  <c:v>1.4999999999999898</c:v>
                </c:pt>
                <c:pt idx="17">
                  <c:v>1.4999999999999882</c:v>
                </c:pt>
                <c:pt idx="18">
                  <c:v>1.4999999999999929</c:v>
                </c:pt>
                <c:pt idx="19">
                  <c:v>1.4999999999999882</c:v>
                </c:pt>
                <c:pt idx="20">
                  <c:v>1.4999999999999845</c:v>
                </c:pt>
                <c:pt idx="21">
                  <c:v>1.4999999999999916</c:v>
                </c:pt>
                <c:pt idx="22">
                  <c:v>1.4999999999999851</c:v>
                </c:pt>
                <c:pt idx="23">
                  <c:v>1.4999999999999887</c:v>
                </c:pt>
                <c:pt idx="24">
                  <c:v>1.4999999999999909</c:v>
                </c:pt>
                <c:pt idx="25">
                  <c:v>1.4999999999999931</c:v>
                </c:pt>
                <c:pt idx="26">
                  <c:v>1.4999999999999867</c:v>
                </c:pt>
                <c:pt idx="27">
                  <c:v>1.4999999999999845</c:v>
                </c:pt>
                <c:pt idx="28">
                  <c:v>1.4999999999999907</c:v>
                </c:pt>
                <c:pt idx="29">
                  <c:v>1.4999999999999867</c:v>
                </c:pt>
                <c:pt idx="30">
                  <c:v>1.4999999999999876</c:v>
                </c:pt>
                <c:pt idx="31">
                  <c:v>1.4999999999999889</c:v>
                </c:pt>
                <c:pt idx="32">
                  <c:v>1.4999999999999953</c:v>
                </c:pt>
                <c:pt idx="33">
                  <c:v>1.4999999999999807</c:v>
                </c:pt>
                <c:pt idx="34">
                  <c:v>1.4999999999999971</c:v>
                </c:pt>
                <c:pt idx="35">
                  <c:v>1.4999999999999964</c:v>
                </c:pt>
                <c:pt idx="36">
                  <c:v>1.4999999999999878</c:v>
                </c:pt>
                <c:pt idx="37">
                  <c:v>1.4999999999999802</c:v>
                </c:pt>
                <c:pt idx="38">
                  <c:v>1.4999999999999944</c:v>
                </c:pt>
                <c:pt idx="39">
                  <c:v>1.4999999999999865</c:v>
                </c:pt>
                <c:pt idx="40">
                  <c:v>1.0000000000000002</c:v>
                </c:pt>
                <c:pt idx="41">
                  <c:v>1.0000000000000029</c:v>
                </c:pt>
                <c:pt idx="42">
                  <c:v>1.0000000000000067</c:v>
                </c:pt>
                <c:pt idx="43">
                  <c:v>0.99999999999999911</c:v>
                </c:pt>
                <c:pt idx="44">
                  <c:v>1.0000000000000038</c:v>
                </c:pt>
                <c:pt idx="45">
                  <c:v>0.99999999999999467</c:v>
                </c:pt>
                <c:pt idx="46">
                  <c:v>1.000000000000002</c:v>
                </c:pt>
                <c:pt idx="47">
                  <c:v>1.0000000000000078</c:v>
                </c:pt>
                <c:pt idx="48">
                  <c:v>1.0000000000000093</c:v>
                </c:pt>
                <c:pt idx="49">
                  <c:v>0.99999999999999689</c:v>
                </c:pt>
                <c:pt idx="50">
                  <c:v>0.99999999999999478</c:v>
                </c:pt>
                <c:pt idx="51">
                  <c:v>1.0000000000000011</c:v>
                </c:pt>
                <c:pt idx="52">
                  <c:v>1.0000000000000069</c:v>
                </c:pt>
                <c:pt idx="53">
                  <c:v>0.99999999999999833</c:v>
                </c:pt>
                <c:pt idx="54">
                  <c:v>0.99999999999999412</c:v>
                </c:pt>
                <c:pt idx="55">
                  <c:v>1.0000000000000067</c:v>
                </c:pt>
                <c:pt idx="56">
                  <c:v>1.0000000000000036</c:v>
                </c:pt>
                <c:pt idx="57">
                  <c:v>1.0000000000000042</c:v>
                </c:pt>
                <c:pt idx="58">
                  <c:v>1.0000000000000036</c:v>
                </c:pt>
                <c:pt idx="59">
                  <c:v>1.0000000000000089</c:v>
                </c:pt>
                <c:pt idx="60">
                  <c:v>1.0000000000000022</c:v>
                </c:pt>
                <c:pt idx="61">
                  <c:v>0.99999999999999833</c:v>
                </c:pt>
                <c:pt idx="62">
                  <c:v>1.000000000000006</c:v>
                </c:pt>
                <c:pt idx="63">
                  <c:v>1.0000000000000084</c:v>
                </c:pt>
                <c:pt idx="64">
                  <c:v>1.0000000000000031</c:v>
                </c:pt>
                <c:pt idx="65">
                  <c:v>0.99999999999999911</c:v>
                </c:pt>
                <c:pt idx="66">
                  <c:v>1</c:v>
                </c:pt>
                <c:pt idx="67">
                  <c:v>1.0000000000000036</c:v>
                </c:pt>
                <c:pt idx="68">
                  <c:v>1.0000000000000027</c:v>
                </c:pt>
                <c:pt idx="69">
                  <c:v>1.0000000000000016</c:v>
                </c:pt>
                <c:pt idx="70">
                  <c:v>0.99999999999999956</c:v>
                </c:pt>
                <c:pt idx="71">
                  <c:v>1.0000000000000071</c:v>
                </c:pt>
                <c:pt idx="72">
                  <c:v>0.99999999999999567</c:v>
                </c:pt>
                <c:pt idx="73">
                  <c:v>0.99999999999999989</c:v>
                </c:pt>
                <c:pt idx="74">
                  <c:v>0.99999999999999689</c:v>
                </c:pt>
                <c:pt idx="75">
                  <c:v>0.99999999999999345</c:v>
                </c:pt>
                <c:pt idx="76">
                  <c:v>1.0000000000000078</c:v>
                </c:pt>
                <c:pt idx="77">
                  <c:v>1.0000000000000016</c:v>
                </c:pt>
                <c:pt idx="78">
                  <c:v>0.99999999999999956</c:v>
                </c:pt>
                <c:pt idx="79">
                  <c:v>1.0000000000000036</c:v>
                </c:pt>
                <c:pt idx="80">
                  <c:v>0.99999999999999378</c:v>
                </c:pt>
                <c:pt idx="81">
                  <c:v>0.99999999999999534</c:v>
                </c:pt>
                <c:pt idx="82">
                  <c:v>0.99999999999999478</c:v>
                </c:pt>
                <c:pt idx="83">
                  <c:v>1.0000000000000067</c:v>
                </c:pt>
                <c:pt idx="84">
                  <c:v>1.0000000000000069</c:v>
                </c:pt>
                <c:pt idx="85">
                  <c:v>1</c:v>
                </c:pt>
                <c:pt idx="86">
                  <c:v>1.0000000000000011</c:v>
                </c:pt>
                <c:pt idx="87">
                  <c:v>1.000000000000004</c:v>
                </c:pt>
                <c:pt idx="88">
                  <c:v>0.99999999999999778</c:v>
                </c:pt>
                <c:pt idx="89">
                  <c:v>0.99999999999999811</c:v>
                </c:pt>
                <c:pt idx="90">
                  <c:v>1.0000000000000002</c:v>
                </c:pt>
                <c:pt idx="91">
                  <c:v>0.99999999999999412</c:v>
                </c:pt>
                <c:pt idx="92">
                  <c:v>0.99999999999999623</c:v>
                </c:pt>
                <c:pt idx="93">
                  <c:v>1.0000000000000029</c:v>
                </c:pt>
                <c:pt idx="94">
                  <c:v>1.0000000000000044</c:v>
                </c:pt>
                <c:pt idx="95">
                  <c:v>1.000000000000004</c:v>
                </c:pt>
                <c:pt idx="96">
                  <c:v>0.99999999999999745</c:v>
                </c:pt>
                <c:pt idx="97">
                  <c:v>1.0000000000000082</c:v>
                </c:pt>
                <c:pt idx="98">
                  <c:v>1.000000000000008</c:v>
                </c:pt>
                <c:pt idx="99">
                  <c:v>0.99999999999999512</c:v>
                </c:pt>
                <c:pt idx="100">
                  <c:v>0.99999999999999356</c:v>
                </c:pt>
                <c:pt idx="101">
                  <c:v>1.000000000000006</c:v>
                </c:pt>
                <c:pt idx="102">
                  <c:v>1.0000000000000016</c:v>
                </c:pt>
                <c:pt idx="103">
                  <c:v>1.0000000000000044</c:v>
                </c:pt>
                <c:pt idx="104">
                  <c:v>1.0000000000000044</c:v>
                </c:pt>
                <c:pt idx="105">
                  <c:v>1.0000000000000011</c:v>
                </c:pt>
                <c:pt idx="106">
                  <c:v>1.0000000000000044</c:v>
                </c:pt>
                <c:pt idx="107">
                  <c:v>1.0000000000000049</c:v>
                </c:pt>
                <c:pt idx="108">
                  <c:v>1.0000000000000036</c:v>
                </c:pt>
                <c:pt idx="109">
                  <c:v>0.99999999999999623</c:v>
                </c:pt>
                <c:pt idx="110">
                  <c:v>1.0000000000000033</c:v>
                </c:pt>
                <c:pt idx="111">
                  <c:v>1.4999999999999905</c:v>
                </c:pt>
                <c:pt idx="112">
                  <c:v>1.4999999999999947</c:v>
                </c:pt>
                <c:pt idx="113">
                  <c:v>1.4999999999999929</c:v>
                </c:pt>
                <c:pt idx="114">
                  <c:v>1.49999999999999</c:v>
                </c:pt>
                <c:pt idx="115">
                  <c:v>1.499999999999988</c:v>
                </c:pt>
                <c:pt idx="116">
                  <c:v>1.4999999999999922</c:v>
                </c:pt>
                <c:pt idx="117">
                  <c:v>1.4999999999999936</c:v>
                </c:pt>
                <c:pt idx="118">
                  <c:v>1.4999999999999967</c:v>
                </c:pt>
                <c:pt idx="119">
                  <c:v>1.4999999999999942</c:v>
                </c:pt>
                <c:pt idx="120">
                  <c:v>1.4999999999999913</c:v>
                </c:pt>
                <c:pt idx="121">
                  <c:v>1.4999999999999949</c:v>
                </c:pt>
                <c:pt idx="122">
                  <c:v>1.4999999999999845</c:v>
                </c:pt>
                <c:pt idx="123">
                  <c:v>1.4999999999999936</c:v>
                </c:pt>
                <c:pt idx="124">
                  <c:v>1.4999999999999898</c:v>
                </c:pt>
                <c:pt idx="125">
                  <c:v>1.4999999999999938</c:v>
                </c:pt>
                <c:pt idx="126">
                  <c:v>1.4999999999999882</c:v>
                </c:pt>
                <c:pt idx="127">
                  <c:v>1.4999999999999933</c:v>
                </c:pt>
                <c:pt idx="128">
                  <c:v>1.4999999999999931</c:v>
                </c:pt>
                <c:pt idx="129">
                  <c:v>1.4999999999999962</c:v>
                </c:pt>
                <c:pt idx="130">
                  <c:v>1.4999999999999867</c:v>
                </c:pt>
                <c:pt idx="131">
                  <c:v>1.4999999999999867</c:v>
                </c:pt>
                <c:pt idx="132">
                  <c:v>1.4999999999999929</c:v>
                </c:pt>
                <c:pt idx="133">
                  <c:v>1.4999999999999922</c:v>
                </c:pt>
                <c:pt idx="134">
                  <c:v>1.499999999999994</c:v>
                </c:pt>
                <c:pt idx="135">
                  <c:v>1.4999999999999858</c:v>
                </c:pt>
                <c:pt idx="136">
                  <c:v>1.49999999999999</c:v>
                </c:pt>
                <c:pt idx="137">
                  <c:v>1.4999999999999938</c:v>
                </c:pt>
                <c:pt idx="138">
                  <c:v>1.4999999999999858</c:v>
                </c:pt>
                <c:pt idx="139">
                  <c:v>1.4999999999999893</c:v>
                </c:pt>
                <c:pt idx="140">
                  <c:v>1.4999999999999933</c:v>
                </c:pt>
                <c:pt idx="141">
                  <c:v>1.4999999999999862</c:v>
                </c:pt>
                <c:pt idx="142">
                  <c:v>1.4999999999999933</c:v>
                </c:pt>
                <c:pt idx="143">
                  <c:v>1.4999999999999922</c:v>
                </c:pt>
                <c:pt idx="144">
                  <c:v>1.4999999999999856</c:v>
                </c:pt>
                <c:pt idx="145">
                  <c:v>1.4999999999999865</c:v>
                </c:pt>
                <c:pt idx="146">
                  <c:v>1.4999999999999862</c:v>
                </c:pt>
                <c:pt idx="147">
                  <c:v>1.4999999999999876</c:v>
                </c:pt>
                <c:pt idx="148">
                  <c:v>1.4999999999999825</c:v>
                </c:pt>
                <c:pt idx="149">
                  <c:v>1.4999999999999853</c:v>
                </c:pt>
                <c:pt idx="150">
                  <c:v>1.4999999999999896</c:v>
                </c:pt>
                <c:pt idx="151">
                  <c:v>1.4999999999999876</c:v>
                </c:pt>
                <c:pt idx="152">
                  <c:v>1.4999999999999838</c:v>
                </c:pt>
                <c:pt idx="153">
                  <c:v>1.4999999999999942</c:v>
                </c:pt>
                <c:pt idx="154">
                  <c:v>1.4999999999999911</c:v>
                </c:pt>
                <c:pt idx="155">
                  <c:v>1.49999999999999</c:v>
                </c:pt>
                <c:pt idx="156">
                  <c:v>1.4999999999999871</c:v>
                </c:pt>
                <c:pt idx="157">
                  <c:v>1.4999999999999984</c:v>
                </c:pt>
                <c:pt idx="158">
                  <c:v>1.4999999999999978</c:v>
                </c:pt>
                <c:pt idx="159">
                  <c:v>1.4999999999999811</c:v>
                </c:pt>
                <c:pt idx="160">
                  <c:v>1.4999999999999878</c:v>
                </c:pt>
                <c:pt idx="161">
                  <c:v>1.4999999999999929</c:v>
                </c:pt>
                <c:pt idx="162">
                  <c:v>1.4999999999999929</c:v>
                </c:pt>
                <c:pt idx="163">
                  <c:v>1.4999999999999858</c:v>
                </c:pt>
                <c:pt idx="164">
                  <c:v>1.4999999999999891</c:v>
                </c:pt>
                <c:pt idx="165">
                  <c:v>1.4999999999999809</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0"/>
          <c:extLst>
            <c:ext xmlns:c16="http://schemas.microsoft.com/office/drawing/2014/chart" uri="{C3380CC4-5D6E-409C-BE32-E72D297353CC}">
              <c16:uniqueId val="{00000000-B88E-48CD-AEE0-785F5C4DA5BB}"/>
            </c:ext>
          </c:extLst>
        </c:ser>
        <c:ser>
          <c:idx val="0"/>
          <c:order val="1"/>
          <c:tx>
            <c:v>TI Thermistor Max Low Tolerance</c:v>
          </c:tx>
          <c:spPr>
            <a:ln>
              <a:solidFill>
                <a:srgbClr val="0070C0"/>
              </a:solidFill>
            </a:ln>
          </c:spPr>
          <c:marker>
            <c:symbol val="none"/>
          </c:marker>
          <c:xVal>
            <c:numRef>
              <c:f>'NTC Thermistor Comparison'!$B$36:$B$251</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Comparison'!$I$36:$I$251</c:f>
              <c:numCache>
                <c:formatCode>0.00</c:formatCode>
                <c:ptCount val="216"/>
                <c:pt idx="0">
                  <c:v>-1.5000000000000018</c:v>
                </c:pt>
                <c:pt idx="1">
                  <c:v>-1.4999999999999976</c:v>
                </c:pt>
                <c:pt idx="2">
                  <c:v>-1.5000000000000029</c:v>
                </c:pt>
                <c:pt idx="3">
                  <c:v>-1.5000000000000016</c:v>
                </c:pt>
                <c:pt idx="4">
                  <c:v>-1.5000000000000047</c:v>
                </c:pt>
                <c:pt idx="5">
                  <c:v>-1.4999999999999978</c:v>
                </c:pt>
                <c:pt idx="6">
                  <c:v>-1.5000000000000073</c:v>
                </c:pt>
                <c:pt idx="7">
                  <c:v>-1.5000000000000062</c:v>
                </c:pt>
                <c:pt idx="8">
                  <c:v>-1.4999999999999962</c:v>
                </c:pt>
                <c:pt idx="9">
                  <c:v>-1.5000000000000053</c:v>
                </c:pt>
                <c:pt idx="10">
                  <c:v>-1.4999999999999973</c:v>
                </c:pt>
                <c:pt idx="11">
                  <c:v>-1.5000000000000011</c:v>
                </c:pt>
                <c:pt idx="12">
                  <c:v>-1.4999999999999956</c:v>
                </c:pt>
                <c:pt idx="13">
                  <c:v>-1.4999999999999987</c:v>
                </c:pt>
                <c:pt idx="14">
                  <c:v>-1.5000000000000024</c:v>
                </c:pt>
                <c:pt idx="15">
                  <c:v>-1.5000000000000011</c:v>
                </c:pt>
                <c:pt idx="16">
                  <c:v>-1.5000000000000024</c:v>
                </c:pt>
                <c:pt idx="17">
                  <c:v>-1.5000000000000009</c:v>
                </c:pt>
                <c:pt idx="18">
                  <c:v>-1.5000000000000053</c:v>
                </c:pt>
                <c:pt idx="19">
                  <c:v>-1.5000000000000009</c:v>
                </c:pt>
                <c:pt idx="20">
                  <c:v>-1.4999999999999967</c:v>
                </c:pt>
                <c:pt idx="21">
                  <c:v>-1.5000000000000038</c:v>
                </c:pt>
                <c:pt idx="22">
                  <c:v>-1.4999999999999971</c:v>
                </c:pt>
                <c:pt idx="23">
                  <c:v>-1.5000000000000007</c:v>
                </c:pt>
                <c:pt idx="24">
                  <c:v>-1.5000000000000027</c:v>
                </c:pt>
                <c:pt idx="25">
                  <c:v>-1.5000000000000051</c:v>
                </c:pt>
                <c:pt idx="26">
                  <c:v>-1.4999999999999984</c:v>
                </c:pt>
                <c:pt idx="27">
                  <c:v>-1.4999999999999962</c:v>
                </c:pt>
                <c:pt idx="28">
                  <c:v>-1.5000000000000024</c:v>
                </c:pt>
                <c:pt idx="29">
                  <c:v>-1.4999999999999982</c:v>
                </c:pt>
                <c:pt idx="30">
                  <c:v>-1.4999999999999991</c:v>
                </c:pt>
                <c:pt idx="31">
                  <c:v>-1.5000000000000002</c:v>
                </c:pt>
                <c:pt idx="32">
                  <c:v>-1.5000000000000069</c:v>
                </c:pt>
                <c:pt idx="33">
                  <c:v>-1.5000000000000031</c:v>
                </c:pt>
                <c:pt idx="34">
                  <c:v>-1.4999999999999971</c:v>
                </c:pt>
                <c:pt idx="35">
                  <c:v>-1.4999999999999964</c:v>
                </c:pt>
                <c:pt idx="36">
                  <c:v>-1.4999999999999989</c:v>
                </c:pt>
                <c:pt idx="37">
                  <c:v>-1.5000000000000022</c:v>
                </c:pt>
                <c:pt idx="38">
                  <c:v>-1.4999999999999944</c:v>
                </c:pt>
                <c:pt idx="39">
                  <c:v>-1.500000000000008</c:v>
                </c:pt>
                <c:pt idx="40">
                  <c:v>-1.0000000000000002</c:v>
                </c:pt>
                <c:pt idx="41">
                  <c:v>-1.0000000000000029</c:v>
                </c:pt>
                <c:pt idx="42">
                  <c:v>-1.0000000000000067</c:v>
                </c:pt>
                <c:pt idx="43">
                  <c:v>-0.99999999999999911</c:v>
                </c:pt>
                <c:pt idx="44">
                  <c:v>-1.0000000000000038</c:v>
                </c:pt>
                <c:pt idx="45">
                  <c:v>-0.99999999999999467</c:v>
                </c:pt>
                <c:pt idx="46">
                  <c:v>-1.000000000000002</c:v>
                </c:pt>
                <c:pt idx="47">
                  <c:v>-1.0000000000000078</c:v>
                </c:pt>
                <c:pt idx="48">
                  <c:v>-1.0000000000000093</c:v>
                </c:pt>
                <c:pt idx="49">
                  <c:v>-0.99999999999999689</c:v>
                </c:pt>
                <c:pt idx="50">
                  <c:v>-0.99999999999999478</c:v>
                </c:pt>
                <c:pt idx="51">
                  <c:v>-1.0000000000000011</c:v>
                </c:pt>
                <c:pt idx="52">
                  <c:v>-1.0000000000000069</c:v>
                </c:pt>
                <c:pt idx="53">
                  <c:v>-0.99999999999999833</c:v>
                </c:pt>
                <c:pt idx="54">
                  <c:v>-0.99999999999999412</c:v>
                </c:pt>
                <c:pt idx="55">
                  <c:v>-1.0000000000000067</c:v>
                </c:pt>
                <c:pt idx="56">
                  <c:v>-1.0000000000000036</c:v>
                </c:pt>
                <c:pt idx="57">
                  <c:v>-1.0000000000000042</c:v>
                </c:pt>
                <c:pt idx="58">
                  <c:v>-1.0000000000000036</c:v>
                </c:pt>
                <c:pt idx="59">
                  <c:v>-1.0000000000000089</c:v>
                </c:pt>
                <c:pt idx="60">
                  <c:v>-1.0000000000000022</c:v>
                </c:pt>
                <c:pt idx="61">
                  <c:v>-0.99999999999999833</c:v>
                </c:pt>
                <c:pt idx="62">
                  <c:v>-1.000000000000006</c:v>
                </c:pt>
                <c:pt idx="63">
                  <c:v>-1.0000000000000084</c:v>
                </c:pt>
                <c:pt idx="64">
                  <c:v>-1.0000000000000031</c:v>
                </c:pt>
                <c:pt idx="65">
                  <c:v>-0.99999999999999911</c:v>
                </c:pt>
                <c:pt idx="66">
                  <c:v>-1</c:v>
                </c:pt>
                <c:pt idx="67">
                  <c:v>-1.0000000000000036</c:v>
                </c:pt>
                <c:pt idx="68">
                  <c:v>-1.0000000000000027</c:v>
                </c:pt>
                <c:pt idx="69">
                  <c:v>-1.0000000000000016</c:v>
                </c:pt>
                <c:pt idx="70">
                  <c:v>-0.99999999999999956</c:v>
                </c:pt>
                <c:pt idx="71">
                  <c:v>-1.0000000000000071</c:v>
                </c:pt>
                <c:pt idx="72">
                  <c:v>-0.99999999999999567</c:v>
                </c:pt>
                <c:pt idx="73">
                  <c:v>-0.99999999999999989</c:v>
                </c:pt>
                <c:pt idx="74">
                  <c:v>-0.99999999999999689</c:v>
                </c:pt>
                <c:pt idx="75">
                  <c:v>-0.99999999999999345</c:v>
                </c:pt>
                <c:pt idx="76">
                  <c:v>-1.0000000000000078</c:v>
                </c:pt>
                <c:pt idx="77">
                  <c:v>-1.0000000000000016</c:v>
                </c:pt>
                <c:pt idx="78">
                  <c:v>-0.99999999999999956</c:v>
                </c:pt>
                <c:pt idx="79">
                  <c:v>-1.0000000000000036</c:v>
                </c:pt>
                <c:pt idx="80">
                  <c:v>-0.99999999999999378</c:v>
                </c:pt>
                <c:pt idx="81">
                  <c:v>-0.99999999999999534</c:v>
                </c:pt>
                <c:pt idx="82">
                  <c:v>-0.99999999999999478</c:v>
                </c:pt>
                <c:pt idx="83">
                  <c:v>-1.0000000000000067</c:v>
                </c:pt>
                <c:pt idx="84">
                  <c:v>-1.0000000000000069</c:v>
                </c:pt>
                <c:pt idx="85">
                  <c:v>-1</c:v>
                </c:pt>
                <c:pt idx="86">
                  <c:v>-1.0000000000000011</c:v>
                </c:pt>
                <c:pt idx="87">
                  <c:v>-1.000000000000004</c:v>
                </c:pt>
                <c:pt idx="88">
                  <c:v>-0.99999999999999778</c:v>
                </c:pt>
                <c:pt idx="89">
                  <c:v>-0.99999999999999811</c:v>
                </c:pt>
                <c:pt idx="90">
                  <c:v>-1.0000000000000002</c:v>
                </c:pt>
                <c:pt idx="91">
                  <c:v>-0.99999999999999412</c:v>
                </c:pt>
                <c:pt idx="92">
                  <c:v>-0.99999999999999623</c:v>
                </c:pt>
                <c:pt idx="93">
                  <c:v>-1.0000000000000029</c:v>
                </c:pt>
                <c:pt idx="94">
                  <c:v>-1.0000000000000044</c:v>
                </c:pt>
                <c:pt idx="95">
                  <c:v>-1.000000000000004</c:v>
                </c:pt>
                <c:pt idx="96">
                  <c:v>-0.99999999999999745</c:v>
                </c:pt>
                <c:pt idx="97">
                  <c:v>-1.0000000000000082</c:v>
                </c:pt>
                <c:pt idx="98">
                  <c:v>-1.000000000000008</c:v>
                </c:pt>
                <c:pt idx="99">
                  <c:v>-0.99999999999999512</c:v>
                </c:pt>
                <c:pt idx="100">
                  <c:v>-0.99999999999999356</c:v>
                </c:pt>
                <c:pt idx="101">
                  <c:v>-1.000000000000006</c:v>
                </c:pt>
                <c:pt idx="102">
                  <c:v>-1.0000000000000016</c:v>
                </c:pt>
                <c:pt idx="103">
                  <c:v>-1.0000000000000044</c:v>
                </c:pt>
                <c:pt idx="104">
                  <c:v>-1.0000000000000044</c:v>
                </c:pt>
                <c:pt idx="105">
                  <c:v>-1.0000000000000011</c:v>
                </c:pt>
                <c:pt idx="106">
                  <c:v>-1.0000000000000044</c:v>
                </c:pt>
                <c:pt idx="107">
                  <c:v>-1.0000000000000049</c:v>
                </c:pt>
                <c:pt idx="108">
                  <c:v>-1.0000000000000036</c:v>
                </c:pt>
                <c:pt idx="109">
                  <c:v>-0.99999999999999623</c:v>
                </c:pt>
                <c:pt idx="110">
                  <c:v>-1.0000000000000033</c:v>
                </c:pt>
                <c:pt idx="111">
                  <c:v>-1.5000000000000042</c:v>
                </c:pt>
                <c:pt idx="112">
                  <c:v>-1.4999999999999947</c:v>
                </c:pt>
                <c:pt idx="113">
                  <c:v>-1.5000000000000067</c:v>
                </c:pt>
                <c:pt idx="114">
                  <c:v>-1.5000000000000038</c:v>
                </c:pt>
                <c:pt idx="115">
                  <c:v>-1.5000000000000016</c:v>
                </c:pt>
                <c:pt idx="116">
                  <c:v>-1.5000000000000058</c:v>
                </c:pt>
                <c:pt idx="117">
                  <c:v>-1.5000000000000069</c:v>
                </c:pt>
                <c:pt idx="118">
                  <c:v>-1.4999999999999967</c:v>
                </c:pt>
                <c:pt idx="119">
                  <c:v>-1.5000000000000073</c:v>
                </c:pt>
                <c:pt idx="120">
                  <c:v>-1.5000000000000047</c:v>
                </c:pt>
                <c:pt idx="121">
                  <c:v>-1.4999999999999949</c:v>
                </c:pt>
                <c:pt idx="122">
                  <c:v>-1.4999999999999976</c:v>
                </c:pt>
                <c:pt idx="123">
                  <c:v>-1.5000000000000064</c:v>
                </c:pt>
                <c:pt idx="124">
                  <c:v>-1.5000000000000027</c:v>
                </c:pt>
                <c:pt idx="125">
                  <c:v>-1.5000000000000064</c:v>
                </c:pt>
                <c:pt idx="126">
                  <c:v>-1.5000000000000009</c:v>
                </c:pt>
                <c:pt idx="127">
                  <c:v>-1.5000000000000058</c:v>
                </c:pt>
                <c:pt idx="128">
                  <c:v>-1.5000000000000058</c:v>
                </c:pt>
                <c:pt idx="129">
                  <c:v>-1.4999999999999962</c:v>
                </c:pt>
                <c:pt idx="130">
                  <c:v>-1.4999999999999989</c:v>
                </c:pt>
                <c:pt idx="131">
                  <c:v>-1.4999999999999989</c:v>
                </c:pt>
                <c:pt idx="132">
                  <c:v>-1.5000000000000051</c:v>
                </c:pt>
                <c:pt idx="133">
                  <c:v>-1.5000000000000044</c:v>
                </c:pt>
                <c:pt idx="134">
                  <c:v>-1.5000000000000062</c:v>
                </c:pt>
                <c:pt idx="135">
                  <c:v>-1.4999999999999978</c:v>
                </c:pt>
                <c:pt idx="136">
                  <c:v>-1.500000000000002</c:v>
                </c:pt>
                <c:pt idx="137">
                  <c:v>-1.5000000000000058</c:v>
                </c:pt>
                <c:pt idx="138">
                  <c:v>-1.4999999999999978</c:v>
                </c:pt>
                <c:pt idx="139">
                  <c:v>-1.5000000000000011</c:v>
                </c:pt>
                <c:pt idx="140">
                  <c:v>-1.5000000000000049</c:v>
                </c:pt>
                <c:pt idx="141">
                  <c:v>-1.4999999999999978</c:v>
                </c:pt>
                <c:pt idx="142">
                  <c:v>-1.5000000000000049</c:v>
                </c:pt>
                <c:pt idx="143">
                  <c:v>-1.5000000000000038</c:v>
                </c:pt>
                <c:pt idx="144">
                  <c:v>-1.4999999999999969</c:v>
                </c:pt>
                <c:pt idx="145">
                  <c:v>-1.4999999999999978</c:v>
                </c:pt>
                <c:pt idx="146">
                  <c:v>-1.4999999999999976</c:v>
                </c:pt>
                <c:pt idx="147">
                  <c:v>-1.4999999999999987</c:v>
                </c:pt>
                <c:pt idx="148">
                  <c:v>-1.5000000000000049</c:v>
                </c:pt>
                <c:pt idx="149">
                  <c:v>-1.4999999999999964</c:v>
                </c:pt>
                <c:pt idx="150">
                  <c:v>-1.5000000000000007</c:v>
                </c:pt>
                <c:pt idx="151">
                  <c:v>-1.4999999999999984</c:v>
                </c:pt>
                <c:pt idx="152">
                  <c:v>-1.5000000000000058</c:v>
                </c:pt>
                <c:pt idx="153">
                  <c:v>-1.4999999999999942</c:v>
                </c:pt>
                <c:pt idx="154">
                  <c:v>-1.4999999999999911</c:v>
                </c:pt>
                <c:pt idx="155">
                  <c:v>-1.5000000000000115</c:v>
                </c:pt>
                <c:pt idx="156">
                  <c:v>-1.5000000000000084</c:v>
                </c:pt>
                <c:pt idx="157">
                  <c:v>-1.4999999999999984</c:v>
                </c:pt>
                <c:pt idx="158">
                  <c:v>-1.4999999999999978</c:v>
                </c:pt>
                <c:pt idx="159">
                  <c:v>-1.500000000000002</c:v>
                </c:pt>
                <c:pt idx="160">
                  <c:v>-1.5000000000000089</c:v>
                </c:pt>
                <c:pt idx="161">
                  <c:v>-1.4999999999999929</c:v>
                </c:pt>
                <c:pt idx="162">
                  <c:v>-1.4999999999999929</c:v>
                </c:pt>
                <c:pt idx="163">
                  <c:v>-1.5000000000000064</c:v>
                </c:pt>
                <c:pt idx="164">
                  <c:v>-1.5000000000000095</c:v>
                </c:pt>
                <c:pt idx="165">
                  <c:v>-1.5000000000000011</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1-B88E-48CD-AEE0-785F5C4DA5BB}"/>
            </c:ext>
          </c:extLst>
        </c:ser>
        <c:ser>
          <c:idx val="2"/>
          <c:order val="2"/>
          <c:tx>
            <c:v>NTC Max High Tolerance</c:v>
          </c:tx>
          <c:spPr>
            <a:ln>
              <a:solidFill>
                <a:srgbClr val="CC0000"/>
              </a:solidFill>
            </a:ln>
          </c:spPr>
          <c:marker>
            <c:symbol val="none"/>
          </c:marker>
          <c:xVal>
            <c:numRef>
              <c:f>'NTC Thermistor Comparison'!$M$36:$M$251</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Comparison'!$U$36:$U$251</c:f>
              <c:numCache>
                <c:formatCode>0.00</c:formatCode>
                <c:ptCount val="216"/>
                <c:pt idx="0">
                  <c:v>6.1089587635188947</c:v>
                </c:pt>
                <c:pt idx="1">
                  <c:v>6.0490890242167907</c:v>
                </c:pt>
                <c:pt idx="2">
                  <c:v>5.9897555094449189</c:v>
                </c:pt>
                <c:pt idx="3">
                  <c:v>5.9307942995689009</c:v>
                </c:pt>
                <c:pt idx="4">
                  <c:v>5.8723744109895382</c:v>
                </c:pt>
                <c:pt idx="5">
                  <c:v>5.8143631344865128</c:v>
                </c:pt>
                <c:pt idx="6">
                  <c:v>5.7569136837064612</c:v>
                </c:pt>
                <c:pt idx="7">
                  <c:v>5.6998622117126017</c:v>
                </c:pt>
                <c:pt idx="8">
                  <c:v>5.6432434148141253</c:v>
                </c:pt>
                <c:pt idx="9">
                  <c:v>5.5869937804200438</c:v>
                </c:pt>
                <c:pt idx="10">
                  <c:v>5.5313281063212081</c:v>
                </c:pt>
                <c:pt idx="11">
                  <c:v>5.4761358026642473</c:v>
                </c:pt>
                <c:pt idx="12">
                  <c:v>5.4212142133172669</c:v>
                </c:pt>
                <c:pt idx="13">
                  <c:v>5.3668063552820504</c:v>
                </c:pt>
                <c:pt idx="14">
                  <c:v>5.3128408850393214</c:v>
                </c:pt>
                <c:pt idx="15">
                  <c:v>5.2592086689173545</c:v>
                </c:pt>
                <c:pt idx="16">
                  <c:v>5.2060007880599199</c:v>
                </c:pt>
                <c:pt idx="17">
                  <c:v>5.1532028148340974</c:v>
                </c:pt>
                <c:pt idx="18">
                  <c:v>5.1009284916690518</c:v>
                </c:pt>
                <c:pt idx="19">
                  <c:v>5.0487744988615395</c:v>
                </c:pt>
                <c:pt idx="20">
                  <c:v>4.9971642825635012</c:v>
                </c:pt>
                <c:pt idx="21">
                  <c:v>4.9459384188814726</c:v>
                </c:pt>
                <c:pt idx="22">
                  <c:v>4.8952663964211407</c:v>
                </c:pt>
                <c:pt idx="23">
                  <c:v>4.8448348028259121</c:v>
                </c:pt>
                <c:pt idx="24">
                  <c:v>4.794526635370314</c:v>
                </c:pt>
                <c:pt idx="25">
                  <c:v>4.7448629626315926</c:v>
                </c:pt>
                <c:pt idx="26">
                  <c:v>4.6955814912296097</c:v>
                </c:pt>
                <c:pt idx="27">
                  <c:v>4.6464720927042054</c:v>
                </c:pt>
                <c:pt idx="28">
                  <c:v>4.5978392386706011</c:v>
                </c:pt>
                <c:pt idx="29">
                  <c:v>4.549519388484188</c:v>
                </c:pt>
                <c:pt idx="30">
                  <c:v>4.5012257035444314</c:v>
                </c:pt>
                <c:pt idx="31">
                  <c:v>4.4534811833585124</c:v>
                </c:pt>
                <c:pt idx="32">
                  <c:v>4.4057178948453872</c:v>
                </c:pt>
                <c:pt idx="33">
                  <c:v>4.3584397228164056</c:v>
                </c:pt>
                <c:pt idx="34">
                  <c:v>4.311587762438049</c:v>
                </c:pt>
                <c:pt idx="35">
                  <c:v>4.2646980721227719</c:v>
                </c:pt>
                <c:pt idx="36">
                  <c:v>4.2184227491309478</c:v>
                </c:pt>
                <c:pt idx="37">
                  <c:v>4.1724693745970436</c:v>
                </c:pt>
                <c:pt idx="38">
                  <c:v>4.1271177877328276</c:v>
                </c:pt>
                <c:pt idx="39">
                  <c:v>4.0815393113347893</c:v>
                </c:pt>
                <c:pt idx="40">
                  <c:v>4.0365779283284251</c:v>
                </c:pt>
                <c:pt idx="41">
                  <c:v>3.9917932198189963</c:v>
                </c:pt>
                <c:pt idx="42">
                  <c:v>3.9475421907578441</c:v>
                </c:pt>
                <c:pt idx="43">
                  <c:v>3.903402377363681</c:v>
                </c:pt>
                <c:pt idx="44">
                  <c:v>3.8597041314468088</c:v>
                </c:pt>
                <c:pt idx="45">
                  <c:v>3.815885673286072</c:v>
                </c:pt>
                <c:pt idx="46">
                  <c:v>3.7731382852814468</c:v>
                </c:pt>
                <c:pt idx="47">
                  <c:v>3.7297820058618503</c:v>
                </c:pt>
                <c:pt idx="48">
                  <c:v>3.6874983932748768</c:v>
                </c:pt>
                <c:pt idx="49">
                  <c:v>3.6449238877759802</c:v>
                </c:pt>
                <c:pt idx="50">
                  <c:v>3.6026889068645187</c:v>
                </c:pt>
                <c:pt idx="51">
                  <c:v>3.5610756423587921</c:v>
                </c:pt>
                <c:pt idx="52">
                  <c:v>3.5193293981033347</c:v>
                </c:pt>
                <c:pt idx="53">
                  <c:v>3.4779926474291067</c:v>
                </c:pt>
                <c:pt idx="54">
                  <c:v>3.4364396232100414</c:v>
                </c:pt>
                <c:pt idx="55">
                  <c:v>3.3959178110198609</c:v>
                </c:pt>
                <c:pt idx="56">
                  <c:v>3.35495303916356</c:v>
                </c:pt>
                <c:pt idx="57">
                  <c:v>3.3140700554310678</c:v>
                </c:pt>
                <c:pt idx="58">
                  <c:v>3.2746055223045705</c:v>
                </c:pt>
                <c:pt idx="59">
                  <c:v>3.2348255536084149</c:v>
                </c:pt>
                <c:pt idx="60">
                  <c:v>3.1952319854310662</c:v>
                </c:pt>
                <c:pt idx="61">
                  <c:v>3.1561476079497082</c:v>
                </c:pt>
                <c:pt idx="62">
                  <c:v>3.1166534163488211</c:v>
                </c:pt>
                <c:pt idx="63">
                  <c:v>3.0771371584952987</c:v>
                </c:pt>
                <c:pt idx="64">
                  <c:v>3.0390598661079808</c:v>
                </c:pt>
                <c:pt idx="65">
                  <c:v>3</c:v>
                </c:pt>
                <c:pt idx="66">
                  <c:v>3.0391729463785189</c:v>
                </c:pt>
                <c:pt idx="67">
                  <c:v>3.0764259169494301</c:v>
                </c:pt>
                <c:pt idx="68">
                  <c:v>3.1150106180842618</c:v>
                </c:pt>
                <c:pt idx="69">
                  <c:v>3.1527561976763021</c:v>
                </c:pt>
                <c:pt idx="70">
                  <c:v>3.1908112333874685</c:v>
                </c:pt>
                <c:pt idx="71">
                  <c:v>3.2276973347800513</c:v>
                </c:pt>
                <c:pt idx="72">
                  <c:v>3.2649314041144599</c:v>
                </c:pt>
                <c:pt idx="73">
                  <c:v>3.3025506306209782</c:v>
                </c:pt>
                <c:pt idx="74">
                  <c:v>3.3393063021766687</c:v>
                </c:pt>
                <c:pt idx="75">
                  <c:v>3.3751205400192994</c:v>
                </c:pt>
                <c:pt idx="76">
                  <c:v>3.4115138592750558</c:v>
                </c:pt>
                <c:pt idx="77">
                  <c:v>3.448595388488211</c:v>
                </c:pt>
                <c:pt idx="78">
                  <c:v>3.4849502606915461</c:v>
                </c:pt>
                <c:pt idx="79">
                  <c:v>3.5204504056962982</c:v>
                </c:pt>
                <c:pt idx="80">
                  <c:v>3.5569802523313374</c:v>
                </c:pt>
                <c:pt idx="81">
                  <c:v>3.5913905992157074</c:v>
                </c:pt>
                <c:pt idx="82">
                  <c:v>3.6269144599111005</c:v>
                </c:pt>
                <c:pt idx="83">
                  <c:v>3.6637971989434135</c:v>
                </c:pt>
                <c:pt idx="84">
                  <c:v>3.6981695928277998</c:v>
                </c:pt>
                <c:pt idx="85">
                  <c:v>3.7340600785047564</c:v>
                </c:pt>
                <c:pt idx="86">
                  <c:v>3.7695365910094836</c:v>
                </c:pt>
                <c:pt idx="87">
                  <c:v>3.8045724478475478</c:v>
                </c:pt>
                <c:pt idx="88">
                  <c:v>3.8393198533546</c:v>
                </c:pt>
                <c:pt idx="89">
                  <c:v>3.8736979166666541</c:v>
                </c:pt>
                <c:pt idx="90">
                  <c:v>3.9054050806316165</c:v>
                </c:pt>
                <c:pt idx="91">
                  <c:v>3.9416819830112604</c:v>
                </c:pt>
                <c:pt idx="92">
                  <c:v>3.9754645313622974</c:v>
                </c:pt>
                <c:pt idx="93">
                  <c:v>4.011772816460736</c:v>
                </c:pt>
                <c:pt idx="94">
                  <c:v>4.0427280197206219</c:v>
                </c:pt>
                <c:pt idx="95">
                  <c:v>4.0763790664780739</c:v>
                </c:pt>
                <c:pt idx="96">
                  <c:v>4.1103093687008929</c:v>
                </c:pt>
                <c:pt idx="97">
                  <c:v>4.1445463320463354</c:v>
                </c:pt>
                <c:pt idx="98">
                  <c:v>4.1758789275371315</c:v>
                </c:pt>
                <c:pt idx="99">
                  <c:v>4.2108646737383477</c:v>
                </c:pt>
                <c:pt idx="100">
                  <c:v>4.2431078525694073</c:v>
                </c:pt>
                <c:pt idx="101">
                  <c:v>4.2738844785108006</c:v>
                </c:pt>
                <c:pt idx="102">
                  <c:v>4.3088541482867049</c:v>
                </c:pt>
                <c:pt idx="103">
                  <c:v>4.3410232151953903</c:v>
                </c:pt>
                <c:pt idx="104">
                  <c:v>4.3740856060321827</c:v>
                </c:pt>
                <c:pt idx="105">
                  <c:v>4.4043153783689757</c:v>
                </c:pt>
                <c:pt idx="106">
                  <c:v>4.4354999402223614</c:v>
                </c:pt>
                <c:pt idx="107">
                  <c:v>4.4679889942918045</c:v>
                </c:pt>
                <c:pt idx="108">
                  <c:v>4.4975671673365847</c:v>
                </c:pt>
                <c:pt idx="109">
                  <c:v>4.5286143921893629</c:v>
                </c:pt>
                <c:pt idx="110">
                  <c:v>4.5611672278338906</c:v>
                </c:pt>
                <c:pt idx="111">
                  <c:v>4.5914828686364135</c:v>
                </c:pt>
                <c:pt idx="112">
                  <c:v>4.6188276748726258</c:v>
                </c:pt>
                <c:pt idx="113">
                  <c:v>4.6479701902333543</c:v>
                </c:pt>
                <c:pt idx="114">
                  <c:v>4.6792186159204272</c:v>
                </c:pt>
                <c:pt idx="115">
                  <c:v>4.7129124447908577</c:v>
                </c:pt>
                <c:pt idx="116">
                  <c:v>4.7438228687560198</c:v>
                </c:pt>
                <c:pt idx="117">
                  <c:v>4.7716015410016537</c:v>
                </c:pt>
                <c:pt idx="118">
                  <c:v>4.8023558726922619</c:v>
                </c:pt>
                <c:pt idx="119">
                  <c:v>4.8298764856676817</c:v>
                </c:pt>
                <c:pt idx="120">
                  <c:v>4.8606532813904781</c:v>
                </c:pt>
                <c:pt idx="121">
                  <c:v>4.8878205128205101</c:v>
                </c:pt>
                <c:pt idx="122">
                  <c:v>4.9185523230018315</c:v>
                </c:pt>
                <c:pt idx="123">
                  <c:v>4.9462365591397912</c:v>
                </c:pt>
                <c:pt idx="124">
                  <c:v>4.9775574462383734</c:v>
                </c:pt>
                <c:pt idx="125">
                  <c:v>5.0065422491563973</c:v>
                </c:pt>
                <c:pt idx="126">
                  <c:v>5.0392809116002413</c:v>
                </c:pt>
                <c:pt idx="127">
                  <c:v>5.0694595970616074</c:v>
                </c:pt>
                <c:pt idx="128">
                  <c:v>5.0967790150213013</c:v>
                </c:pt>
                <c:pt idx="129">
                  <c:v>5.1209213051823452</c:v>
                </c:pt>
                <c:pt idx="130">
                  <c:v>5.1498422712933722</c:v>
                </c:pt>
                <c:pt idx="131">
                  <c:v>5.1770234140808631</c:v>
                </c:pt>
                <c:pt idx="132">
                  <c:v>5.2097203728362302</c:v>
                </c:pt>
                <c:pt idx="133">
                  <c:v>5.2307692307692344</c:v>
                </c:pt>
                <c:pt idx="134">
                  <c:v>5.2663916439919252</c:v>
                </c:pt>
                <c:pt idx="135">
                  <c:v>5.2901946647440568</c:v>
                </c:pt>
                <c:pt idx="136">
                  <c:v>5.320625520495974</c:v>
                </c:pt>
                <c:pt idx="137">
                  <c:v>5.33814589665654</c:v>
                </c:pt>
                <c:pt idx="138">
                  <c:v>5.3724648985959345</c:v>
                </c:pt>
                <c:pt idx="139">
                  <c:v>5.4037826478534976</c:v>
                </c:pt>
                <c:pt idx="140">
                  <c:v>5.4220579174368408</c:v>
                </c:pt>
                <c:pt idx="141">
                  <c:v>5.4572271386430513</c:v>
                </c:pt>
                <c:pt idx="142">
                  <c:v>5.4787119083639553</c:v>
                </c:pt>
                <c:pt idx="143">
                  <c:v>5.50875637330968</c:v>
                </c:pt>
                <c:pt idx="144">
                  <c:v>5.5353489429415692</c:v>
                </c:pt>
                <c:pt idx="145">
                  <c:v>5.559440559440552</c:v>
                </c:pt>
                <c:pt idx="146">
                  <c:v>5.5807839388145375</c:v>
                </c:pt>
                <c:pt idx="147">
                  <c:v>5.6113697623131529</c:v>
                </c:pt>
                <c:pt idx="148">
                  <c:v>5.6385784252166244</c:v>
                </c:pt>
                <c:pt idx="149">
                  <c:v>5.6635345604324723</c:v>
                </c:pt>
                <c:pt idx="150">
                  <c:v>5.6992084432717736</c:v>
                </c:pt>
                <c:pt idx="151">
                  <c:v>5.7185345410301407</c:v>
                </c:pt>
                <c:pt idx="152">
                  <c:v>5.7487186590940578</c:v>
                </c:pt>
                <c:pt idx="153">
                  <c:v>5.7763269940391613</c:v>
                </c:pt>
                <c:pt idx="154">
                  <c:v>5.801104972375704</c:v>
                </c:pt>
                <c:pt idx="155">
                  <c:v>5.8227848101265858</c:v>
                </c:pt>
                <c:pt idx="156">
                  <c:v>5.841976815131189</c:v>
                </c:pt>
                <c:pt idx="157">
                  <c:v>5.8731646360512197</c:v>
                </c:pt>
                <c:pt idx="158">
                  <c:v>5.8861164427383352</c:v>
                </c:pt>
                <c:pt idx="159">
                  <c:v>5.9122174909924698</c:v>
                </c:pt>
                <c:pt idx="160">
                  <c:v>5.9356136820925505</c:v>
                </c:pt>
                <c:pt idx="161">
                  <c:v>5.9732234809474694</c:v>
                </c:pt>
                <c:pt idx="162">
                  <c:v>5.990864371047067</c:v>
                </c:pt>
                <c:pt idx="163">
                  <c:v>6.0050341603739614</c:v>
                </c:pt>
                <c:pt idx="164">
                  <c:v>6.0349586016559469</c:v>
                </c:pt>
                <c:pt idx="165">
                  <c:v>6.0817171907361987</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0"/>
          <c:extLst>
            <c:ext xmlns:c16="http://schemas.microsoft.com/office/drawing/2014/chart" uri="{C3380CC4-5D6E-409C-BE32-E72D297353CC}">
              <c16:uniqueId val="{00000002-B88E-48CD-AEE0-785F5C4DA5BB}"/>
            </c:ext>
          </c:extLst>
        </c:ser>
        <c:ser>
          <c:idx val="1"/>
          <c:order val="3"/>
          <c:tx>
            <c:v>NTC Max Low Tolerance</c:v>
          </c:tx>
          <c:spPr>
            <a:ln>
              <a:solidFill>
                <a:srgbClr val="C00000"/>
              </a:solidFill>
            </a:ln>
          </c:spPr>
          <c:marker>
            <c:symbol val="none"/>
          </c:marker>
          <c:xVal>
            <c:numRef>
              <c:f>'NTC Thermistor Comparison'!$M$36:$M$251</c:f>
              <c:numCache>
                <c:formatCode>General</c:formatCode>
                <c:ptCount val="216"/>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pt idx="201">
                  <c:v>161</c:v>
                </c:pt>
                <c:pt idx="202">
                  <c:v>162</c:v>
                </c:pt>
                <c:pt idx="203">
                  <c:v>163</c:v>
                </c:pt>
                <c:pt idx="204">
                  <c:v>164</c:v>
                </c:pt>
                <c:pt idx="205">
                  <c:v>165</c:v>
                </c:pt>
                <c:pt idx="206">
                  <c:v>166</c:v>
                </c:pt>
                <c:pt idx="207">
                  <c:v>167</c:v>
                </c:pt>
                <c:pt idx="208">
                  <c:v>168</c:v>
                </c:pt>
                <c:pt idx="209">
                  <c:v>169</c:v>
                </c:pt>
                <c:pt idx="210">
                  <c:v>170</c:v>
                </c:pt>
              </c:numCache>
            </c:numRef>
          </c:xVal>
          <c:yVal>
            <c:numRef>
              <c:f>'NTC Thermistor Comparison'!$T$36:$T$251</c:f>
              <c:numCache>
                <c:formatCode>0.00</c:formatCode>
                <c:ptCount val="216"/>
                <c:pt idx="0">
                  <c:v>-5.8420563040500504</c:v>
                </c:pt>
                <c:pt idx="1">
                  <c:v>-5.7889183855900894</c:v>
                </c:pt>
                <c:pt idx="2">
                  <c:v>-5.7361597573167709</c:v>
                </c:pt>
                <c:pt idx="3">
                  <c:v>-5.6837433717675054</c:v>
                </c:pt>
                <c:pt idx="4">
                  <c:v>-5.631690759523992</c:v>
                </c:pt>
                <c:pt idx="5">
                  <c:v>-5.5799717893514886</c:v>
                </c:pt>
                <c:pt idx="6">
                  <c:v>-5.5285953720647765</c:v>
                </c:pt>
                <c:pt idx="7">
                  <c:v>-5.4776109075374464</c:v>
                </c:pt>
                <c:pt idx="8">
                  <c:v>-5.4269311188963831</c:v>
                </c:pt>
                <c:pt idx="9">
                  <c:v>-5.3766896302396132</c:v>
                </c:pt>
                <c:pt idx="10">
                  <c:v>-5.326647086692109</c:v>
                </c:pt>
                <c:pt idx="11">
                  <c:v>-5.2770931781649999</c:v>
                </c:pt>
                <c:pt idx="12">
                  <c:v>-5.227805768957694</c:v>
                </c:pt>
                <c:pt idx="13">
                  <c:v>-5.1789279173747138</c:v>
                </c:pt>
                <c:pt idx="14">
                  <c:v>-5.1302757471657428</c:v>
                </c:pt>
                <c:pt idx="15">
                  <c:v>-5.0819563539016199</c:v>
                </c:pt>
                <c:pt idx="16">
                  <c:v>-5.0339730714155388</c:v>
                </c:pt>
                <c:pt idx="17">
                  <c:v>-4.9862125677213589</c:v>
                </c:pt>
                <c:pt idx="18">
                  <c:v>-4.938810898657267</c:v>
                </c:pt>
                <c:pt idx="19">
                  <c:v>-4.8916804321621665</c:v>
                </c:pt>
                <c:pt idx="20">
                  <c:v>-4.845046727054501</c:v>
                </c:pt>
                <c:pt idx="21">
                  <c:v>-4.7986865813108706</c:v>
                </c:pt>
                <c:pt idx="22">
                  <c:v>-4.7524992328687432</c:v>
                </c:pt>
                <c:pt idx="23">
                  <c:v>-4.7067256610174546</c:v>
                </c:pt>
                <c:pt idx="24">
                  <c:v>-4.6612120253333362</c:v>
                </c:pt>
                <c:pt idx="25">
                  <c:v>-4.6158778443827995</c:v>
                </c:pt>
                <c:pt idx="26">
                  <c:v>-4.5709183065346624</c:v>
                </c:pt>
                <c:pt idx="27">
                  <c:v>-4.5260663992349643</c:v>
                </c:pt>
                <c:pt idx="28">
                  <c:v>-4.4815631623660259</c:v>
                </c:pt>
                <c:pt idx="29">
                  <c:v>-4.4373991704452029</c:v>
                </c:pt>
                <c:pt idx="30">
                  <c:v>-4.3937119761352426</c:v>
                </c:pt>
                <c:pt idx="31">
                  <c:v>-4.3495395286172105</c:v>
                </c:pt>
                <c:pt idx="32">
                  <c:v>-4.3062089944702997</c:v>
                </c:pt>
                <c:pt idx="33">
                  <c:v>-4.262682444588874</c:v>
                </c:pt>
                <c:pt idx="34">
                  <c:v>-4.2196057186873093</c:v>
                </c:pt>
                <c:pt idx="35">
                  <c:v>-4.1767722366798425</c:v>
                </c:pt>
                <c:pt idx="36">
                  <c:v>-4.1342146904505457</c:v>
                </c:pt>
                <c:pt idx="37">
                  <c:v>-4.0918762088974949</c:v>
                </c:pt>
                <c:pt idx="38">
                  <c:v>-4.0496480177843619</c:v>
                </c:pt>
                <c:pt idx="39">
                  <c:v>-4.008007571306452</c:v>
                </c:pt>
                <c:pt idx="40">
                  <c:v>-3.9664053257698728</c:v>
                </c:pt>
                <c:pt idx="41">
                  <c:v>-3.9254486884491566</c:v>
                </c:pt>
                <c:pt idx="42">
                  <c:v>-3.8843110810518859</c:v>
                </c:pt>
                <c:pt idx="43">
                  <c:v>-3.84369689656757</c:v>
                </c:pt>
                <c:pt idx="44">
                  <c:v>-3.8030910729916481</c:v>
                </c:pt>
                <c:pt idx="45">
                  <c:v>-3.7627548124299062</c:v>
                </c:pt>
                <c:pt idx="46">
                  <c:v>-3.7224826019031356</c:v>
                </c:pt>
                <c:pt idx="47">
                  <c:v>-3.682906851667282</c:v>
                </c:pt>
                <c:pt idx="48">
                  <c:v>-3.6432813182858097</c:v>
                </c:pt>
                <c:pt idx="49">
                  <c:v>-3.6036808107210536</c:v>
                </c:pt>
                <c:pt idx="50">
                  <c:v>-3.5641962567292484</c:v>
                </c:pt>
                <c:pt idx="51">
                  <c:v>-3.5256391636990916</c:v>
                </c:pt>
                <c:pt idx="52">
                  <c:v>-3.4860654151345156</c:v>
                </c:pt>
                <c:pt idx="53">
                  <c:v>-3.4477766027093764</c:v>
                </c:pt>
                <c:pt idx="54">
                  <c:v>-3.4095822033565226</c:v>
                </c:pt>
                <c:pt idx="55">
                  <c:v>-3.3713837870991852</c:v>
                </c:pt>
                <c:pt idx="56">
                  <c:v>-3.3329789119262854</c:v>
                </c:pt>
                <c:pt idx="57">
                  <c:v>-3.295642174784752</c:v>
                </c:pt>
                <c:pt idx="58">
                  <c:v>-3.2577458636360181</c:v>
                </c:pt>
                <c:pt idx="59">
                  <c:v>-3.220487494025817</c:v>
                </c:pt>
                <c:pt idx="60">
                  <c:v>-3.1828152808244692</c:v>
                </c:pt>
                <c:pt idx="61">
                  <c:v>-3.1458277792588736</c:v>
                </c:pt>
                <c:pt idx="62">
                  <c:v>-3.1086138976479782</c:v>
                </c:pt>
                <c:pt idx="63">
                  <c:v>-3.072498724430639</c:v>
                </c:pt>
                <c:pt idx="64">
                  <c:v>-3.0361701102923537</c:v>
                </c:pt>
                <c:pt idx="65">
                  <c:v>-3</c:v>
                </c:pt>
                <c:pt idx="66">
                  <c:v>-3.0360590396711902</c:v>
                </c:pt>
                <c:pt idx="67">
                  <c:v>-3.0721171971777768</c:v>
                </c:pt>
                <c:pt idx="68">
                  <c:v>-3.107186766513915</c:v>
                </c:pt>
                <c:pt idx="69">
                  <c:v>-3.1434799749542024</c:v>
                </c:pt>
                <c:pt idx="70">
                  <c:v>-3.1787840519574257</c:v>
                </c:pt>
                <c:pt idx="71">
                  <c:v>-3.2139783739289949</c:v>
                </c:pt>
                <c:pt idx="72">
                  <c:v>-3.2481218562912946</c:v>
                </c:pt>
                <c:pt idx="73">
                  <c:v>-3.283786138401521</c:v>
                </c:pt>
                <c:pt idx="74">
                  <c:v>-3.3170813018293854</c:v>
                </c:pt>
                <c:pt idx="75">
                  <c:v>-3.3520919990212819</c:v>
                </c:pt>
                <c:pt idx="76">
                  <c:v>-3.3876571190004001</c:v>
                </c:pt>
                <c:pt idx="77">
                  <c:v>-3.4207965900140676</c:v>
                </c:pt>
                <c:pt idx="78">
                  <c:v>-3.4545629018328374</c:v>
                </c:pt>
                <c:pt idx="79">
                  <c:v>-3.4889882430866157</c:v>
                </c:pt>
                <c:pt idx="80">
                  <c:v>-3.5209818979703726</c:v>
                </c:pt>
                <c:pt idx="81">
                  <c:v>-3.5541281473463844</c:v>
                </c:pt>
                <c:pt idx="82">
                  <c:v>-3.5883497998310596</c:v>
                </c:pt>
                <c:pt idx="83">
                  <c:v>-3.6200900746821905</c:v>
                </c:pt>
                <c:pt idx="84">
                  <c:v>-3.6549161472976182</c:v>
                </c:pt>
                <c:pt idx="85">
                  <c:v>-3.6852488356484741</c:v>
                </c:pt>
                <c:pt idx="86">
                  <c:v>-3.7169481899072112</c:v>
                </c:pt>
                <c:pt idx="87">
                  <c:v>-3.7501903373866248</c:v>
                </c:pt>
                <c:pt idx="88">
                  <c:v>-3.7830907986775091</c:v>
                </c:pt>
                <c:pt idx="89">
                  <c:v>-3.8155691964285796</c:v>
                </c:pt>
                <c:pt idx="90">
                  <c:v>-3.8477252517484177</c:v>
                </c:pt>
                <c:pt idx="91">
                  <c:v>-3.879588694053953</c:v>
                </c:pt>
                <c:pt idx="92">
                  <c:v>-3.9087362693768544</c:v>
                </c:pt>
                <c:pt idx="93">
                  <c:v>-3.9401813650103388</c:v>
                </c:pt>
                <c:pt idx="94">
                  <c:v>-3.9715146535195838</c:v>
                </c:pt>
                <c:pt idx="95">
                  <c:v>-4.0056577086280027</c:v>
                </c:pt>
                <c:pt idx="96">
                  <c:v>-4.0343548245742138</c:v>
                </c:pt>
                <c:pt idx="97">
                  <c:v>-4.0631032818532766</c:v>
                </c:pt>
                <c:pt idx="98">
                  <c:v>-4.0980288356740369</c:v>
                </c:pt>
                <c:pt idx="99">
                  <c:v>-4.1272902603664301</c:v>
                </c:pt>
                <c:pt idx="100">
                  <c:v>-4.1568523371927206</c:v>
                </c:pt>
                <c:pt idx="101">
                  <c:v>-4.1849165069805707</c:v>
                </c:pt>
                <c:pt idx="102">
                  <c:v>-4.2135723612238287</c:v>
                </c:pt>
                <c:pt idx="103">
                  <c:v>-4.2427770904592057</c:v>
                </c:pt>
                <c:pt idx="104">
                  <c:v>-4.2727988895974827</c:v>
                </c:pt>
                <c:pt idx="105">
                  <c:v>-4.2999110629905966</c:v>
                </c:pt>
                <c:pt idx="106">
                  <c:v>-4.3318853863627407</c:v>
                </c:pt>
                <c:pt idx="107">
                  <c:v>-4.3612171984723354</c:v>
                </c:pt>
                <c:pt idx="108">
                  <c:v>-4.3875608208165975</c:v>
                </c:pt>
                <c:pt idx="109">
                  <c:v>-4.4152900666869961</c:v>
                </c:pt>
                <c:pt idx="110">
                  <c:v>-4.4444444444444446</c:v>
                </c:pt>
                <c:pt idx="111">
                  <c:v>-4.4712627733851322</c:v>
                </c:pt>
                <c:pt idx="112">
                  <c:v>-4.4997857244893105</c:v>
                </c:pt>
                <c:pt idx="113">
                  <c:v>-4.5303000588350697</c:v>
                </c:pt>
                <c:pt idx="114">
                  <c:v>-4.5580737973853003</c:v>
                </c:pt>
                <c:pt idx="115">
                  <c:v>-4.5830085736554977</c:v>
                </c:pt>
                <c:pt idx="116">
                  <c:v>-4.6101187292758485</c:v>
                </c:pt>
                <c:pt idx="117">
                  <c:v>-4.6395156851953869</c:v>
                </c:pt>
                <c:pt idx="118">
                  <c:v>-4.666440140446249</c:v>
                </c:pt>
                <c:pt idx="119">
                  <c:v>-4.6958750873922117</c:v>
                </c:pt>
                <c:pt idx="120">
                  <c:v>-4.722804914593957</c:v>
                </c:pt>
                <c:pt idx="121">
                  <c:v>-4.7522189349112507</c:v>
                </c:pt>
                <c:pt idx="122">
                  <c:v>-4.7727704886860733</c:v>
                </c:pt>
                <c:pt idx="123">
                  <c:v>-4.8028673835125328</c:v>
                </c:pt>
                <c:pt idx="124">
                  <c:v>-4.8301735110872706</c:v>
                </c:pt>
                <c:pt idx="125">
                  <c:v>-4.8481509537910679</c:v>
                </c:pt>
                <c:pt idx="126">
                  <c:v>-4.8764951518154218</c:v>
                </c:pt>
                <c:pt idx="127">
                  <c:v>-4.9021747036148149</c:v>
                </c:pt>
                <c:pt idx="128">
                  <c:v>-4.932366788730306</c:v>
                </c:pt>
                <c:pt idx="129">
                  <c:v>-4.9596928982725457</c:v>
                </c:pt>
                <c:pt idx="130">
                  <c:v>-4.9842271293375244</c:v>
                </c:pt>
                <c:pt idx="131">
                  <c:v>-5.006886494369275</c:v>
                </c:pt>
                <c:pt idx="132">
                  <c:v>-5.0349533954727033</c:v>
                </c:pt>
                <c:pt idx="133">
                  <c:v>-5.0598290598290641</c:v>
                </c:pt>
                <c:pt idx="134">
                  <c:v>-5.0820679364522157</c:v>
                </c:pt>
                <c:pt idx="135">
                  <c:v>-5.1099495313626582</c:v>
                </c:pt>
                <c:pt idx="136">
                  <c:v>-5.1355602850004836</c:v>
                </c:pt>
                <c:pt idx="137">
                  <c:v>-5.1576747720364695</c:v>
                </c:pt>
                <c:pt idx="138">
                  <c:v>-5.1774570982839441</c:v>
                </c:pt>
                <c:pt idx="139">
                  <c:v>-5.2036425497848384</c:v>
                </c:pt>
                <c:pt idx="140">
                  <c:v>-5.2372150338878622</c:v>
                </c:pt>
                <c:pt idx="141">
                  <c:v>-5.257058575642656</c:v>
                </c:pt>
                <c:pt idx="142">
                  <c:v>-5.2842014264101991</c:v>
                </c:pt>
                <c:pt idx="143">
                  <c:v>-5.2981600532032758</c:v>
                </c:pt>
                <c:pt idx="144">
                  <c:v>-5.3307569902250611</c:v>
                </c:pt>
                <c:pt idx="145">
                  <c:v>-5.3613053613053614</c:v>
                </c:pt>
                <c:pt idx="146">
                  <c:v>-5.3776290630975145</c:v>
                </c:pt>
                <c:pt idx="147">
                  <c:v>-5.4030874785591791</c:v>
                </c:pt>
                <c:pt idx="148">
                  <c:v>-5.4250910460881494</c:v>
                </c:pt>
                <c:pt idx="149">
                  <c:v>-5.457587849144045</c:v>
                </c:pt>
                <c:pt idx="150">
                  <c:v>-5.474934036939314</c:v>
                </c:pt>
                <c:pt idx="151">
                  <c:v>-5.4887116398539977</c:v>
                </c:pt>
                <c:pt idx="152">
                  <c:v>-5.5132289790829692</c:v>
                </c:pt>
                <c:pt idx="153">
                  <c:v>-5.5350553505535052</c:v>
                </c:pt>
                <c:pt idx="154">
                  <c:v>-5.5539400988659571</c:v>
                </c:pt>
                <c:pt idx="155">
                  <c:v>-5.5845122859270289</c:v>
                </c:pt>
                <c:pt idx="156">
                  <c:v>-5.6131787675411609</c:v>
                </c:pt>
                <c:pt idx="157">
                  <c:v>-5.6388628553577043</c:v>
                </c:pt>
                <c:pt idx="158">
                  <c:v>-5.6621880998080583</c:v>
                </c:pt>
                <c:pt idx="159">
                  <c:v>-5.6829348182116028</c:v>
                </c:pt>
                <c:pt idx="160">
                  <c:v>-5.7008718980550146</c:v>
                </c:pt>
                <c:pt idx="161">
                  <c:v>-5.7157569515963038</c:v>
                </c:pt>
                <c:pt idx="162">
                  <c:v>-5.7449051300070355</c:v>
                </c:pt>
                <c:pt idx="163">
                  <c:v>-5.7713052858683964</c:v>
                </c:pt>
                <c:pt idx="164">
                  <c:v>-5.7773689052437867</c:v>
                </c:pt>
                <c:pt idx="165">
                  <c:v>-5.7992845038599254</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yVal>
          <c:smooth val="1"/>
          <c:extLst>
            <c:ext xmlns:c16="http://schemas.microsoft.com/office/drawing/2014/chart" uri="{C3380CC4-5D6E-409C-BE32-E72D297353CC}">
              <c16:uniqueId val="{00000003-B88E-48CD-AEE0-785F5C4DA5BB}"/>
            </c:ext>
          </c:extLst>
        </c:ser>
        <c:dLbls>
          <c:showLegendKey val="0"/>
          <c:showVal val="0"/>
          <c:showCatName val="0"/>
          <c:showSerName val="0"/>
          <c:showPercent val="0"/>
          <c:showBubbleSize val="0"/>
        </c:dLbls>
        <c:axId val="140937088"/>
        <c:axId val="140939264"/>
      </c:scatterChart>
      <c:valAx>
        <c:axId val="140937088"/>
        <c:scaling>
          <c:orientation val="minMax"/>
          <c:max val="175"/>
          <c:min val="-50"/>
        </c:scaling>
        <c:delete val="0"/>
        <c:axPos val="b"/>
        <c:title>
          <c:tx>
            <c:rich>
              <a:bodyPr/>
              <a:lstStyle/>
              <a:p>
                <a:pPr>
                  <a:defRPr/>
                </a:pPr>
                <a:r>
                  <a:rPr lang="en-US"/>
                  <a:t>Temperature in C</a:t>
                </a:r>
              </a:p>
            </c:rich>
          </c:tx>
          <c:overlay val="0"/>
        </c:title>
        <c:numFmt formatCode="General" sourceLinked="1"/>
        <c:majorTickMark val="none"/>
        <c:minorTickMark val="none"/>
        <c:tickLblPos val="low"/>
        <c:crossAx val="140939264"/>
        <c:crosses val="autoZero"/>
        <c:crossBetween val="midCat"/>
      </c:valAx>
      <c:valAx>
        <c:axId val="140939264"/>
        <c:scaling>
          <c:orientation val="minMax"/>
        </c:scaling>
        <c:delete val="0"/>
        <c:axPos val="l"/>
        <c:majorGridlines/>
        <c:title>
          <c:tx>
            <c:rich>
              <a:bodyPr/>
              <a:lstStyle/>
              <a:p>
                <a:pPr>
                  <a:defRPr/>
                </a:pPr>
                <a:r>
                  <a:rPr lang="en-US"/>
                  <a:t>Resistance Tolerance (%)</a:t>
                </a:r>
              </a:p>
            </c:rich>
          </c:tx>
          <c:overlay val="0"/>
        </c:title>
        <c:numFmt formatCode="0" sourceLinked="0"/>
        <c:majorTickMark val="none"/>
        <c:minorTickMark val="none"/>
        <c:tickLblPos val="low"/>
        <c:crossAx val="140937088"/>
        <c:crossesAt val="-40"/>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4th Order Polynomial Regression Function</a:t>
            </a:r>
          </a:p>
        </c:rich>
      </c:tx>
      <c:overlay val="0"/>
    </c:title>
    <c:autoTitleDeleted val="0"/>
    <c:plotArea>
      <c:layout>
        <c:manualLayout>
          <c:layoutTarget val="inner"/>
          <c:xMode val="edge"/>
          <c:yMode val="edge"/>
          <c:x val="0.12384705640939297"/>
          <c:y val="0.17220132205696509"/>
          <c:w val="0.61570524567574136"/>
          <c:h val="0.66526708466997186"/>
        </c:manualLayout>
      </c:layout>
      <c:scatterChart>
        <c:scatterStyle val="smoothMarker"/>
        <c:varyColors val="0"/>
        <c:ser>
          <c:idx val="0"/>
          <c:order val="0"/>
          <c:tx>
            <c:strRef>
              <c:f>'Device Resistance Tables'!$B$23</c:f>
              <c:strCache>
                <c:ptCount val="1"/>
                <c:pt idx="0">
                  <c:v>Temperature (°C)</c:v>
                </c:pt>
              </c:strCache>
            </c:strRef>
          </c:tx>
          <c:marker>
            <c:symbol val="none"/>
          </c:marker>
          <c:trendline>
            <c:spPr>
              <a:ln>
                <a:prstDash val="dash"/>
              </a:ln>
            </c:spPr>
            <c:trendlineType val="poly"/>
            <c:order val="4"/>
            <c:dispRSqr val="0"/>
            <c:dispEq val="1"/>
            <c:trendlineLbl>
              <c:layout>
                <c:manualLayout>
                  <c:x val="0.13927236911274213"/>
                  <c:y val="-0.25275413326548402"/>
                </c:manualLayout>
              </c:layout>
              <c:numFmt formatCode="0.00000E+00" sourceLinked="0"/>
              <c:txPr>
                <a:bodyPr/>
                <a:lstStyle/>
                <a:p>
                  <a:pPr>
                    <a:defRPr sz="1000" b="0"/>
                  </a:pPr>
                  <a:endParaRPr lang="en-US"/>
                </a:p>
              </c:txPr>
            </c:trendlineLbl>
          </c:trendline>
          <c:xVal>
            <c:numRef>
              <c:f>'Device Resistance Tables'!$D$24:$D$214</c:f>
              <c:numCache>
                <c:formatCode>0</c:formatCode>
                <c:ptCount val="191"/>
                <c:pt idx="0">
                  <c:v>6514.0402550496137</c:v>
                </c:pt>
                <c:pt idx="1">
                  <c:v>6555.848186798853</c:v>
                </c:pt>
                <c:pt idx="2">
                  <c:v>6598.0350925161956</c:v>
                </c:pt>
                <c:pt idx="3">
                  <c:v>6640.5983306888866</c:v>
                </c:pt>
                <c:pt idx="4">
                  <c:v>6683.535303055618</c:v>
                </c:pt>
                <c:pt idx="5">
                  <c:v>6726.8434546065191</c:v>
                </c:pt>
                <c:pt idx="6">
                  <c:v>6770.5202735831617</c:v>
                </c:pt>
                <c:pt idx="7">
                  <c:v>6814.563291478561</c:v>
                </c:pt>
                <c:pt idx="8">
                  <c:v>6858.9700830371703</c:v>
                </c:pt>
                <c:pt idx="9">
                  <c:v>6903.7382662548889</c:v>
                </c:pt>
                <c:pt idx="10">
                  <c:v>6948.8655023790488</c:v>
                </c:pt>
                <c:pt idx="11">
                  <c:v>6994.3494959084337</c:v>
                </c:pt>
                <c:pt idx="12">
                  <c:v>7040.1879945932606</c:v>
                </c:pt>
                <c:pt idx="13">
                  <c:v>7086.3787894351908</c:v>
                </c:pt>
                <c:pt idx="14">
                  <c:v>7132.9197146873294</c:v>
                </c:pt>
                <c:pt idx="15">
                  <c:v>7179.8086478542191</c:v>
                </c:pt>
                <c:pt idx="16">
                  <c:v>7227.0435096918427</c:v>
                </c:pt>
                <c:pt idx="17">
                  <c:v>7274.62226420763</c:v>
                </c:pt>
                <c:pt idx="18">
                  <c:v>7322.5429186604479</c:v>
                </c:pt>
                <c:pt idx="19">
                  <c:v>7370.8035235606039</c:v>
                </c:pt>
                <c:pt idx="20">
                  <c:v>7419.4021726698502</c:v>
                </c:pt>
                <c:pt idx="21">
                  <c:v>7468.3370030013784</c:v>
                </c:pt>
                <c:pt idx="22">
                  <c:v>7517.6061948198203</c:v>
                </c:pt>
                <c:pt idx="23">
                  <c:v>7567.2079716412518</c:v>
                </c:pt>
                <c:pt idx="24">
                  <c:v>7617.1406002331887</c:v>
                </c:pt>
                <c:pt idx="25">
                  <c:v>7667.4023906145867</c:v>
                </c:pt>
                <c:pt idx="26">
                  <c:v>7717.9916960558412</c:v>
                </c:pt>
                <c:pt idx="27">
                  <c:v>7768.9069130787975</c:v>
                </c:pt>
                <c:pt idx="28">
                  <c:v>7820.1464814567344</c:v>
                </c:pt>
                <c:pt idx="29">
                  <c:v>7871.7088842143712</c:v>
                </c:pt>
                <c:pt idx="30">
                  <c:v>7923.5926476278764</c:v>
                </c:pt>
                <c:pt idx="31">
                  <c:v>7975.7963412248491</c:v>
                </c:pt>
                <c:pt idx="32">
                  <c:v>8028.3185777843391</c:v>
                </c:pt>
                <c:pt idx="33">
                  <c:v>8081.1580133368334</c:v>
                </c:pt>
                <c:pt idx="34">
                  <c:v>8134.3133471642586</c:v>
                </c:pt>
                <c:pt idx="35">
                  <c:v>8187.7833217999869</c:v>
                </c:pt>
                <c:pt idx="36">
                  <c:v>8241.5667230288273</c:v>
                </c:pt>
                <c:pt idx="37">
                  <c:v>8295.6623798870351</c:v>
                </c:pt>
                <c:pt idx="38">
                  <c:v>8350.0691646623036</c:v>
                </c:pt>
                <c:pt idx="39">
                  <c:v>8404.7859928937669</c:v>
                </c:pt>
                <c:pt idx="40">
                  <c:v>8459.8118233719997</c:v>
                </c:pt>
                <c:pt idx="41">
                  <c:v>8515.1456581390212</c:v>
                </c:pt>
                <c:pt idx="42">
                  <c:v>8570.786542488293</c:v>
                </c:pt>
                <c:pt idx="43">
                  <c:v>8626.7335649647139</c:v>
                </c:pt>
                <c:pt idx="44">
                  <c:v>8682.9858573646234</c:v>
                </c:pt>
                <c:pt idx="45">
                  <c:v>8739.5425947358053</c:v>
                </c:pt>
                <c:pt idx="46">
                  <c:v>8796.4029953774861</c:v>
                </c:pt>
                <c:pt idx="47">
                  <c:v>8853.5663208403312</c:v>
                </c:pt>
                <c:pt idx="48">
                  <c:v>8911.0318759264446</c:v>
                </c:pt>
                <c:pt idx="49">
                  <c:v>8968.7990086893751</c:v>
                </c:pt>
                <c:pt idx="50">
                  <c:v>9026.8671104341156</c:v>
                </c:pt>
                <c:pt idx="51">
                  <c:v>9085.2356157170925</c:v>
                </c:pt>
                <c:pt idx="52">
                  <c:v>9143.9040023461821</c:v>
                </c:pt>
                <c:pt idx="53">
                  <c:v>9202.8717913806922</c:v>
                </c:pt>
                <c:pt idx="54">
                  <c:v>9262.1385471313806</c:v>
                </c:pt>
                <c:pt idx="55">
                  <c:v>9321.7038771604457</c:v>
                </c:pt>
                <c:pt idx="56">
                  <c:v>9381.5674322815212</c:v>
                </c:pt>
                <c:pt idx="57">
                  <c:v>9441.7289065596888</c:v>
                </c:pt>
                <c:pt idx="58">
                  <c:v>9502.1880373114636</c:v>
                </c:pt>
                <c:pt idx="59">
                  <c:v>9562.9446051048089</c:v>
                </c:pt>
                <c:pt idx="60">
                  <c:v>9623.9984337591304</c:v>
                </c:pt>
                <c:pt idx="61">
                  <c:v>9685.3493903452709</c:v>
                </c:pt>
                <c:pt idx="62">
                  <c:v>9746.9973851855102</c:v>
                </c:pt>
                <c:pt idx="63">
                  <c:v>9808.94237185358</c:v>
                </c:pt>
                <c:pt idx="64">
                  <c:v>9871.1843471746452</c:v>
                </c:pt>
                <c:pt idx="65">
                  <c:v>9933.7233512253169</c:v>
                </c:pt>
                <c:pt idx="66">
                  <c:v>9996.5594673336454</c:v>
                </c:pt>
                <c:pt idx="67">
                  <c:v>10059.692822079123</c:v>
                </c:pt>
                <c:pt idx="68">
                  <c:v>10123.123585292678</c:v>
                </c:pt>
                <c:pt idx="69">
                  <c:v>10186.851970056689</c:v>
                </c:pt>
                <c:pt idx="70">
                  <c:v>10250.878232704968</c:v>
                </c:pt>
                <c:pt idx="71">
                  <c:v>10315.202672822779</c:v>
                </c:pt>
                <c:pt idx="72">
                  <c:v>10379.82563324681</c:v>
                </c:pt>
                <c:pt idx="73">
                  <c:v>10444.747500065207</c:v>
                </c:pt>
                <c:pt idx="74">
                  <c:v>10509.968702617549</c:v>
                </c:pt>
                <c:pt idx="75">
                  <c:v>10575.489713494859</c:v>
                </c:pt>
                <c:pt idx="76">
                  <c:v>10641.311048539599</c:v>
                </c:pt>
                <c:pt idx="77">
                  <c:v>10707.433266845675</c:v>
                </c:pt>
                <c:pt idx="78">
                  <c:v>10773.85697075843</c:v>
                </c:pt>
                <c:pt idx="79">
                  <c:v>10840.582805874654</c:v>
                </c:pt>
                <c:pt idx="80">
                  <c:v>10907.611461042574</c:v>
                </c:pt>
                <c:pt idx="81">
                  <c:v>10974.943668361862</c:v>
                </c:pt>
                <c:pt idx="82">
                  <c:v>11042.580203183627</c:v>
                </c:pt>
                <c:pt idx="83">
                  <c:v>11110.521884110422</c:v>
                </c:pt>
                <c:pt idx="84">
                  <c:v>11178.769572996238</c:v>
                </c:pt>
                <c:pt idx="85">
                  <c:v>11247.324174946516</c:v>
                </c:pt>
                <c:pt idx="86">
                  <c:v>11316.186638318128</c:v>
                </c:pt>
                <c:pt idx="87">
                  <c:v>11385.357954719393</c:v>
                </c:pt>
                <c:pt idx="88">
                  <c:v>11454.839159010069</c:v>
                </c:pt>
                <c:pt idx="89">
                  <c:v>11524.631329301359</c:v>
                </c:pt>
                <c:pt idx="90">
                  <c:v>11594.735586955901</c:v>
                </c:pt>
                <c:pt idx="91">
                  <c:v>11665.153096587779</c:v>
                </c:pt>
                <c:pt idx="92">
                  <c:v>11735.885066062518</c:v>
                </c:pt>
                <c:pt idx="93">
                  <c:v>11806.932746497079</c:v>
                </c:pt>
                <c:pt idx="94">
                  <c:v>11878.297432259878</c:v>
                </c:pt>
                <c:pt idx="95">
                  <c:v>11949.980460970753</c:v>
                </c:pt>
                <c:pt idx="96">
                  <c:v>12021.983213501002</c:v>
                </c:pt>
                <c:pt idx="97">
                  <c:v>12094.307113973347</c:v>
                </c:pt>
                <c:pt idx="98">
                  <c:v>12166.953629761969</c:v>
                </c:pt>
                <c:pt idx="99">
                  <c:v>12239.924271492477</c:v>
                </c:pt>
                <c:pt idx="100">
                  <c:v>12313.22059304192</c:v>
                </c:pt>
                <c:pt idx="101">
                  <c:v>12386.844191538803</c:v>
                </c:pt>
                <c:pt idx="102">
                  <c:v>12460.796707363059</c:v>
                </c:pt>
                <c:pt idx="103">
                  <c:v>12535.079824146067</c:v>
                </c:pt>
                <c:pt idx="104">
                  <c:v>12609.695268770643</c:v>
                </c:pt>
                <c:pt idx="105">
                  <c:v>12684.644811371058</c:v>
                </c:pt>
                <c:pt idx="106">
                  <c:v>12759.930265333003</c:v>
                </c:pt>
                <c:pt idx="107">
                  <c:v>12835.553487293628</c:v>
                </c:pt>
                <c:pt idx="108">
                  <c:v>12911.516377141515</c:v>
                </c:pt>
                <c:pt idx="109">
                  <c:v>12987.820878016695</c:v>
                </c:pt>
                <c:pt idx="110">
                  <c:v>13064.468976310629</c:v>
                </c:pt>
                <c:pt idx="111">
                  <c:v>13141.462701666229</c:v>
                </c:pt>
                <c:pt idx="112">
                  <c:v>13218.804126977848</c:v>
                </c:pt>
                <c:pt idx="113">
                  <c:v>13296.495368391274</c:v>
                </c:pt>
                <c:pt idx="114">
                  <c:v>13374.538585303735</c:v>
                </c:pt>
                <c:pt idx="115">
                  <c:v>13452.93598036392</c:v>
                </c:pt>
                <c:pt idx="116">
                  <c:v>13531.689799471929</c:v>
                </c:pt>
                <c:pt idx="117">
                  <c:v>13610.802331779327</c:v>
                </c:pt>
                <c:pt idx="118">
                  <c:v>13690.275909689111</c:v>
                </c:pt>
                <c:pt idx="119">
                  <c:v>13770.112908855715</c:v>
                </c:pt>
                <c:pt idx="120">
                  <c:v>13850.315748185027</c:v>
                </c:pt>
                <c:pt idx="121">
                  <c:v>13930.886889834363</c:v>
                </c:pt>
                <c:pt idx="122">
                  <c:v>14011.82883921249</c:v>
                </c:pt>
                <c:pt idx="123">
                  <c:v>14093.144144979609</c:v>
                </c:pt>
                <c:pt idx="124">
                  <c:v>14174.835399047368</c:v>
                </c:pt>
                <c:pt idx="125">
                  <c:v>14256.905236578858</c:v>
                </c:pt>
                <c:pt idx="126">
                  <c:v>14339.356335988599</c:v>
                </c:pt>
                <c:pt idx="127">
                  <c:v>14422.19141894257</c:v>
                </c:pt>
                <c:pt idx="128">
                  <c:v>14505.413250358171</c:v>
                </c:pt>
                <c:pt idx="129">
                  <c:v>14589.024638404262</c:v>
                </c:pt>
                <c:pt idx="130">
                  <c:v>14673.028434501137</c:v>
                </c:pt>
                <c:pt idx="131">
                  <c:v>14757.427533320526</c:v>
                </c:pt>
                <c:pt idx="132">
                  <c:v>14842.224872785613</c:v>
                </c:pt>
                <c:pt idx="133">
                  <c:v>14927.423434071005</c:v>
                </c:pt>
                <c:pt idx="134">
                  <c:v>15013.026241602771</c:v>
                </c:pt>
                <c:pt idx="135">
                  <c:v>15099.036363058402</c:v>
                </c:pt>
                <c:pt idx="136">
                  <c:v>15185.456909366843</c:v>
                </c:pt>
                <c:pt idx="137">
                  <c:v>15272.291034708483</c:v>
                </c:pt>
                <c:pt idx="138">
                  <c:v>15359.541936515136</c:v>
                </c:pt>
                <c:pt idx="139">
                  <c:v>15447.212855470074</c:v>
                </c:pt>
                <c:pt idx="140">
                  <c:v>15535.307075507999</c:v>
                </c:pt>
                <c:pt idx="141">
                  <c:v>15623.827923815064</c:v>
                </c:pt>
                <c:pt idx="142">
                  <c:v>15712.778770828854</c:v>
                </c:pt>
                <c:pt idx="143">
                  <c:v>15802.163030238404</c:v>
                </c:pt>
                <c:pt idx="144">
                  <c:v>15891.98415898418</c:v>
                </c:pt>
                <c:pt idx="145">
                  <c:v>15982.2456572581</c:v>
                </c:pt>
                <c:pt idx="146">
                  <c:v>16072.951068503513</c:v>
                </c:pt>
                <c:pt idx="147">
                  <c:v>16164.10397941522</c:v>
                </c:pt>
                <c:pt idx="148">
                  <c:v>16255.708019939457</c:v>
                </c:pt>
                <c:pt idx="149">
                  <c:v>16347.766863273902</c:v>
                </c:pt>
                <c:pt idx="150">
                  <c:v>16440.284225867672</c:v>
                </c:pt>
                <c:pt idx="151">
                  <c:v>16533.26386742133</c:v>
                </c:pt>
                <c:pt idx="152">
                  <c:v>16626.70959088688</c:v>
                </c:pt>
                <c:pt idx="153">
                  <c:v>16720.625242467762</c:v>
                </c:pt>
                <c:pt idx="154">
                  <c:v>16815.014711618864</c:v>
                </c:pt>
                <c:pt idx="155">
                  <c:v>16909.881931046515</c:v>
                </c:pt>
                <c:pt idx="156">
                  <c:v>17005.230876708472</c:v>
                </c:pt>
                <c:pt idx="157">
                  <c:v>17101.065567813948</c:v>
                </c:pt>
                <c:pt idx="158">
                  <c:v>17197.390066823598</c:v>
                </c:pt>
                <c:pt idx="159">
                  <c:v>17294.208479449517</c:v>
                </c:pt>
                <c:pt idx="160">
                  <c:v>17391.524954655222</c:v>
                </c:pt>
                <c:pt idx="161">
                  <c:v>17489.343684655698</c:v>
                </c:pt>
                <c:pt idx="162">
                  <c:v>17587.668904917358</c:v>
                </c:pt>
                <c:pt idx="163">
                  <c:v>17686.504894158057</c:v>
                </c:pt>
                <c:pt idx="164">
                  <c:v>17785.855974347101</c:v>
                </c:pt>
                <c:pt idx="165">
                  <c:v>17885.726510705219</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numCache>
            </c:numRef>
          </c:xVal>
          <c:yVal>
            <c:numRef>
              <c:f>'Device Resistance Tables'!$B$24:$B$214</c:f>
              <c:numCache>
                <c:formatCode>General</c:formatCode>
                <c:ptCount val="19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numCache>
            </c:numRef>
          </c:yVal>
          <c:smooth val="1"/>
          <c:extLst>
            <c:ext xmlns:c16="http://schemas.microsoft.com/office/drawing/2014/chart" uri="{C3380CC4-5D6E-409C-BE32-E72D297353CC}">
              <c16:uniqueId val="{00000001-77CD-4F02-A6B8-80B45B131A6F}"/>
            </c:ext>
          </c:extLst>
        </c:ser>
        <c:dLbls>
          <c:showLegendKey val="0"/>
          <c:showVal val="0"/>
          <c:showCatName val="0"/>
          <c:showSerName val="0"/>
          <c:showPercent val="0"/>
          <c:showBubbleSize val="0"/>
        </c:dLbls>
        <c:axId val="172436480"/>
        <c:axId val="172479616"/>
      </c:scatterChart>
      <c:valAx>
        <c:axId val="172436480"/>
        <c:scaling>
          <c:orientation val="minMax"/>
        </c:scaling>
        <c:delete val="0"/>
        <c:axPos val="b"/>
        <c:majorGridlines>
          <c:spPr>
            <a:ln>
              <a:noFill/>
            </a:ln>
          </c:spPr>
        </c:majorGridlines>
        <c:title>
          <c:tx>
            <c:rich>
              <a:bodyPr/>
              <a:lstStyle/>
              <a:p>
                <a:pPr>
                  <a:defRPr sz="1000">
                    <a:latin typeface="Arial" panose="020B0604020202020204" pitchFamily="34" charset="0"/>
                    <a:cs typeface="Arial" panose="020B0604020202020204" pitchFamily="34" charset="0"/>
                  </a:defRPr>
                </a:pPr>
                <a:r>
                  <a:rPr lang="en-US" sz="1000" b="1" i="0" baseline="0">
                    <a:effectLst/>
                    <a:latin typeface="Arial" panose="020B0604020202020204" pitchFamily="34" charset="0"/>
                    <a:cs typeface="Arial" panose="020B0604020202020204" pitchFamily="34" charset="0"/>
                  </a:rPr>
                  <a:t>Resistance in Ohms</a:t>
                </a:r>
                <a:endParaRPr lang="en-US" sz="1000">
                  <a:effectLst/>
                  <a:latin typeface="Arial" panose="020B0604020202020204" pitchFamily="34" charset="0"/>
                  <a:cs typeface="Arial" panose="020B0604020202020204" pitchFamily="34" charset="0"/>
                </a:endParaRPr>
              </a:p>
            </c:rich>
          </c:tx>
          <c:layout>
            <c:manualLayout>
              <c:xMode val="edge"/>
              <c:yMode val="edge"/>
              <c:x val="0.38384982100284731"/>
              <c:y val="0.91607238865781782"/>
            </c:manualLayout>
          </c:layout>
          <c:overlay val="0"/>
        </c:title>
        <c:numFmt formatCode="0" sourceLinked="1"/>
        <c:majorTickMark val="out"/>
        <c:minorTickMark val="out"/>
        <c:tickLblPos val="low"/>
        <c:crossAx val="172479616"/>
        <c:crosses val="autoZero"/>
        <c:crossBetween val="midCat"/>
      </c:valAx>
      <c:valAx>
        <c:axId val="172479616"/>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00" b="1" i="0" baseline="0">
                    <a:effectLst/>
                  </a:rPr>
                  <a:t>Temperature in degrees C</a:t>
                </a:r>
                <a:endParaRPr lang="en-US" sz="1000">
                  <a:effectLst/>
                </a:endParaRPr>
              </a:p>
            </c:rich>
          </c:tx>
          <c:layout>
            <c:manualLayout>
              <c:xMode val="edge"/>
              <c:yMode val="edge"/>
              <c:x val="4.0172406978463304E-2"/>
              <c:y val="0.31389821057028705"/>
            </c:manualLayout>
          </c:layout>
          <c:overlay val="0"/>
        </c:title>
        <c:numFmt formatCode="General" sourceLinked="1"/>
        <c:majorTickMark val="out"/>
        <c:minorTickMark val="none"/>
        <c:tickLblPos val="nextTo"/>
        <c:crossAx val="172436480"/>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n-US"/>
              <a:t>4th Order Polynomial Quartic Function</a:t>
            </a:r>
          </a:p>
        </c:rich>
      </c:tx>
      <c:overlay val="0"/>
    </c:title>
    <c:autoTitleDeleted val="0"/>
    <c:plotArea>
      <c:layout>
        <c:manualLayout>
          <c:layoutTarget val="inner"/>
          <c:xMode val="edge"/>
          <c:yMode val="edge"/>
          <c:x val="0.12384705640939297"/>
          <c:y val="0.16294206279770584"/>
          <c:w val="0.60599031350776"/>
          <c:h val="0.67452634392923105"/>
        </c:manualLayout>
      </c:layout>
      <c:scatterChart>
        <c:scatterStyle val="smoothMarker"/>
        <c:varyColors val="0"/>
        <c:ser>
          <c:idx val="0"/>
          <c:order val="0"/>
          <c:tx>
            <c:strRef>
              <c:f>'Device Resistance Tables'!$D$23</c:f>
              <c:strCache>
                <c:ptCount val="1"/>
                <c:pt idx="0">
                  <c:v>Typical Resistance (Ω)</c:v>
                </c:pt>
              </c:strCache>
            </c:strRef>
          </c:tx>
          <c:marker>
            <c:symbol val="none"/>
          </c:marker>
          <c:trendline>
            <c:spPr>
              <a:ln>
                <a:prstDash val="dash"/>
              </a:ln>
            </c:spPr>
            <c:trendlineType val="poly"/>
            <c:order val="4"/>
            <c:dispRSqr val="0"/>
            <c:dispEq val="1"/>
            <c:trendlineLbl>
              <c:layout>
                <c:manualLayout>
                  <c:x val="0.14236142883305752"/>
                  <c:y val="-0.16634344318071353"/>
                </c:manualLayout>
              </c:layout>
              <c:numFmt formatCode="0.00000E+00" sourceLinked="0"/>
            </c:trendlineLbl>
          </c:trendline>
          <c:xVal>
            <c:numRef>
              <c:f>'Device Resistance Tables'!$B$24:$B$214</c:f>
              <c:numCache>
                <c:formatCode>General</c:formatCode>
                <c:ptCount val="19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numCache>
            </c:numRef>
          </c:xVal>
          <c:yVal>
            <c:numRef>
              <c:f>'Device Resistance Tables'!$D$24:$D$214</c:f>
              <c:numCache>
                <c:formatCode>0</c:formatCode>
                <c:ptCount val="191"/>
                <c:pt idx="0">
                  <c:v>6514.0402550496137</c:v>
                </c:pt>
                <c:pt idx="1">
                  <c:v>6555.848186798853</c:v>
                </c:pt>
                <c:pt idx="2">
                  <c:v>6598.0350925161956</c:v>
                </c:pt>
                <c:pt idx="3">
                  <c:v>6640.5983306888866</c:v>
                </c:pt>
                <c:pt idx="4">
                  <c:v>6683.535303055618</c:v>
                </c:pt>
                <c:pt idx="5">
                  <c:v>6726.8434546065191</c:v>
                </c:pt>
                <c:pt idx="6">
                  <c:v>6770.5202735831617</c:v>
                </c:pt>
                <c:pt idx="7">
                  <c:v>6814.563291478561</c:v>
                </c:pt>
                <c:pt idx="8">
                  <c:v>6858.9700830371703</c:v>
                </c:pt>
                <c:pt idx="9">
                  <c:v>6903.7382662548889</c:v>
                </c:pt>
                <c:pt idx="10">
                  <c:v>6948.8655023790488</c:v>
                </c:pt>
                <c:pt idx="11">
                  <c:v>6994.3494959084337</c:v>
                </c:pt>
                <c:pt idx="12">
                  <c:v>7040.1879945932606</c:v>
                </c:pt>
                <c:pt idx="13">
                  <c:v>7086.3787894351908</c:v>
                </c:pt>
                <c:pt idx="14">
                  <c:v>7132.9197146873294</c:v>
                </c:pt>
                <c:pt idx="15">
                  <c:v>7179.8086478542191</c:v>
                </c:pt>
                <c:pt idx="16">
                  <c:v>7227.0435096918427</c:v>
                </c:pt>
                <c:pt idx="17">
                  <c:v>7274.62226420763</c:v>
                </c:pt>
                <c:pt idx="18">
                  <c:v>7322.5429186604479</c:v>
                </c:pt>
                <c:pt idx="19">
                  <c:v>7370.8035235606039</c:v>
                </c:pt>
                <c:pt idx="20">
                  <c:v>7419.4021726698502</c:v>
                </c:pt>
                <c:pt idx="21">
                  <c:v>7468.3370030013784</c:v>
                </c:pt>
                <c:pt idx="22">
                  <c:v>7517.6061948198203</c:v>
                </c:pt>
                <c:pt idx="23">
                  <c:v>7567.2079716412518</c:v>
                </c:pt>
                <c:pt idx="24">
                  <c:v>7617.1406002331887</c:v>
                </c:pt>
                <c:pt idx="25">
                  <c:v>7667.4023906145867</c:v>
                </c:pt>
                <c:pt idx="26">
                  <c:v>7717.9916960558412</c:v>
                </c:pt>
                <c:pt idx="27">
                  <c:v>7768.9069130787975</c:v>
                </c:pt>
                <c:pt idx="28">
                  <c:v>7820.1464814567344</c:v>
                </c:pt>
                <c:pt idx="29">
                  <c:v>7871.7088842143712</c:v>
                </c:pt>
                <c:pt idx="30">
                  <c:v>7923.5926476278764</c:v>
                </c:pt>
                <c:pt idx="31">
                  <c:v>7975.7963412248491</c:v>
                </c:pt>
                <c:pt idx="32">
                  <c:v>8028.3185777843391</c:v>
                </c:pt>
                <c:pt idx="33">
                  <c:v>8081.1580133368334</c:v>
                </c:pt>
                <c:pt idx="34">
                  <c:v>8134.3133471642586</c:v>
                </c:pt>
                <c:pt idx="35">
                  <c:v>8187.7833217999869</c:v>
                </c:pt>
                <c:pt idx="36">
                  <c:v>8241.5667230288273</c:v>
                </c:pt>
                <c:pt idx="37">
                  <c:v>8295.6623798870351</c:v>
                </c:pt>
                <c:pt idx="38">
                  <c:v>8350.0691646623036</c:v>
                </c:pt>
                <c:pt idx="39">
                  <c:v>8404.7859928937669</c:v>
                </c:pt>
                <c:pt idx="40">
                  <c:v>8459.8118233719997</c:v>
                </c:pt>
                <c:pt idx="41">
                  <c:v>8515.1456581390212</c:v>
                </c:pt>
                <c:pt idx="42">
                  <c:v>8570.786542488293</c:v>
                </c:pt>
                <c:pt idx="43">
                  <c:v>8626.7335649647139</c:v>
                </c:pt>
                <c:pt idx="44">
                  <c:v>8682.9858573646234</c:v>
                </c:pt>
                <c:pt idx="45">
                  <c:v>8739.5425947358053</c:v>
                </c:pt>
                <c:pt idx="46">
                  <c:v>8796.4029953774861</c:v>
                </c:pt>
                <c:pt idx="47">
                  <c:v>8853.5663208403312</c:v>
                </c:pt>
                <c:pt idx="48">
                  <c:v>8911.0318759264446</c:v>
                </c:pt>
                <c:pt idx="49">
                  <c:v>8968.7990086893751</c:v>
                </c:pt>
                <c:pt idx="50">
                  <c:v>9026.8671104341156</c:v>
                </c:pt>
                <c:pt idx="51">
                  <c:v>9085.2356157170925</c:v>
                </c:pt>
                <c:pt idx="52">
                  <c:v>9143.9040023461821</c:v>
                </c:pt>
                <c:pt idx="53">
                  <c:v>9202.8717913806922</c:v>
                </c:pt>
                <c:pt idx="54">
                  <c:v>9262.1385471313806</c:v>
                </c:pt>
                <c:pt idx="55">
                  <c:v>9321.7038771604457</c:v>
                </c:pt>
                <c:pt idx="56">
                  <c:v>9381.5674322815212</c:v>
                </c:pt>
                <c:pt idx="57">
                  <c:v>9441.7289065596888</c:v>
                </c:pt>
                <c:pt idx="58">
                  <c:v>9502.1880373114636</c:v>
                </c:pt>
                <c:pt idx="59">
                  <c:v>9562.9446051048089</c:v>
                </c:pt>
                <c:pt idx="60">
                  <c:v>9623.9984337591304</c:v>
                </c:pt>
                <c:pt idx="61">
                  <c:v>9685.3493903452709</c:v>
                </c:pt>
                <c:pt idx="62">
                  <c:v>9746.9973851855102</c:v>
                </c:pt>
                <c:pt idx="63">
                  <c:v>9808.94237185358</c:v>
                </c:pt>
                <c:pt idx="64">
                  <c:v>9871.1843471746452</c:v>
                </c:pt>
                <c:pt idx="65">
                  <c:v>9933.7233512253169</c:v>
                </c:pt>
                <c:pt idx="66">
                  <c:v>9996.5594673336454</c:v>
                </c:pt>
                <c:pt idx="67">
                  <c:v>10059.692822079123</c:v>
                </c:pt>
                <c:pt idx="68">
                  <c:v>10123.123585292678</c:v>
                </c:pt>
                <c:pt idx="69">
                  <c:v>10186.851970056689</c:v>
                </c:pt>
                <c:pt idx="70">
                  <c:v>10250.878232704968</c:v>
                </c:pt>
                <c:pt idx="71">
                  <c:v>10315.202672822779</c:v>
                </c:pt>
                <c:pt idx="72">
                  <c:v>10379.82563324681</c:v>
                </c:pt>
                <c:pt idx="73">
                  <c:v>10444.747500065207</c:v>
                </c:pt>
                <c:pt idx="74">
                  <c:v>10509.968702617549</c:v>
                </c:pt>
                <c:pt idx="75">
                  <c:v>10575.489713494859</c:v>
                </c:pt>
                <c:pt idx="76">
                  <c:v>10641.311048539599</c:v>
                </c:pt>
                <c:pt idx="77">
                  <c:v>10707.433266845675</c:v>
                </c:pt>
                <c:pt idx="78">
                  <c:v>10773.85697075843</c:v>
                </c:pt>
                <c:pt idx="79">
                  <c:v>10840.582805874654</c:v>
                </c:pt>
                <c:pt idx="80">
                  <c:v>10907.611461042574</c:v>
                </c:pt>
                <c:pt idx="81">
                  <c:v>10974.943668361862</c:v>
                </c:pt>
                <c:pt idx="82">
                  <c:v>11042.580203183627</c:v>
                </c:pt>
                <c:pt idx="83">
                  <c:v>11110.521884110422</c:v>
                </c:pt>
                <c:pt idx="84">
                  <c:v>11178.769572996238</c:v>
                </c:pt>
                <c:pt idx="85">
                  <c:v>11247.324174946516</c:v>
                </c:pt>
                <c:pt idx="86">
                  <c:v>11316.186638318128</c:v>
                </c:pt>
                <c:pt idx="87">
                  <c:v>11385.357954719393</c:v>
                </c:pt>
                <c:pt idx="88">
                  <c:v>11454.839159010069</c:v>
                </c:pt>
                <c:pt idx="89">
                  <c:v>11524.631329301359</c:v>
                </c:pt>
                <c:pt idx="90">
                  <c:v>11594.735586955901</c:v>
                </c:pt>
                <c:pt idx="91">
                  <c:v>11665.153096587779</c:v>
                </c:pt>
                <c:pt idx="92">
                  <c:v>11735.885066062518</c:v>
                </c:pt>
                <c:pt idx="93">
                  <c:v>11806.932746497079</c:v>
                </c:pt>
                <c:pt idx="94">
                  <c:v>11878.297432259878</c:v>
                </c:pt>
                <c:pt idx="95">
                  <c:v>11949.980460970753</c:v>
                </c:pt>
                <c:pt idx="96">
                  <c:v>12021.983213501002</c:v>
                </c:pt>
                <c:pt idx="97">
                  <c:v>12094.307113973347</c:v>
                </c:pt>
                <c:pt idx="98">
                  <c:v>12166.953629761969</c:v>
                </c:pt>
                <c:pt idx="99">
                  <c:v>12239.924271492477</c:v>
                </c:pt>
                <c:pt idx="100">
                  <c:v>12313.22059304192</c:v>
                </c:pt>
                <c:pt idx="101">
                  <c:v>12386.844191538803</c:v>
                </c:pt>
                <c:pt idx="102">
                  <c:v>12460.796707363059</c:v>
                </c:pt>
                <c:pt idx="103">
                  <c:v>12535.079824146067</c:v>
                </c:pt>
                <c:pt idx="104">
                  <c:v>12609.695268770643</c:v>
                </c:pt>
                <c:pt idx="105">
                  <c:v>12684.644811371058</c:v>
                </c:pt>
                <c:pt idx="106">
                  <c:v>12759.930265333003</c:v>
                </c:pt>
                <c:pt idx="107">
                  <c:v>12835.553487293628</c:v>
                </c:pt>
                <c:pt idx="108">
                  <c:v>12911.516377141515</c:v>
                </c:pt>
                <c:pt idx="109">
                  <c:v>12987.820878016695</c:v>
                </c:pt>
                <c:pt idx="110">
                  <c:v>13064.468976310629</c:v>
                </c:pt>
                <c:pt idx="111">
                  <c:v>13141.462701666229</c:v>
                </c:pt>
                <c:pt idx="112">
                  <c:v>13218.804126977848</c:v>
                </c:pt>
                <c:pt idx="113">
                  <c:v>13296.495368391274</c:v>
                </c:pt>
                <c:pt idx="114">
                  <c:v>13374.538585303735</c:v>
                </c:pt>
                <c:pt idx="115">
                  <c:v>13452.93598036392</c:v>
                </c:pt>
                <c:pt idx="116">
                  <c:v>13531.689799471929</c:v>
                </c:pt>
                <c:pt idx="117">
                  <c:v>13610.802331779327</c:v>
                </c:pt>
                <c:pt idx="118">
                  <c:v>13690.275909689111</c:v>
                </c:pt>
                <c:pt idx="119">
                  <c:v>13770.112908855715</c:v>
                </c:pt>
                <c:pt idx="120">
                  <c:v>13850.315748185027</c:v>
                </c:pt>
                <c:pt idx="121">
                  <c:v>13930.886889834363</c:v>
                </c:pt>
                <c:pt idx="122">
                  <c:v>14011.82883921249</c:v>
                </c:pt>
                <c:pt idx="123">
                  <c:v>14093.144144979609</c:v>
                </c:pt>
                <c:pt idx="124">
                  <c:v>14174.835399047368</c:v>
                </c:pt>
                <c:pt idx="125">
                  <c:v>14256.905236578858</c:v>
                </c:pt>
                <c:pt idx="126">
                  <c:v>14339.356335988599</c:v>
                </c:pt>
                <c:pt idx="127">
                  <c:v>14422.19141894257</c:v>
                </c:pt>
                <c:pt idx="128">
                  <c:v>14505.413250358171</c:v>
                </c:pt>
                <c:pt idx="129">
                  <c:v>14589.024638404262</c:v>
                </c:pt>
                <c:pt idx="130">
                  <c:v>14673.028434501137</c:v>
                </c:pt>
                <c:pt idx="131">
                  <c:v>14757.427533320526</c:v>
                </c:pt>
                <c:pt idx="132">
                  <c:v>14842.224872785613</c:v>
                </c:pt>
                <c:pt idx="133">
                  <c:v>14927.423434071005</c:v>
                </c:pt>
                <c:pt idx="134">
                  <c:v>15013.026241602771</c:v>
                </c:pt>
                <c:pt idx="135">
                  <c:v>15099.036363058402</c:v>
                </c:pt>
                <c:pt idx="136">
                  <c:v>15185.456909366843</c:v>
                </c:pt>
                <c:pt idx="137">
                  <c:v>15272.291034708483</c:v>
                </c:pt>
                <c:pt idx="138">
                  <c:v>15359.541936515136</c:v>
                </c:pt>
                <c:pt idx="139">
                  <c:v>15447.212855470074</c:v>
                </c:pt>
                <c:pt idx="140">
                  <c:v>15535.307075507999</c:v>
                </c:pt>
                <c:pt idx="141">
                  <c:v>15623.827923815064</c:v>
                </c:pt>
                <c:pt idx="142">
                  <c:v>15712.778770828854</c:v>
                </c:pt>
                <c:pt idx="143">
                  <c:v>15802.163030238404</c:v>
                </c:pt>
                <c:pt idx="144">
                  <c:v>15891.98415898418</c:v>
                </c:pt>
                <c:pt idx="145">
                  <c:v>15982.2456572581</c:v>
                </c:pt>
                <c:pt idx="146">
                  <c:v>16072.951068503513</c:v>
                </c:pt>
                <c:pt idx="147">
                  <c:v>16164.10397941522</c:v>
                </c:pt>
                <c:pt idx="148">
                  <c:v>16255.708019939457</c:v>
                </c:pt>
                <c:pt idx="149">
                  <c:v>16347.766863273902</c:v>
                </c:pt>
                <c:pt idx="150">
                  <c:v>16440.284225867672</c:v>
                </c:pt>
                <c:pt idx="151">
                  <c:v>16533.26386742133</c:v>
                </c:pt>
                <c:pt idx="152">
                  <c:v>16626.70959088688</c:v>
                </c:pt>
                <c:pt idx="153">
                  <c:v>16720.625242467762</c:v>
                </c:pt>
                <c:pt idx="154">
                  <c:v>16815.014711618864</c:v>
                </c:pt>
                <c:pt idx="155">
                  <c:v>16909.881931046515</c:v>
                </c:pt>
                <c:pt idx="156">
                  <c:v>17005.230876708472</c:v>
                </c:pt>
                <c:pt idx="157">
                  <c:v>17101.065567813948</c:v>
                </c:pt>
                <c:pt idx="158">
                  <c:v>17197.390066823598</c:v>
                </c:pt>
                <c:pt idx="159">
                  <c:v>17294.208479449517</c:v>
                </c:pt>
                <c:pt idx="160">
                  <c:v>17391.524954655222</c:v>
                </c:pt>
                <c:pt idx="161">
                  <c:v>17489.343684655698</c:v>
                </c:pt>
                <c:pt idx="162">
                  <c:v>17587.668904917358</c:v>
                </c:pt>
                <c:pt idx="163">
                  <c:v>17686.504894158057</c:v>
                </c:pt>
                <c:pt idx="164">
                  <c:v>17785.855974347101</c:v>
                </c:pt>
                <c:pt idx="165">
                  <c:v>17885.726510705219</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numCache>
            </c:numRef>
          </c:yVal>
          <c:smooth val="1"/>
          <c:extLst>
            <c:ext xmlns:c16="http://schemas.microsoft.com/office/drawing/2014/chart" uri="{C3380CC4-5D6E-409C-BE32-E72D297353CC}">
              <c16:uniqueId val="{00000001-01E0-4CFD-9103-F68025EBE3B5}"/>
            </c:ext>
          </c:extLst>
        </c:ser>
        <c:dLbls>
          <c:showLegendKey val="0"/>
          <c:showVal val="0"/>
          <c:showCatName val="0"/>
          <c:showSerName val="0"/>
          <c:showPercent val="0"/>
          <c:showBubbleSize val="0"/>
        </c:dLbls>
        <c:axId val="172583168"/>
        <c:axId val="172589440"/>
      </c:scatterChart>
      <c:valAx>
        <c:axId val="172583168"/>
        <c:scaling>
          <c:orientation val="minMax"/>
        </c:scaling>
        <c:delete val="0"/>
        <c:axPos val="b"/>
        <c:majorGridlines>
          <c:spPr>
            <a:ln>
              <a:noFill/>
            </a:ln>
          </c:spPr>
        </c:majorGridlines>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00" b="1" i="0" baseline="0">
                    <a:effectLst/>
                  </a:rPr>
                  <a:t>Temperature in degrees C</a:t>
                </a:r>
              </a:p>
            </c:rich>
          </c:tx>
          <c:layout>
            <c:manualLayout>
              <c:xMode val="edge"/>
              <c:yMode val="edge"/>
              <c:x val="0.38384982100284731"/>
              <c:y val="0.91607238865781782"/>
            </c:manualLayout>
          </c:layout>
          <c:overlay val="0"/>
        </c:title>
        <c:numFmt formatCode="General" sourceLinked="1"/>
        <c:majorTickMark val="out"/>
        <c:minorTickMark val="out"/>
        <c:tickLblPos val="low"/>
        <c:crossAx val="172589440"/>
        <c:crosses val="autoZero"/>
        <c:crossBetween val="midCat"/>
      </c:valAx>
      <c:valAx>
        <c:axId val="172589440"/>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00" b="1" i="0" baseline="0">
                    <a:effectLst/>
                  </a:rPr>
                  <a:t>Resistance in Ohms</a:t>
                </a:r>
                <a:endParaRPr lang="en-US" sz="1000">
                  <a:effectLst/>
                </a:endParaRPr>
              </a:p>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sz="1000">
                  <a:effectLst/>
                </a:endParaRPr>
              </a:p>
            </c:rich>
          </c:tx>
          <c:layout>
            <c:manualLayout>
              <c:xMode val="edge"/>
              <c:yMode val="edge"/>
              <c:x val="1.4251545997376417E-2"/>
              <c:y val="0.3138981580609384"/>
            </c:manualLayout>
          </c:layout>
          <c:overlay val="0"/>
        </c:title>
        <c:numFmt formatCode="0" sourceLinked="1"/>
        <c:majorTickMark val="out"/>
        <c:minorTickMark val="none"/>
        <c:tickLblPos val="low"/>
        <c:crossAx val="17258316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r>
              <a:rPr lang="en-US"/>
              <a:t>4th Order Polynomial Regression Function - Temperature </a:t>
            </a:r>
            <a:r>
              <a:rPr lang="en-US" b="1"/>
              <a:t>vs</a:t>
            </a:r>
            <a:r>
              <a:rPr lang="en-US" b="1" baseline="0"/>
              <a:t> </a:t>
            </a:r>
            <a:r>
              <a:rPr lang="en-US" sz="1800" b="1" i="0" baseline="0">
                <a:effectLst/>
              </a:rPr>
              <a:t>Vsense</a:t>
            </a:r>
            <a:endParaRPr lang="en-US" b="1">
              <a:effectLst/>
            </a:endParaRPr>
          </a:p>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n-lt"/>
                <a:ea typeface="+mn-ea"/>
                <a:cs typeface="+mn-cs"/>
              </a:defRPr>
            </a:pPr>
            <a:endParaRPr lang="en-US"/>
          </a:p>
        </c:rich>
      </c:tx>
      <c:layout>
        <c:manualLayout>
          <c:xMode val="edge"/>
          <c:yMode val="edge"/>
          <c:x val="0.19242396451111066"/>
          <c:y val="0"/>
        </c:manualLayout>
      </c:layout>
      <c:overlay val="0"/>
    </c:title>
    <c:autoTitleDeleted val="0"/>
    <c:plotArea>
      <c:layout>
        <c:manualLayout>
          <c:layoutTarget val="inner"/>
          <c:xMode val="edge"/>
          <c:yMode val="edge"/>
          <c:x val="0.12384705640939297"/>
          <c:y val="0.19130850593804336"/>
          <c:w val="0.69753822200344417"/>
          <c:h val="0.64615971759376978"/>
        </c:manualLayout>
      </c:layout>
      <c:scatterChart>
        <c:scatterStyle val="smoothMarker"/>
        <c:varyColors val="0"/>
        <c:ser>
          <c:idx val="0"/>
          <c:order val="0"/>
          <c:tx>
            <c:strRef>
              <c:f>'NTC Thermistor Comparison'!$F$34:$F$35</c:f>
              <c:strCache>
                <c:ptCount val="2"/>
                <c:pt idx="0">
                  <c:v>V/top </c:v>
                </c:pt>
                <c:pt idx="1">
                  <c:v>Vdc</c:v>
                </c:pt>
              </c:strCache>
            </c:strRef>
          </c:tx>
          <c:marker>
            <c:symbol val="none"/>
          </c:marker>
          <c:trendline>
            <c:spPr>
              <a:ln>
                <a:prstDash val="dash"/>
              </a:ln>
            </c:spPr>
            <c:trendlineType val="poly"/>
            <c:order val="4"/>
            <c:dispRSqr val="1"/>
            <c:dispEq val="1"/>
            <c:trendlineLbl>
              <c:layout>
                <c:manualLayout>
                  <c:x val="-1.3022556459082027E-2"/>
                  <c:y val="-0.25096689609149631"/>
                </c:manualLayout>
              </c:layout>
              <c:numFmt formatCode="0.00000E+00" sourceLinked="0"/>
              <c:txPr>
                <a:bodyPr/>
                <a:lstStyle/>
                <a:p>
                  <a:pPr>
                    <a:defRPr sz="1000" b="0"/>
                  </a:pPr>
                  <a:endParaRPr lang="en-US"/>
                </a:p>
              </c:txPr>
            </c:trendlineLbl>
          </c:trendline>
          <c:xVal>
            <c:numRef>
              <c:f>'NTC Thermistor Comparison'!$F$36:$F$251</c:f>
              <c:numCache>
                <c:formatCode>0.0000</c:formatCode>
                <c:ptCount val="216"/>
                <c:pt idx="0">
                  <c:v>0.91196563570694589</c:v>
                </c:pt>
                <c:pt idx="1">
                  <c:v>0.91781874615183934</c:v>
                </c:pt>
                <c:pt idx="2">
                  <c:v>0.92372491295226733</c:v>
                </c:pt>
                <c:pt idx="3">
                  <c:v>0.929683766296444</c:v>
                </c:pt>
                <c:pt idx="4">
                  <c:v>0.93569494242778639</c:v>
                </c:pt>
                <c:pt idx="5">
                  <c:v>0.94175808364491265</c:v>
                </c:pt>
                <c:pt idx="6">
                  <c:v>0.9478728383016426</c:v>
                </c:pt>
                <c:pt idx="7">
                  <c:v>0.95403886080699851</c:v>
                </c:pt>
                <c:pt idx="8">
                  <c:v>0.96025581162520379</c:v>
                </c:pt>
                <c:pt idx="9">
                  <c:v>0.96652335727568439</c:v>
                </c:pt>
                <c:pt idx="10">
                  <c:v>0.97284117033306672</c:v>
                </c:pt>
                <c:pt idx="11">
                  <c:v>0.97920892942718063</c:v>
                </c:pt>
                <c:pt idx="12">
                  <c:v>0.98562631924305644</c:v>
                </c:pt>
                <c:pt idx="13">
                  <c:v>0.99209303052092668</c:v>
                </c:pt>
                <c:pt idx="14">
                  <c:v>0.99860876005622601</c:v>
                </c:pt>
                <c:pt idx="15">
                  <c:v>1.0051732106995905</c:v>
                </c:pt>
                <c:pt idx="16">
                  <c:v>1.0117860913568579</c:v>
                </c:pt>
                <c:pt idx="17">
                  <c:v>1.0184471169890681</c:v>
                </c:pt>
                <c:pt idx="18">
                  <c:v>1.0251560086124627</c:v>
                </c:pt>
                <c:pt idx="19">
                  <c:v>1.0319124932984844</c:v>
                </c:pt>
                <c:pt idx="20">
                  <c:v>1.038716304173779</c:v>
                </c:pt>
                <c:pt idx="21">
                  <c:v>1.0455671804201929</c:v>
                </c:pt>
                <c:pt idx="22">
                  <c:v>1.0524648672747747</c:v>
                </c:pt>
                <c:pt idx="23">
                  <c:v>1.0594091160297752</c:v>
                </c:pt>
                <c:pt idx="24">
                  <c:v>1.0663996840326464</c:v>
                </c:pt>
                <c:pt idx="25">
                  <c:v>1.073436334686042</c:v>
                </c:pt>
                <c:pt idx="26">
                  <c:v>1.0805188374478176</c:v>
                </c:pt>
                <c:pt idx="27">
                  <c:v>1.0876469678310317</c:v>
                </c:pt>
                <c:pt idx="28">
                  <c:v>1.0948205074039428</c:v>
                </c:pt>
                <c:pt idx="29">
                  <c:v>1.1020392437900119</c:v>
                </c:pt>
                <c:pt idx="30">
                  <c:v>1.1093029706679025</c:v>
                </c:pt>
                <c:pt idx="31">
                  <c:v>1.1166114877714788</c:v>
                </c:pt>
                <c:pt idx="32">
                  <c:v>1.1239646008898074</c:v>
                </c:pt>
                <c:pt idx="33">
                  <c:v>1.1313621218671566</c:v>
                </c:pt>
                <c:pt idx="34">
                  <c:v>1.1388038686029962</c:v>
                </c:pt>
                <c:pt idx="35">
                  <c:v>1.146289665051998</c:v>
                </c:pt>
                <c:pt idx="36">
                  <c:v>1.1538193412240356</c:v>
                </c:pt>
                <c:pt idx="37">
                  <c:v>1.1613927331841849</c:v>
                </c:pt>
                <c:pt idx="38">
                  <c:v>1.1690096830527223</c:v>
                </c:pt>
                <c:pt idx="39">
                  <c:v>1.1766700390051272</c:v>
                </c:pt>
                <c:pt idx="40">
                  <c:v>1.1843736552720798</c:v>
                </c:pt>
                <c:pt idx="41">
                  <c:v>1.192120392139463</c:v>
                </c:pt>
                <c:pt idx="42">
                  <c:v>1.1999101159483609</c:v>
                </c:pt>
                <c:pt idx="43">
                  <c:v>1.2077426990950599</c:v>
                </c:pt>
                <c:pt idx="44">
                  <c:v>1.2156180200310471</c:v>
                </c:pt>
                <c:pt idx="45">
                  <c:v>1.2235359632630127</c:v>
                </c:pt>
                <c:pt idx="46">
                  <c:v>1.2314964193528479</c:v>
                </c:pt>
                <c:pt idx="47">
                  <c:v>1.2394992849176463</c:v>
                </c:pt>
                <c:pt idx="48">
                  <c:v>1.2475444626297021</c:v>
                </c:pt>
                <c:pt idx="49">
                  <c:v>1.2556318612165125</c:v>
                </c:pt>
                <c:pt idx="50">
                  <c:v>1.263761395460776</c:v>
                </c:pt>
                <c:pt idx="51">
                  <c:v>1.2719329862003927</c:v>
                </c:pt>
                <c:pt idx="52">
                  <c:v>1.2801465603284654</c:v>
                </c:pt>
                <c:pt idx="53">
                  <c:v>1.2884020507932967</c:v>
                </c:pt>
                <c:pt idx="54">
                  <c:v>1.2966993965983933</c:v>
                </c:pt>
                <c:pt idx="55">
                  <c:v>1.3050385428024622</c:v>
                </c:pt>
                <c:pt idx="56">
                  <c:v>1.3134194405194128</c:v>
                </c:pt>
                <c:pt idx="57">
                  <c:v>1.3218420469183563</c:v>
                </c:pt>
                <c:pt idx="58">
                  <c:v>1.3303063252236047</c:v>
                </c:pt>
                <c:pt idx="59">
                  <c:v>1.3388122447146731</c:v>
                </c:pt>
                <c:pt idx="60">
                  <c:v>1.347359780726278</c:v>
                </c:pt>
                <c:pt idx="61">
                  <c:v>1.3559489146483379</c:v>
                </c:pt>
                <c:pt idx="62">
                  <c:v>1.3645796339259713</c:v>
                </c:pt>
                <c:pt idx="63">
                  <c:v>1.3732519320595011</c:v>
                </c:pt>
                <c:pt idx="64">
                  <c:v>1.3819658086044502</c:v>
                </c:pt>
                <c:pt idx="65">
                  <c:v>1.3907212691715443</c:v>
                </c:pt>
                <c:pt idx="66">
                  <c:v>1.3995183254267103</c:v>
                </c:pt>
                <c:pt idx="67">
                  <c:v>1.408356995091077</c:v>
                </c:pt>
                <c:pt idx="68">
                  <c:v>1.4172373019409747</c:v>
                </c:pt>
                <c:pt idx="69">
                  <c:v>1.4261592758079362</c:v>
                </c:pt>
                <c:pt idx="70">
                  <c:v>1.4351229525786955</c:v>
                </c:pt>
                <c:pt idx="71">
                  <c:v>1.4441283741951889</c:v>
                </c:pt>
                <c:pt idx="72">
                  <c:v>1.4531755886545532</c:v>
                </c:pt>
                <c:pt idx="73">
                  <c:v>1.4622646500091288</c:v>
                </c:pt>
                <c:pt idx="74">
                  <c:v>1.4713956183664567</c:v>
                </c:pt>
                <c:pt idx="75">
                  <c:v>1.4805685598892802</c:v>
                </c:pt>
                <c:pt idx="76">
                  <c:v>1.4897835467955438</c:v>
                </c:pt>
                <c:pt idx="77">
                  <c:v>1.4990406573583945</c:v>
                </c:pt>
                <c:pt idx="78">
                  <c:v>1.5083399759061802</c:v>
                </c:pt>
                <c:pt idx="79">
                  <c:v>1.5176815928224514</c:v>
                </c:pt>
                <c:pt idx="80">
                  <c:v>1.5270656045459603</c:v>
                </c:pt>
                <c:pt idx="81">
                  <c:v>1.5364921135706606</c:v>
                </c:pt>
                <c:pt idx="82">
                  <c:v>1.5459612284457076</c:v>
                </c:pt>
                <c:pt idx="83">
                  <c:v>1.5554730637754588</c:v>
                </c:pt>
                <c:pt idx="84">
                  <c:v>1.5650277402194732</c:v>
                </c:pt>
                <c:pt idx="85">
                  <c:v>1.574625384492512</c:v>
                </c:pt>
                <c:pt idx="86">
                  <c:v>1.5842661293645377</c:v>
                </c:pt>
                <c:pt idx="87">
                  <c:v>1.5939501136607148</c:v>
                </c:pt>
                <c:pt idx="88">
                  <c:v>1.6036774822614095</c:v>
                </c:pt>
                <c:pt idx="89">
                  <c:v>1.6134483861021902</c:v>
                </c:pt>
                <c:pt idx="90">
                  <c:v>1.623262982173826</c:v>
                </c:pt>
                <c:pt idx="91">
                  <c:v>1.633121433522289</c:v>
                </c:pt>
                <c:pt idx="92">
                  <c:v>1.6430239092487524</c:v>
                </c:pt>
                <c:pt idx="93">
                  <c:v>1.652970584509591</c:v>
                </c:pt>
                <c:pt idx="94">
                  <c:v>1.6629616405163827</c:v>
                </c:pt>
                <c:pt idx="95">
                  <c:v>1.6729972645359052</c:v>
                </c:pt>
                <c:pt idx="96">
                  <c:v>1.6830776498901401</c:v>
                </c:pt>
                <c:pt idx="97">
                  <c:v>1.6932029959562684</c:v>
                </c:pt>
                <c:pt idx="98">
                  <c:v>1.7033735081666754</c:v>
                </c:pt>
                <c:pt idx="99">
                  <c:v>1.7135893980089465</c:v>
                </c:pt>
                <c:pt idx="100">
                  <c:v>1.7238508830258688</c:v>
                </c:pt>
                <c:pt idx="101">
                  <c:v>1.7341581868154323</c:v>
                </c:pt>
                <c:pt idx="102">
                  <c:v>1.7445115390308281</c:v>
                </c:pt>
                <c:pt idx="103">
                  <c:v>1.7549111753804492</c:v>
                </c:pt>
                <c:pt idx="104">
                  <c:v>1.7653573376278899</c:v>
                </c:pt>
                <c:pt idx="105">
                  <c:v>1.7758502735919479</c:v>
                </c:pt>
                <c:pt idx="106">
                  <c:v>1.7863902371466203</c:v>
                </c:pt>
                <c:pt idx="107">
                  <c:v>1.7969774882211078</c:v>
                </c:pt>
                <c:pt idx="108">
                  <c:v>1.8076122927998119</c:v>
                </c:pt>
                <c:pt idx="109">
                  <c:v>1.8182949229223371</c:v>
                </c:pt>
                <c:pt idx="110">
                  <c:v>1.8290256566834879</c:v>
                </c:pt>
                <c:pt idx="111">
                  <c:v>1.8398047782332718</c:v>
                </c:pt>
                <c:pt idx="112">
                  <c:v>1.8506325777768986</c:v>
                </c:pt>
                <c:pt idx="113">
                  <c:v>1.861509351574778</c:v>
                </c:pt>
                <c:pt idx="114">
                  <c:v>1.8724354019425227</c:v>
                </c:pt>
                <c:pt idx="115">
                  <c:v>1.8834110372509487</c:v>
                </c:pt>
                <c:pt idx="116">
                  <c:v>1.8944365719260698</c:v>
                </c:pt>
                <c:pt idx="117">
                  <c:v>1.9055123264491056</c:v>
                </c:pt>
                <c:pt idx="118">
                  <c:v>1.9166386273564755</c:v>
                </c:pt>
                <c:pt idx="119">
                  <c:v>1.9278158072398</c:v>
                </c:pt>
                <c:pt idx="120">
                  <c:v>1.9390442047459036</c:v>
                </c:pt>
                <c:pt idx="121">
                  <c:v>1.9503241645768106</c:v>
                </c:pt>
                <c:pt idx="122">
                  <c:v>1.9616560374897485</c:v>
                </c:pt>
                <c:pt idx="123">
                  <c:v>1.9730401802971451</c:v>
                </c:pt>
                <c:pt idx="124">
                  <c:v>1.9844769558666313</c:v>
                </c:pt>
                <c:pt idx="125">
                  <c:v>1.9959667331210398</c:v>
                </c:pt>
                <c:pt idx="126">
                  <c:v>2.0075098870384038</c:v>
                </c:pt>
                <c:pt idx="127">
                  <c:v>2.0191067986519595</c:v>
                </c:pt>
                <c:pt idx="128">
                  <c:v>2.0307578550501439</c:v>
                </c:pt>
                <c:pt idx="129">
                  <c:v>2.0424634493765965</c:v>
                </c:pt>
                <c:pt idx="130">
                  <c:v>2.0542239808301588</c:v>
                </c:pt>
                <c:pt idx="131">
                  <c:v>2.0660398546648735</c:v>
                </c:pt>
                <c:pt idx="132">
                  <c:v>2.0779114821899856</c:v>
                </c:pt>
                <c:pt idx="133">
                  <c:v>2.0898392807699406</c:v>
                </c:pt>
                <c:pt idx="134">
                  <c:v>2.1018236738243878</c:v>
                </c:pt>
                <c:pt idx="135">
                  <c:v>2.1138650908281762</c:v>
                </c:pt>
                <c:pt idx="136">
                  <c:v>2.1259639673113577</c:v>
                </c:pt>
                <c:pt idx="137">
                  <c:v>2.1381207448591875</c:v>
                </c:pt>
                <c:pt idx="138">
                  <c:v>2.150335871112119</c:v>
                </c:pt>
                <c:pt idx="139">
                  <c:v>2.1626097997658102</c:v>
                </c:pt>
                <c:pt idx="140">
                  <c:v>2.1749429905711195</c:v>
                </c:pt>
                <c:pt idx="141">
                  <c:v>2.1873359093341089</c:v>
                </c:pt>
                <c:pt idx="142">
                  <c:v>2.1997890279160393</c:v>
                </c:pt>
                <c:pt idx="143">
                  <c:v>2.2123028242333764</c:v>
                </c:pt>
                <c:pt idx="144">
                  <c:v>2.224877782257785</c:v>
                </c:pt>
                <c:pt idx="145">
                  <c:v>2.2375143920161338</c:v>
                </c:pt>
                <c:pt idx="146">
                  <c:v>2.2502131495904916</c:v>
                </c:pt>
                <c:pt idx="147">
                  <c:v>2.2629745571181306</c:v>
                </c:pt>
                <c:pt idx="148">
                  <c:v>2.2757991227915237</c:v>
                </c:pt>
                <c:pt idx="149">
                  <c:v>2.2886873608583462</c:v>
                </c:pt>
                <c:pt idx="150">
                  <c:v>2.3016397916214739</c:v>
                </c:pt>
                <c:pt idx="151">
                  <c:v>2.3146569414389861</c:v>
                </c:pt>
                <c:pt idx="152">
                  <c:v>2.3277393427241631</c:v>
                </c:pt>
                <c:pt idx="153">
                  <c:v>2.3408875339454864</c:v>
                </c:pt>
                <c:pt idx="154">
                  <c:v>2.3541020596266407</c:v>
                </c:pt>
                <c:pt idx="155">
                  <c:v>2.3673834703465118</c:v>
                </c:pt>
                <c:pt idx="156">
                  <c:v>2.3807323227391861</c:v>
                </c:pt>
                <c:pt idx="157">
                  <c:v>2.3941491794939527</c:v>
                </c:pt>
                <c:pt idx="158">
                  <c:v>2.4076346093553034</c:v>
                </c:pt>
                <c:pt idx="159">
                  <c:v>2.4211891871229323</c:v>
                </c:pt>
                <c:pt idx="160">
                  <c:v>2.4348134936517307</c:v>
                </c:pt>
                <c:pt idx="161">
                  <c:v>2.4485081158517974</c:v>
                </c:pt>
                <c:pt idx="162">
                  <c:v>2.4622736466884301</c:v>
                </c:pt>
                <c:pt idx="163">
                  <c:v>2.4761106851821277</c:v>
                </c:pt>
                <c:pt idx="164">
                  <c:v>2.4900198364085941</c:v>
                </c:pt>
                <c:pt idx="165">
                  <c:v>2.5040017114987303</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numCache>
            </c:numRef>
          </c:xVal>
          <c:yVal>
            <c:numRef>
              <c:f>'Device Resistance Tables'!$B$24:$B$214</c:f>
              <c:numCache>
                <c:formatCode>General</c:formatCode>
                <c:ptCount val="19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numCache>
            </c:numRef>
          </c:yVal>
          <c:smooth val="1"/>
          <c:extLst>
            <c:ext xmlns:c16="http://schemas.microsoft.com/office/drawing/2014/chart" uri="{C3380CC4-5D6E-409C-BE32-E72D297353CC}">
              <c16:uniqueId val="{00000001-66E6-4374-82F7-654A956F4AB8}"/>
            </c:ext>
          </c:extLst>
        </c:ser>
        <c:dLbls>
          <c:showLegendKey val="0"/>
          <c:showVal val="0"/>
          <c:showCatName val="0"/>
          <c:showSerName val="0"/>
          <c:showPercent val="0"/>
          <c:showBubbleSize val="0"/>
        </c:dLbls>
        <c:axId val="179949952"/>
        <c:axId val="179951872"/>
      </c:scatterChart>
      <c:valAx>
        <c:axId val="179949952"/>
        <c:scaling>
          <c:orientation val="minMax"/>
        </c:scaling>
        <c:delete val="0"/>
        <c:axPos val="b"/>
        <c:majorGridlines>
          <c:spPr>
            <a:ln>
              <a:noFill/>
            </a:ln>
          </c:spPr>
        </c:majorGridlines>
        <c:title>
          <c:tx>
            <c:rich>
              <a:bodyPr/>
              <a:lstStyle/>
              <a:p>
                <a:pPr>
                  <a:defRPr sz="1000">
                    <a:latin typeface="Arial" panose="020B0604020202020204" pitchFamily="34" charset="0"/>
                    <a:cs typeface="Arial" panose="020B0604020202020204" pitchFamily="34" charset="0"/>
                  </a:defRPr>
                </a:pPr>
                <a:r>
                  <a:rPr lang="en-US" sz="1000" b="1" i="0" baseline="0">
                    <a:effectLst/>
                    <a:latin typeface="Arial" panose="020B0604020202020204" pitchFamily="34" charset="0"/>
                    <a:cs typeface="Arial" panose="020B0604020202020204" pitchFamily="34" charset="0"/>
                  </a:rPr>
                  <a:t>V</a:t>
                </a:r>
                <a:r>
                  <a:rPr lang="en-US" sz="1000" b="1" i="0" baseline="-25000">
                    <a:effectLst/>
                    <a:latin typeface="Arial" panose="020B0604020202020204" pitchFamily="34" charset="0"/>
                    <a:cs typeface="Arial" panose="020B0604020202020204" pitchFamily="34" charset="0"/>
                  </a:rPr>
                  <a:t>TEMP</a:t>
                </a:r>
                <a:r>
                  <a:rPr lang="en-US" sz="1000" b="1" i="0" baseline="0">
                    <a:effectLst/>
                    <a:latin typeface="Arial" panose="020B0604020202020204" pitchFamily="34" charset="0"/>
                    <a:cs typeface="Arial" panose="020B0604020202020204" pitchFamily="34" charset="0"/>
                  </a:rPr>
                  <a:t> in Vdc</a:t>
                </a:r>
                <a:endParaRPr lang="en-US" sz="1000">
                  <a:effectLst/>
                  <a:latin typeface="Arial" panose="020B0604020202020204" pitchFamily="34" charset="0"/>
                  <a:cs typeface="Arial" panose="020B0604020202020204" pitchFamily="34" charset="0"/>
                </a:endParaRPr>
              </a:p>
            </c:rich>
          </c:tx>
          <c:layout>
            <c:manualLayout>
              <c:xMode val="edge"/>
              <c:yMode val="edge"/>
              <c:x val="0.38384982100284731"/>
              <c:y val="0.91607238865781782"/>
            </c:manualLayout>
          </c:layout>
          <c:overlay val="0"/>
        </c:title>
        <c:numFmt formatCode="0.0000" sourceLinked="1"/>
        <c:majorTickMark val="out"/>
        <c:minorTickMark val="out"/>
        <c:tickLblPos val="low"/>
        <c:crossAx val="179951872"/>
        <c:crosses val="autoZero"/>
        <c:crossBetween val="midCat"/>
      </c:valAx>
      <c:valAx>
        <c:axId val="179951872"/>
        <c:scaling>
          <c:orientation val="minMax"/>
        </c:scaling>
        <c:delete val="0"/>
        <c:axPos val="l"/>
        <c:majorGridlines/>
        <c:title>
          <c:tx>
            <c:rich>
              <a:bodyPr rot="-5400000" vert="horz"/>
              <a:lstStyle/>
              <a:p>
                <a:pPr marL="0" marR="0" indent="0" algn="ctr" defTabSz="914400" rtl="0" eaLnBrk="1" fontAlgn="auto" latinLnBrk="0" hangingPunct="1">
                  <a:lnSpc>
                    <a:spcPct val="100000"/>
                  </a:lnSpc>
                  <a:spcBef>
                    <a:spcPts val="0"/>
                  </a:spcBef>
                  <a:spcAft>
                    <a:spcPts val="0"/>
                  </a:spcAft>
                  <a:buClrTx/>
                  <a:buSzTx/>
                  <a:buFontTx/>
                  <a:buNone/>
                  <a:tabLst/>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00" b="1" i="0" baseline="0">
                    <a:effectLst/>
                  </a:rPr>
                  <a:t>Temperature in degrees C</a:t>
                </a:r>
                <a:endParaRPr lang="en-US" sz="1000">
                  <a:effectLst/>
                </a:endParaRPr>
              </a:p>
            </c:rich>
          </c:tx>
          <c:layout>
            <c:manualLayout>
              <c:xMode val="edge"/>
              <c:yMode val="edge"/>
              <c:x val="4.0172406978463304E-2"/>
              <c:y val="0.31389821057028705"/>
            </c:manualLayout>
          </c:layout>
          <c:overlay val="0"/>
        </c:title>
        <c:numFmt formatCode="General" sourceLinked="1"/>
        <c:majorTickMark val="out"/>
        <c:minorTickMark val="none"/>
        <c:tickLblPos val="nextTo"/>
        <c:crossAx val="17994995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Low Pass Filter</a:t>
            </a:r>
          </a:p>
        </c:rich>
      </c:tx>
      <c:overlay val="0"/>
    </c:title>
    <c:autoTitleDeleted val="0"/>
    <c:plotArea>
      <c:layout/>
      <c:lineChart>
        <c:grouping val="standard"/>
        <c:varyColors val="0"/>
        <c:ser>
          <c:idx val="1"/>
          <c:order val="0"/>
          <c:tx>
            <c:strRef>
              <c:f>'Low Pass Filter'!$B$61</c:f>
              <c:strCache>
                <c:ptCount val="1"/>
                <c:pt idx="0">
                  <c:v>Meas_Temp  (°C) </c:v>
                </c:pt>
              </c:strCache>
            </c:strRef>
          </c:tx>
          <c:marker>
            <c:symbol val="none"/>
          </c:marker>
          <c:val>
            <c:numRef>
              <c:f>'Low Pass Filter'!$B$62:$B$241</c:f>
              <c:numCache>
                <c:formatCode>0.000</c:formatCode>
                <c:ptCount val="180"/>
                <c:pt idx="0">
                  <c:v>22.713934338773338</c:v>
                </c:pt>
                <c:pt idx="1">
                  <c:v>21.796071620559228</c:v>
                </c:pt>
                <c:pt idx="2">
                  <c:v>22.369754046985104</c:v>
                </c:pt>
                <c:pt idx="3">
                  <c:v>22.637435324550875</c:v>
                </c:pt>
                <c:pt idx="4">
                  <c:v>22.369754046985104</c:v>
                </c:pt>
                <c:pt idx="5">
                  <c:v>22.675683791491206</c:v>
                </c:pt>
                <c:pt idx="6">
                  <c:v>22.637435324550875</c:v>
                </c:pt>
                <c:pt idx="7">
                  <c:v>22.637435324550875</c:v>
                </c:pt>
                <c:pt idx="8">
                  <c:v>22.560944619391517</c:v>
                </c:pt>
                <c:pt idx="9">
                  <c:v>22.560944619391517</c:v>
                </c:pt>
                <c:pt idx="10">
                  <c:v>22.637435324550875</c:v>
                </c:pt>
                <c:pt idx="11">
                  <c:v>22.599188934876434</c:v>
                </c:pt>
                <c:pt idx="12">
                  <c:v>22.752396005966471</c:v>
                </c:pt>
                <c:pt idx="13">
                  <c:v>22.637435324550875</c:v>
                </c:pt>
                <c:pt idx="14">
                  <c:v>22.675683791491206</c:v>
                </c:pt>
                <c:pt idx="15">
                  <c:v>21.98710906814436</c:v>
                </c:pt>
                <c:pt idx="16">
                  <c:v>22.407988037742921</c:v>
                </c:pt>
                <c:pt idx="17">
                  <c:v>22.752396005966471</c:v>
                </c:pt>
                <c:pt idx="18">
                  <c:v>22.637435324550875</c:v>
                </c:pt>
                <c:pt idx="19">
                  <c:v>22.675683791491206</c:v>
                </c:pt>
                <c:pt idx="20">
                  <c:v>22.752396005966471</c:v>
                </c:pt>
                <c:pt idx="21">
                  <c:v>22.560944619391517</c:v>
                </c:pt>
                <c:pt idx="22">
                  <c:v>22.713934338773338</c:v>
                </c:pt>
                <c:pt idx="23">
                  <c:v>22.675683791491206</c:v>
                </c:pt>
                <c:pt idx="24">
                  <c:v>22.752396005966471</c:v>
                </c:pt>
                <c:pt idx="25">
                  <c:v>22.752396005966471</c:v>
                </c:pt>
                <c:pt idx="26">
                  <c:v>22.675683791491206</c:v>
                </c:pt>
                <c:pt idx="27">
                  <c:v>22.637435324550875</c:v>
                </c:pt>
                <c:pt idx="28">
                  <c:v>22.599188934876434</c:v>
                </c:pt>
                <c:pt idx="29">
                  <c:v>22.560944619391517</c:v>
                </c:pt>
                <c:pt idx="30">
                  <c:v>22.637435324550875</c:v>
                </c:pt>
                <c:pt idx="31">
                  <c:v>22.637435324550875</c:v>
                </c:pt>
                <c:pt idx="32">
                  <c:v>22.599188934876434</c:v>
                </c:pt>
                <c:pt idx="33">
                  <c:v>22.560944619391517</c:v>
                </c:pt>
                <c:pt idx="34">
                  <c:v>22.675683791491206</c:v>
                </c:pt>
                <c:pt idx="35">
                  <c:v>22.637435324550875</c:v>
                </c:pt>
                <c:pt idx="36">
                  <c:v>22.675683791491206</c:v>
                </c:pt>
                <c:pt idx="37">
                  <c:v>22.981955782375604</c:v>
                </c:pt>
                <c:pt idx="38">
                  <c:v>23.02022309435311</c:v>
                </c:pt>
                <c:pt idx="39">
                  <c:v>22.828907552718515</c:v>
                </c:pt>
                <c:pt idx="40">
                  <c:v>22.675683791491206</c:v>
                </c:pt>
                <c:pt idx="41">
                  <c:v>22.331313199878746</c:v>
                </c:pt>
                <c:pt idx="42">
                  <c:v>22.867166463515883</c:v>
                </c:pt>
                <c:pt idx="43">
                  <c:v>22.675683791491206</c:v>
                </c:pt>
                <c:pt idx="44">
                  <c:v>22.599188934876434</c:v>
                </c:pt>
                <c:pt idx="45">
                  <c:v>22.637435324550875</c:v>
                </c:pt>
                <c:pt idx="46">
                  <c:v>23.173522615221241</c:v>
                </c:pt>
                <c:pt idx="47">
                  <c:v>23.173522615221241</c:v>
                </c:pt>
                <c:pt idx="48">
                  <c:v>22.713934338773338</c:v>
                </c:pt>
                <c:pt idx="49">
                  <c:v>22.675683791491206</c:v>
                </c:pt>
                <c:pt idx="50">
                  <c:v>22.599188934876434</c:v>
                </c:pt>
                <c:pt idx="51">
                  <c:v>22.599188934876434</c:v>
                </c:pt>
                <c:pt idx="52">
                  <c:v>22.484462198673423</c:v>
                </c:pt>
                <c:pt idx="53">
                  <c:v>22.599188934876434</c:v>
                </c:pt>
                <c:pt idx="54">
                  <c:v>22.675683791491206</c:v>
                </c:pt>
                <c:pt idx="55">
                  <c:v>22.446224087277283</c:v>
                </c:pt>
                <c:pt idx="56">
                  <c:v>22.560944619391517</c:v>
                </c:pt>
                <c:pt idx="57">
                  <c:v>23.364933346891444</c:v>
                </c:pt>
                <c:pt idx="58">
                  <c:v>22.790650734557044</c:v>
                </c:pt>
                <c:pt idx="59">
                  <c:v>22.752396005966471</c:v>
                </c:pt>
                <c:pt idx="60">
                  <c:v>22.599188934876434</c:v>
                </c:pt>
                <c:pt idx="61">
                  <c:v>22.560944619391517</c:v>
                </c:pt>
                <c:pt idx="62">
                  <c:v>22.637435324550875</c:v>
                </c:pt>
                <c:pt idx="63">
                  <c:v>22.637435324550875</c:v>
                </c:pt>
                <c:pt idx="64">
                  <c:v>22.867166463515883</c:v>
                </c:pt>
                <c:pt idx="65">
                  <c:v>22.407988037742921</c:v>
                </c:pt>
                <c:pt idx="66">
                  <c:v>22.675683791491206</c:v>
                </c:pt>
                <c:pt idx="67">
                  <c:v>22.752396005966471</c:v>
                </c:pt>
                <c:pt idx="68">
                  <c:v>22.675683791491206</c:v>
                </c:pt>
                <c:pt idx="69">
                  <c:v>22.637435324550875</c:v>
                </c:pt>
                <c:pt idx="70">
                  <c:v>22.675683791491206</c:v>
                </c:pt>
                <c:pt idx="71">
                  <c:v>22.560944619391517</c:v>
                </c:pt>
                <c:pt idx="72">
                  <c:v>22.637435324550875</c:v>
                </c:pt>
                <c:pt idx="73">
                  <c:v>22.867166463515883</c:v>
                </c:pt>
                <c:pt idx="74">
                  <c:v>22.637435324550875</c:v>
                </c:pt>
                <c:pt idx="75">
                  <c:v>22.713934338773338</c:v>
                </c:pt>
                <c:pt idx="76">
                  <c:v>22.713934338773338</c:v>
                </c:pt>
                <c:pt idx="77">
                  <c:v>22.446224087277283</c:v>
                </c:pt>
                <c:pt idx="78">
                  <c:v>22.599188934876434</c:v>
                </c:pt>
                <c:pt idx="79">
                  <c:v>22.713934338773338</c:v>
                </c:pt>
                <c:pt idx="80">
                  <c:v>22.637435324550875</c:v>
                </c:pt>
                <c:pt idx="81">
                  <c:v>22.675683791491206</c:v>
                </c:pt>
                <c:pt idx="82">
                  <c:v>23.173522615221241</c:v>
                </c:pt>
                <c:pt idx="83">
                  <c:v>23.288362669357735</c:v>
                </c:pt>
                <c:pt idx="84">
                  <c:v>22.522702375017484</c:v>
                </c:pt>
                <c:pt idx="85">
                  <c:v>22.637435324550875</c:v>
                </c:pt>
                <c:pt idx="86">
                  <c:v>22.293083328613516</c:v>
                </c:pt>
                <c:pt idx="87">
                  <c:v>22.599188934876434</c:v>
                </c:pt>
                <c:pt idx="88">
                  <c:v>22.637435324550875</c:v>
                </c:pt>
                <c:pt idx="89">
                  <c:v>22.637435324550875</c:v>
                </c:pt>
                <c:pt idx="90">
                  <c:v>22.713934338773338</c:v>
                </c:pt>
                <c:pt idx="91">
                  <c:v>22.675683791491206</c:v>
                </c:pt>
                <c:pt idx="92">
                  <c:v>22.637435324550875</c:v>
                </c:pt>
                <c:pt idx="93">
                  <c:v>22.637435324550875</c:v>
                </c:pt>
                <c:pt idx="94">
                  <c:v>22.599188934876434</c:v>
                </c:pt>
                <c:pt idx="95">
                  <c:v>22.867166463515883</c:v>
                </c:pt>
                <c:pt idx="96">
                  <c:v>22.713934338773338</c:v>
                </c:pt>
                <c:pt idx="97">
                  <c:v>22.675683791491206</c:v>
                </c:pt>
                <c:pt idx="98">
                  <c:v>22.713934338773338</c:v>
                </c:pt>
                <c:pt idx="99">
                  <c:v>22.675683791491206</c:v>
                </c:pt>
                <c:pt idx="100">
                  <c:v>22.752396005966471</c:v>
                </c:pt>
                <c:pt idx="101">
                  <c:v>22.637435324550875</c:v>
                </c:pt>
                <c:pt idx="102">
                  <c:v>22.675683791491206</c:v>
                </c:pt>
                <c:pt idx="103">
                  <c:v>22.637435324550875</c:v>
                </c:pt>
                <c:pt idx="104">
                  <c:v>22.637435324550875</c:v>
                </c:pt>
                <c:pt idx="105">
                  <c:v>22.675683791491206</c:v>
                </c:pt>
                <c:pt idx="106">
                  <c:v>22.752396005966471</c:v>
                </c:pt>
                <c:pt idx="107">
                  <c:v>22.637435324550875</c:v>
                </c:pt>
                <c:pt idx="108">
                  <c:v>22.828907552718515</c:v>
                </c:pt>
                <c:pt idx="109">
                  <c:v>23.403221887214254</c:v>
                </c:pt>
                <c:pt idx="110">
                  <c:v>22.599188934876434</c:v>
                </c:pt>
                <c:pt idx="111">
                  <c:v>22.599188934876434</c:v>
                </c:pt>
                <c:pt idx="112">
                  <c:v>22.101964652680959</c:v>
                </c:pt>
                <c:pt idx="113">
                  <c:v>22.560944619391517</c:v>
                </c:pt>
                <c:pt idx="114">
                  <c:v>22.675683791491206</c:v>
                </c:pt>
                <c:pt idx="115">
                  <c:v>22.369754046985104</c:v>
                </c:pt>
                <c:pt idx="116">
                  <c:v>22.790650734557044</c:v>
                </c:pt>
                <c:pt idx="117">
                  <c:v>22.675683791491206</c:v>
                </c:pt>
                <c:pt idx="118">
                  <c:v>22.560944619391517</c:v>
                </c:pt>
                <c:pt idx="119">
                  <c:v>22.637435324550875</c:v>
                </c:pt>
                <c:pt idx="120">
                  <c:v>22.675683791491206</c:v>
                </c:pt>
                <c:pt idx="121">
                  <c:v>22.522702375017484</c:v>
                </c:pt>
                <c:pt idx="122">
                  <c:v>22.675683791491206</c:v>
                </c:pt>
                <c:pt idx="123">
                  <c:v>22.599188934876434</c:v>
                </c:pt>
                <c:pt idx="124">
                  <c:v>22.599188934876434</c:v>
                </c:pt>
                <c:pt idx="125">
                  <c:v>22.905427470017326</c:v>
                </c:pt>
                <c:pt idx="126">
                  <c:v>22.637435324550875</c:v>
                </c:pt>
                <c:pt idx="127">
                  <c:v>22.599188934876434</c:v>
                </c:pt>
                <c:pt idx="128">
                  <c:v>22.446224087277283</c:v>
                </c:pt>
                <c:pt idx="129">
                  <c:v>22.675683791491206</c:v>
                </c:pt>
                <c:pt idx="130">
                  <c:v>22.599188934876434</c:v>
                </c:pt>
                <c:pt idx="131">
                  <c:v>22.752396005966471</c:v>
                </c:pt>
                <c:pt idx="132">
                  <c:v>22.599188934876434</c:v>
                </c:pt>
                <c:pt idx="133">
                  <c:v>22.446224087277283</c:v>
                </c:pt>
                <c:pt idx="134">
                  <c:v>22.599188934876434</c:v>
                </c:pt>
                <c:pt idx="135">
                  <c:v>22.790650734557044</c:v>
                </c:pt>
                <c:pt idx="136">
                  <c:v>22.599188934876434</c:v>
                </c:pt>
                <c:pt idx="137">
                  <c:v>22.752396005966471</c:v>
                </c:pt>
                <c:pt idx="138">
                  <c:v>22.675683791491206</c:v>
                </c:pt>
                <c:pt idx="139">
                  <c:v>22.599188934876434</c:v>
                </c:pt>
                <c:pt idx="140">
                  <c:v>22.522702375017484</c:v>
                </c:pt>
                <c:pt idx="141">
                  <c:v>22.369754046985104</c:v>
                </c:pt>
                <c:pt idx="142">
                  <c:v>22.713934338773338</c:v>
                </c:pt>
                <c:pt idx="143">
                  <c:v>22.675683791491206</c:v>
                </c:pt>
                <c:pt idx="144">
                  <c:v>22.522702375017484</c:v>
                </c:pt>
                <c:pt idx="145">
                  <c:v>22.599188934876434</c:v>
                </c:pt>
                <c:pt idx="146">
                  <c:v>22.713934338773338</c:v>
                </c:pt>
                <c:pt idx="147">
                  <c:v>22.675683791491206</c:v>
                </c:pt>
                <c:pt idx="148">
                  <c:v>22.407988037742921</c:v>
                </c:pt>
                <c:pt idx="149">
                  <c:v>22.637435324550875</c:v>
                </c:pt>
                <c:pt idx="150">
                  <c:v>22.675683791491206</c:v>
                </c:pt>
                <c:pt idx="151">
                  <c:v>22.369754046985104</c:v>
                </c:pt>
                <c:pt idx="152">
                  <c:v>22.560944619391517</c:v>
                </c:pt>
                <c:pt idx="153">
                  <c:v>22.560944619391517</c:v>
                </c:pt>
                <c:pt idx="154">
                  <c:v>22.101964652680959</c:v>
                </c:pt>
                <c:pt idx="155">
                  <c:v>22.140184307473515</c:v>
                </c:pt>
                <c:pt idx="156">
                  <c:v>22.407988037742921</c:v>
                </c:pt>
                <c:pt idx="157">
                  <c:v>22.943690575283522</c:v>
                </c:pt>
                <c:pt idx="158">
                  <c:v>22.369754046985104</c:v>
                </c:pt>
                <c:pt idx="159">
                  <c:v>22.637435324550875</c:v>
                </c:pt>
                <c:pt idx="160">
                  <c:v>23.326646941952145</c:v>
                </c:pt>
                <c:pt idx="161">
                  <c:v>22.560944619391517</c:v>
                </c:pt>
                <c:pt idx="162">
                  <c:v>22.560944619391517</c:v>
                </c:pt>
                <c:pt idx="163">
                  <c:v>22.369754046985104</c:v>
                </c:pt>
                <c:pt idx="164">
                  <c:v>22.599188934876434</c:v>
                </c:pt>
                <c:pt idx="165">
                  <c:v>22.675683791491206</c:v>
                </c:pt>
                <c:pt idx="166">
                  <c:v>22.446224087277283</c:v>
                </c:pt>
                <c:pt idx="167">
                  <c:v>22.446224087277283</c:v>
                </c:pt>
                <c:pt idx="168">
                  <c:v>22.560944619391517</c:v>
                </c:pt>
                <c:pt idx="169">
                  <c:v>22.790650734557044</c:v>
                </c:pt>
                <c:pt idx="170">
                  <c:v>22.560944619391517</c:v>
                </c:pt>
                <c:pt idx="171">
                  <c:v>22.560944619391517</c:v>
                </c:pt>
                <c:pt idx="172">
                  <c:v>22.560944619391517</c:v>
                </c:pt>
                <c:pt idx="173">
                  <c:v>22.446224087277283</c:v>
                </c:pt>
                <c:pt idx="174">
                  <c:v>22.675683791491206</c:v>
                </c:pt>
                <c:pt idx="175">
                  <c:v>22.599188934876434</c:v>
                </c:pt>
                <c:pt idx="176">
                  <c:v>22.522702375017484</c:v>
                </c:pt>
                <c:pt idx="177">
                  <c:v>22.407988037742921</c:v>
                </c:pt>
                <c:pt idx="178">
                  <c:v>22.407988037742921</c:v>
                </c:pt>
                <c:pt idx="179">
                  <c:v>22.713934338773338</c:v>
                </c:pt>
              </c:numCache>
            </c:numRef>
          </c:val>
          <c:smooth val="0"/>
          <c:extLst>
            <c:ext xmlns:c16="http://schemas.microsoft.com/office/drawing/2014/chart" uri="{C3380CC4-5D6E-409C-BE32-E72D297353CC}">
              <c16:uniqueId val="{00000000-002A-47AD-8BE8-ACE01FDF5253}"/>
            </c:ext>
          </c:extLst>
        </c:ser>
        <c:ser>
          <c:idx val="2"/>
          <c:order val="1"/>
          <c:tx>
            <c:strRef>
              <c:f>'Low Pass Filter'!$C$61</c:f>
              <c:strCache>
                <c:ptCount val="1"/>
                <c:pt idx="0">
                  <c:v>Filtered_Temp  (°C) </c:v>
                </c:pt>
              </c:strCache>
            </c:strRef>
          </c:tx>
          <c:marker>
            <c:symbol val="none"/>
          </c:marker>
          <c:val>
            <c:numRef>
              <c:f>'Low Pass Filter'!$C$62:$C$241</c:f>
              <c:numCache>
                <c:formatCode>0.000</c:formatCode>
                <c:ptCount val="180"/>
                <c:pt idx="0">
                  <c:v>22.713934338773338</c:v>
                </c:pt>
                <c:pt idx="1">
                  <c:v>22.622148066951926</c:v>
                </c:pt>
                <c:pt idx="2">
                  <c:v>22.596908664955244</c:v>
                </c:pt>
                <c:pt idx="3">
                  <c:v>22.600961330914807</c:v>
                </c:pt>
                <c:pt idx="4">
                  <c:v>22.577840602521835</c:v>
                </c:pt>
                <c:pt idx="5">
                  <c:v>22.587624921418772</c:v>
                </c:pt>
                <c:pt idx="6">
                  <c:v>22.592605961731984</c:v>
                </c:pt>
                <c:pt idx="7">
                  <c:v>22.597088898013872</c:v>
                </c:pt>
                <c:pt idx="8">
                  <c:v>22.593474470151637</c:v>
                </c:pt>
                <c:pt idx="9">
                  <c:v>22.590221485075624</c:v>
                </c:pt>
                <c:pt idx="10">
                  <c:v>22.59494286902315</c:v>
                </c:pt>
                <c:pt idx="11">
                  <c:v>22.595367475608477</c:v>
                </c:pt>
                <c:pt idx="12">
                  <c:v>22.611070328644274</c:v>
                </c:pt>
                <c:pt idx="13">
                  <c:v>22.613706828234935</c:v>
                </c:pt>
                <c:pt idx="14">
                  <c:v>22.619904524560564</c:v>
                </c:pt>
                <c:pt idx="15">
                  <c:v>22.556624978918943</c:v>
                </c:pt>
                <c:pt idx="16">
                  <c:v>22.541761284801343</c:v>
                </c:pt>
                <c:pt idx="17">
                  <c:v>22.562824756917855</c:v>
                </c:pt>
                <c:pt idx="18">
                  <c:v>22.570285813681156</c:v>
                </c:pt>
                <c:pt idx="19">
                  <c:v>22.58082561146216</c:v>
                </c:pt>
                <c:pt idx="20">
                  <c:v>22.597982650912591</c:v>
                </c:pt>
                <c:pt idx="21">
                  <c:v>22.594278847760485</c:v>
                </c:pt>
                <c:pt idx="22">
                  <c:v>22.606244396861769</c:v>
                </c:pt>
                <c:pt idx="23">
                  <c:v>22.613188336324711</c:v>
                </c:pt>
                <c:pt idx="24">
                  <c:v>22.627109103288888</c:v>
                </c:pt>
                <c:pt idx="25">
                  <c:v>22.639637793556645</c:v>
                </c:pt>
                <c:pt idx="26">
                  <c:v>22.6432423933501</c:v>
                </c:pt>
                <c:pt idx="27">
                  <c:v>22.642661686470177</c:v>
                </c:pt>
                <c:pt idx="28">
                  <c:v>22.638314411310802</c:v>
                </c:pt>
                <c:pt idx="29">
                  <c:v>22.630577432118873</c:v>
                </c:pt>
                <c:pt idx="30">
                  <c:v>22.631263221362072</c:v>
                </c:pt>
                <c:pt idx="31">
                  <c:v>22.631880431680951</c:v>
                </c:pt>
                <c:pt idx="32">
                  <c:v>22.628611282000499</c:v>
                </c:pt>
                <c:pt idx="33">
                  <c:v>22.621844615739601</c:v>
                </c:pt>
                <c:pt idx="34">
                  <c:v>22.62722853331476</c:v>
                </c:pt>
                <c:pt idx="35">
                  <c:v>22.628249212438373</c:v>
                </c:pt>
                <c:pt idx="36">
                  <c:v>22.632992670343658</c:v>
                </c:pt>
                <c:pt idx="37">
                  <c:v>22.667888981546852</c:v>
                </c:pt>
                <c:pt idx="38">
                  <c:v>22.703122392827478</c:v>
                </c:pt>
                <c:pt idx="39">
                  <c:v>22.715700908816583</c:v>
                </c:pt>
                <c:pt idx="40">
                  <c:v>22.711699197084044</c:v>
                </c:pt>
                <c:pt idx="41">
                  <c:v>22.673660597363515</c:v>
                </c:pt>
                <c:pt idx="42">
                  <c:v>22.693011183978751</c:v>
                </c:pt>
                <c:pt idx="43">
                  <c:v>22.691278444729996</c:v>
                </c:pt>
                <c:pt idx="44">
                  <c:v>22.682069493744638</c:v>
                </c:pt>
                <c:pt idx="45">
                  <c:v>22.677606076825263</c:v>
                </c:pt>
                <c:pt idx="46">
                  <c:v>22.727197730664862</c:v>
                </c:pt>
                <c:pt idx="47">
                  <c:v>22.771830219120499</c:v>
                </c:pt>
                <c:pt idx="48">
                  <c:v>22.766040631085783</c:v>
                </c:pt>
                <c:pt idx="49">
                  <c:v>22.757004947126326</c:v>
                </c:pt>
                <c:pt idx="50">
                  <c:v>22.741223345901336</c:v>
                </c:pt>
                <c:pt idx="51">
                  <c:v>22.727019904798844</c:v>
                </c:pt>
                <c:pt idx="52">
                  <c:v>22.702764134186303</c:v>
                </c:pt>
                <c:pt idx="53">
                  <c:v>22.692406614255315</c:v>
                </c:pt>
                <c:pt idx="54">
                  <c:v>22.690734331978906</c:v>
                </c:pt>
                <c:pt idx="55">
                  <c:v>22.666283307508742</c:v>
                </c:pt>
                <c:pt idx="56">
                  <c:v>22.655749438697018</c:v>
                </c:pt>
                <c:pt idx="57">
                  <c:v>22.726667829516462</c:v>
                </c:pt>
                <c:pt idx="58">
                  <c:v>22.733066120020521</c:v>
                </c:pt>
                <c:pt idx="59">
                  <c:v>22.734999108615117</c:v>
                </c:pt>
                <c:pt idx="60">
                  <c:v>22.721418091241247</c:v>
                </c:pt>
                <c:pt idx="61">
                  <c:v>22.705370744056275</c:v>
                </c:pt>
                <c:pt idx="62">
                  <c:v>22.698577202105735</c:v>
                </c:pt>
                <c:pt idx="63">
                  <c:v>22.692463014350249</c:v>
                </c:pt>
                <c:pt idx="64">
                  <c:v>22.709933359266813</c:v>
                </c:pt>
                <c:pt idx="65">
                  <c:v>22.679738827114424</c:v>
                </c:pt>
                <c:pt idx="66">
                  <c:v>22.6793333235521</c:v>
                </c:pt>
                <c:pt idx="67">
                  <c:v>22.686639591793536</c:v>
                </c:pt>
                <c:pt idx="68">
                  <c:v>22.685544011763305</c:v>
                </c:pt>
                <c:pt idx="69">
                  <c:v>22.680733143042062</c:v>
                </c:pt>
                <c:pt idx="70">
                  <c:v>22.680228207886977</c:v>
                </c:pt>
                <c:pt idx="71">
                  <c:v>22.668299849037432</c:v>
                </c:pt>
                <c:pt idx="72">
                  <c:v>22.665213396588776</c:v>
                </c:pt>
                <c:pt idx="73">
                  <c:v>22.685408703281485</c:v>
                </c:pt>
                <c:pt idx="74">
                  <c:v>22.680611365408424</c:v>
                </c:pt>
                <c:pt idx="75">
                  <c:v>22.683943662744916</c:v>
                </c:pt>
                <c:pt idx="76">
                  <c:v>22.686942730347759</c:v>
                </c:pt>
                <c:pt idx="77">
                  <c:v>22.662870866040713</c:v>
                </c:pt>
                <c:pt idx="78">
                  <c:v>22.656502672924283</c:v>
                </c:pt>
                <c:pt idx="79">
                  <c:v>22.66224583950919</c:v>
                </c:pt>
                <c:pt idx="80">
                  <c:v>22.659764788013359</c:v>
                </c:pt>
                <c:pt idx="81">
                  <c:v>22.661356688361142</c:v>
                </c:pt>
                <c:pt idx="82">
                  <c:v>22.712573281047153</c:v>
                </c:pt>
                <c:pt idx="83">
                  <c:v>22.770152219878209</c:v>
                </c:pt>
                <c:pt idx="84">
                  <c:v>22.745407235392136</c:v>
                </c:pt>
                <c:pt idx="85">
                  <c:v>22.73461004430801</c:v>
                </c:pt>
                <c:pt idx="86">
                  <c:v>22.69045737273856</c:v>
                </c:pt>
                <c:pt idx="87">
                  <c:v>22.681330528952348</c:v>
                </c:pt>
                <c:pt idx="88">
                  <c:v>22.676941008512202</c:v>
                </c:pt>
                <c:pt idx="89">
                  <c:v>22.67299044011607</c:v>
                </c:pt>
                <c:pt idx="90">
                  <c:v>22.677084829981798</c:v>
                </c:pt>
                <c:pt idx="91">
                  <c:v>22.676944726132739</c:v>
                </c:pt>
                <c:pt idx="92">
                  <c:v>22.672993785974551</c:v>
                </c:pt>
                <c:pt idx="93">
                  <c:v>22.669437939832182</c:v>
                </c:pt>
                <c:pt idx="94">
                  <c:v>22.662413039336606</c:v>
                </c:pt>
                <c:pt idx="95">
                  <c:v>22.682888381754534</c:v>
                </c:pt>
                <c:pt idx="96">
                  <c:v>22.685992977456415</c:v>
                </c:pt>
                <c:pt idx="97">
                  <c:v>22.684962058859895</c:v>
                </c:pt>
                <c:pt idx="98">
                  <c:v>22.687859286851239</c:v>
                </c:pt>
                <c:pt idx="99">
                  <c:v>22.686641737315234</c:v>
                </c:pt>
                <c:pt idx="100">
                  <c:v>22.693217164180357</c:v>
                </c:pt>
                <c:pt idx="101">
                  <c:v>22.687638980217407</c:v>
                </c:pt>
                <c:pt idx="102">
                  <c:v>22.686443461344787</c:v>
                </c:pt>
                <c:pt idx="103">
                  <c:v>22.681542647665395</c:v>
                </c:pt>
                <c:pt idx="104">
                  <c:v>22.677131915353943</c:v>
                </c:pt>
                <c:pt idx="105">
                  <c:v>22.676987102967669</c:v>
                </c:pt>
                <c:pt idx="106">
                  <c:v>22.684527993267547</c:v>
                </c:pt>
                <c:pt idx="107">
                  <c:v>22.679818726395879</c:v>
                </c:pt>
                <c:pt idx="108">
                  <c:v>22.694727609028142</c:v>
                </c:pt>
                <c:pt idx="109">
                  <c:v>22.765577036846754</c:v>
                </c:pt>
                <c:pt idx="110">
                  <c:v>22.74893822664972</c:v>
                </c:pt>
                <c:pt idx="111">
                  <c:v>22.733963297472393</c:v>
                </c:pt>
                <c:pt idx="112">
                  <c:v>22.670763432993247</c:v>
                </c:pt>
                <c:pt idx="113">
                  <c:v>22.659781551633074</c:v>
                </c:pt>
                <c:pt idx="114">
                  <c:v>22.661371775618889</c:v>
                </c:pt>
                <c:pt idx="115">
                  <c:v>22.63221000275551</c:v>
                </c:pt>
                <c:pt idx="116">
                  <c:v>22.648054075935665</c:v>
                </c:pt>
                <c:pt idx="117">
                  <c:v>22.65081704749122</c:v>
                </c:pt>
                <c:pt idx="118">
                  <c:v>22.641829804681251</c:v>
                </c:pt>
                <c:pt idx="119">
                  <c:v>22.641390356668214</c:v>
                </c:pt>
                <c:pt idx="120">
                  <c:v>22.644819700150514</c:v>
                </c:pt>
                <c:pt idx="121">
                  <c:v>22.63260796763721</c:v>
                </c:pt>
                <c:pt idx="122">
                  <c:v>22.636915550022611</c:v>
                </c:pt>
                <c:pt idx="123">
                  <c:v>22.633142888507994</c:v>
                </c:pt>
                <c:pt idx="124">
                  <c:v>22.629747493144837</c:v>
                </c:pt>
                <c:pt idx="125">
                  <c:v>22.657315490832087</c:v>
                </c:pt>
                <c:pt idx="126">
                  <c:v>22.655327474203965</c:v>
                </c:pt>
                <c:pt idx="127">
                  <c:v>22.649713620271211</c:v>
                </c:pt>
                <c:pt idx="128">
                  <c:v>22.629364666971817</c:v>
                </c:pt>
                <c:pt idx="129">
                  <c:v>22.633996579423755</c:v>
                </c:pt>
                <c:pt idx="130">
                  <c:v>22.630515814969023</c:v>
                </c:pt>
                <c:pt idx="131">
                  <c:v>22.642703834068769</c:v>
                </c:pt>
                <c:pt idx="132">
                  <c:v>22.638352344149535</c:v>
                </c:pt>
                <c:pt idx="133">
                  <c:v>22.619139518462308</c:v>
                </c:pt>
                <c:pt idx="134">
                  <c:v>22.61714446010372</c:v>
                </c:pt>
                <c:pt idx="135">
                  <c:v>22.634495087549052</c:v>
                </c:pt>
                <c:pt idx="136">
                  <c:v>22.630964472281789</c:v>
                </c:pt>
                <c:pt idx="137">
                  <c:v>22.643107625650259</c:v>
                </c:pt>
                <c:pt idx="138">
                  <c:v>22.646365242234353</c:v>
                </c:pt>
                <c:pt idx="139">
                  <c:v>22.641647611498563</c:v>
                </c:pt>
                <c:pt idx="140">
                  <c:v>22.629753087850453</c:v>
                </c:pt>
                <c:pt idx="141">
                  <c:v>22.603753183763917</c:v>
                </c:pt>
                <c:pt idx="142">
                  <c:v>22.614771299264859</c:v>
                </c:pt>
                <c:pt idx="143">
                  <c:v>22.620862548487494</c:v>
                </c:pt>
                <c:pt idx="144">
                  <c:v>22.611046531140495</c:v>
                </c:pt>
                <c:pt idx="145">
                  <c:v>22.609860771514089</c:v>
                </c:pt>
                <c:pt idx="146">
                  <c:v>22.620268128240014</c:v>
                </c:pt>
                <c:pt idx="147">
                  <c:v>22.625809694565135</c:v>
                </c:pt>
                <c:pt idx="148">
                  <c:v>22.604027528882913</c:v>
                </c:pt>
                <c:pt idx="149">
                  <c:v>22.607368308449708</c:v>
                </c:pt>
                <c:pt idx="150">
                  <c:v>22.614199856753856</c:v>
                </c:pt>
                <c:pt idx="151">
                  <c:v>22.58975527577698</c:v>
                </c:pt>
                <c:pt idx="152">
                  <c:v>22.586874210138433</c:v>
                </c:pt>
                <c:pt idx="153">
                  <c:v>22.584281251063743</c:v>
                </c:pt>
                <c:pt idx="154">
                  <c:v>22.536049591225463</c:v>
                </c:pt>
                <c:pt idx="155">
                  <c:v>22.496463062850268</c:v>
                </c:pt>
                <c:pt idx="156">
                  <c:v>22.487615560339535</c:v>
                </c:pt>
                <c:pt idx="157">
                  <c:v>22.533223061833933</c:v>
                </c:pt>
                <c:pt idx="158">
                  <c:v>22.516876160349049</c:v>
                </c:pt>
                <c:pt idx="159">
                  <c:v>22.52893207676923</c:v>
                </c:pt>
                <c:pt idx="160">
                  <c:v>22.60870356328752</c:v>
                </c:pt>
                <c:pt idx="161">
                  <c:v>22.603927668897921</c:v>
                </c:pt>
                <c:pt idx="162">
                  <c:v>22.59962936394728</c:v>
                </c:pt>
                <c:pt idx="163">
                  <c:v>22.576641832251063</c:v>
                </c:pt>
                <c:pt idx="164">
                  <c:v>22.578896542513601</c:v>
                </c:pt>
                <c:pt idx="165">
                  <c:v>22.588575267411361</c:v>
                </c:pt>
                <c:pt idx="166">
                  <c:v>22.574340149397955</c:v>
                </c:pt>
                <c:pt idx="167">
                  <c:v>22.561528543185887</c:v>
                </c:pt>
                <c:pt idx="168">
                  <c:v>22.56147015080645</c:v>
                </c:pt>
                <c:pt idx="169">
                  <c:v>22.584388209181508</c:v>
                </c:pt>
                <c:pt idx="170">
                  <c:v>22.58204385020251</c:v>
                </c:pt>
                <c:pt idx="171">
                  <c:v>22.579933927121409</c:v>
                </c:pt>
                <c:pt idx="172">
                  <c:v>22.578034996348421</c:v>
                </c:pt>
                <c:pt idx="173">
                  <c:v>22.564853905441307</c:v>
                </c:pt>
                <c:pt idx="174">
                  <c:v>22.575936894046297</c:v>
                </c:pt>
                <c:pt idx="175">
                  <c:v>22.578262098129311</c:v>
                </c:pt>
                <c:pt idx="176">
                  <c:v>22.572706125818129</c:v>
                </c:pt>
                <c:pt idx="177">
                  <c:v>22.55623431701061</c:v>
                </c:pt>
                <c:pt idx="178">
                  <c:v>22.541409689083842</c:v>
                </c:pt>
                <c:pt idx="179">
                  <c:v>22.55866215405279</c:v>
                </c:pt>
              </c:numCache>
            </c:numRef>
          </c:val>
          <c:smooth val="0"/>
          <c:extLst>
            <c:ext xmlns:c16="http://schemas.microsoft.com/office/drawing/2014/chart" uri="{C3380CC4-5D6E-409C-BE32-E72D297353CC}">
              <c16:uniqueId val="{00000001-002A-47AD-8BE8-ACE01FDF5253}"/>
            </c:ext>
          </c:extLst>
        </c:ser>
        <c:dLbls>
          <c:showLegendKey val="0"/>
          <c:showVal val="0"/>
          <c:showCatName val="0"/>
          <c:showSerName val="0"/>
          <c:showPercent val="0"/>
          <c:showBubbleSize val="0"/>
        </c:dLbls>
        <c:smooth val="0"/>
        <c:axId val="508564992"/>
        <c:axId val="508566912"/>
      </c:lineChart>
      <c:catAx>
        <c:axId val="508564992"/>
        <c:scaling>
          <c:orientation val="minMax"/>
        </c:scaling>
        <c:delete val="0"/>
        <c:axPos val="b"/>
        <c:title>
          <c:tx>
            <c:rich>
              <a:bodyPr/>
              <a:lstStyle/>
              <a:p>
                <a:pPr>
                  <a:defRPr/>
                </a:pPr>
                <a:r>
                  <a:rPr lang="en-US"/>
                  <a:t>Samples</a:t>
                </a:r>
              </a:p>
            </c:rich>
          </c:tx>
          <c:overlay val="0"/>
        </c:title>
        <c:majorTickMark val="none"/>
        <c:minorTickMark val="none"/>
        <c:tickLblPos val="nextTo"/>
        <c:crossAx val="508566912"/>
        <c:crosses val="autoZero"/>
        <c:auto val="1"/>
        <c:lblAlgn val="ctr"/>
        <c:lblOffset val="100"/>
        <c:noMultiLvlLbl val="0"/>
      </c:catAx>
      <c:valAx>
        <c:axId val="508566912"/>
        <c:scaling>
          <c:orientation val="minMax"/>
        </c:scaling>
        <c:delete val="0"/>
        <c:axPos val="l"/>
        <c:majorGridlines/>
        <c:title>
          <c:tx>
            <c:rich>
              <a:bodyPr/>
              <a:lstStyle/>
              <a:p>
                <a:pPr>
                  <a:defRPr/>
                </a:pPr>
                <a:r>
                  <a:rPr lang="en-US"/>
                  <a:t>Temperature C</a:t>
                </a:r>
              </a:p>
            </c:rich>
          </c:tx>
          <c:overlay val="0"/>
        </c:title>
        <c:numFmt formatCode="0.000" sourceLinked="1"/>
        <c:majorTickMark val="none"/>
        <c:minorTickMark val="none"/>
        <c:tickLblPos val="nextTo"/>
        <c:crossAx val="5085649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gif"/><Relationship Id="rId1" Type="http://schemas.openxmlformats.org/officeDocument/2006/relationships/hyperlink" Target="http://www.ti.com" TargetMode="External"/><Relationship Id="rId6" Type="http://schemas.openxmlformats.org/officeDocument/2006/relationships/hyperlink" Target="http://www.ti.com/corp/docs/legal/copyright.shtml" TargetMode="External"/><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3.xml.rels><?xml version="1.0" encoding="UTF-8" standalone="yes"?>
<Relationships xmlns="http://schemas.openxmlformats.org/package/2006/relationships"><Relationship Id="rId8" Type="http://schemas.openxmlformats.org/officeDocument/2006/relationships/hyperlink" Target="http://www.ti.com/corp/docs/legal/copyright.shtml" TargetMode="External"/><Relationship Id="rId3" Type="http://schemas.openxmlformats.org/officeDocument/2006/relationships/chart" Target="../charts/chart3.xml"/><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gif"/><Relationship Id="rId5" Type="http://schemas.openxmlformats.org/officeDocument/2006/relationships/hyperlink" Target="http://www.ti.com" TargetMode="Externa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2.gif"/><Relationship Id="rId1" Type="http://schemas.openxmlformats.org/officeDocument/2006/relationships/hyperlink" Target="http://www.ti.com" TargetMode="External"/><Relationship Id="rId5" Type="http://schemas.openxmlformats.org/officeDocument/2006/relationships/hyperlink" Target="http://www.ti.com/corp/docs/legal/copyright.shtml" TargetMode="External"/><Relationship Id="rId4" Type="http://schemas.openxmlformats.org/officeDocument/2006/relationships/chart" Target="../charts/chart7.xml"/></Relationships>
</file>

<file path=xl/drawings/_rels/drawing5.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2.gif"/><Relationship Id="rId1" Type="http://schemas.openxmlformats.org/officeDocument/2006/relationships/hyperlink" Target="http://www.ti.com" TargetMode="External"/><Relationship Id="rId4" Type="http://schemas.openxmlformats.org/officeDocument/2006/relationships/hyperlink" Target="http://www.ti.com/corp/docs/legal/copyright.shtml"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2.gif"/><Relationship Id="rId1" Type="http://schemas.openxmlformats.org/officeDocument/2006/relationships/hyperlink" Target="http://www.ti.com" TargetMode="External"/><Relationship Id="rId4" Type="http://schemas.openxmlformats.org/officeDocument/2006/relationships/hyperlink" Target="http://www.ti.com/corp/docs/legal/copyright.shtml" TargetMode="External"/></Relationships>
</file>

<file path=xl/drawings/_rels/drawing8.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9.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10.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drawing11.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9.png"/><Relationship Id="rId18" Type="http://schemas.openxmlformats.org/officeDocument/2006/relationships/image" Target="../media/image24.png"/><Relationship Id="rId26" Type="http://schemas.openxmlformats.org/officeDocument/2006/relationships/hyperlink" Target="http://www.ti.com/corp/docs/legal/copyright.shtml" TargetMode="External"/><Relationship Id="rId3" Type="http://schemas.openxmlformats.org/officeDocument/2006/relationships/image" Target="../media/image9.png"/><Relationship Id="rId21" Type="http://schemas.openxmlformats.org/officeDocument/2006/relationships/image" Target="../media/image27.png"/><Relationship Id="rId7" Type="http://schemas.openxmlformats.org/officeDocument/2006/relationships/image" Target="../media/image13.png"/><Relationship Id="rId12" Type="http://schemas.openxmlformats.org/officeDocument/2006/relationships/image" Target="../media/image18.png"/><Relationship Id="rId17" Type="http://schemas.openxmlformats.org/officeDocument/2006/relationships/image" Target="../media/image23.png"/><Relationship Id="rId25" Type="http://schemas.openxmlformats.org/officeDocument/2006/relationships/image" Target="../media/image31.png"/><Relationship Id="rId2" Type="http://schemas.openxmlformats.org/officeDocument/2006/relationships/image" Target="../media/image2.gif"/><Relationship Id="rId16" Type="http://schemas.openxmlformats.org/officeDocument/2006/relationships/image" Target="../media/image22.png"/><Relationship Id="rId20" Type="http://schemas.openxmlformats.org/officeDocument/2006/relationships/image" Target="../media/image26.png"/><Relationship Id="rId1" Type="http://schemas.openxmlformats.org/officeDocument/2006/relationships/hyperlink" Target="http://www.ti.com" TargetMode="External"/><Relationship Id="rId6" Type="http://schemas.openxmlformats.org/officeDocument/2006/relationships/image" Target="../media/image12.png"/><Relationship Id="rId11" Type="http://schemas.openxmlformats.org/officeDocument/2006/relationships/image" Target="../media/image17.png"/><Relationship Id="rId24" Type="http://schemas.openxmlformats.org/officeDocument/2006/relationships/image" Target="../media/image30.png"/><Relationship Id="rId5" Type="http://schemas.openxmlformats.org/officeDocument/2006/relationships/image" Target="../media/image11.png"/><Relationship Id="rId15" Type="http://schemas.openxmlformats.org/officeDocument/2006/relationships/image" Target="../media/image21.png"/><Relationship Id="rId23" Type="http://schemas.openxmlformats.org/officeDocument/2006/relationships/image" Target="../media/image29.png"/><Relationship Id="rId10" Type="http://schemas.openxmlformats.org/officeDocument/2006/relationships/image" Target="../media/image16.png"/><Relationship Id="rId19" Type="http://schemas.openxmlformats.org/officeDocument/2006/relationships/image" Target="../media/image25.png"/><Relationship Id="rId4" Type="http://schemas.openxmlformats.org/officeDocument/2006/relationships/image" Target="../media/image10.png"/><Relationship Id="rId9" Type="http://schemas.openxmlformats.org/officeDocument/2006/relationships/image" Target="../media/image15.png"/><Relationship Id="rId14" Type="http://schemas.openxmlformats.org/officeDocument/2006/relationships/image" Target="../media/image20.png"/><Relationship Id="rId22" Type="http://schemas.openxmlformats.org/officeDocument/2006/relationships/image" Target="../media/image28.png"/></Relationships>
</file>

<file path=xl/drawings/_rels/drawing1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image" Target="../media/image2.gif"/><Relationship Id="rId1" Type="http://schemas.openxmlformats.org/officeDocument/2006/relationships/hyperlink" Target="http://www.ti.com" TargetMode="External"/><Relationship Id="rId4" Type="http://schemas.openxmlformats.org/officeDocument/2006/relationships/hyperlink" Target="http://www.ti.com/corp/docs/legal/copyright.shtml" TargetMode="External"/></Relationships>
</file>

<file path=xl/drawings/_rels/drawing13.xml.rels><?xml version="1.0" encoding="UTF-8" standalone="yes"?>
<Relationships xmlns="http://schemas.openxmlformats.org/package/2006/relationships"><Relationship Id="rId3" Type="http://schemas.openxmlformats.org/officeDocument/2006/relationships/hyperlink" Target="http://www.ti.com/corp/docs/legal/copyright.shtml" TargetMode="External"/><Relationship Id="rId2" Type="http://schemas.openxmlformats.org/officeDocument/2006/relationships/image" Target="../media/image2.gif"/><Relationship Id="rId1" Type="http://schemas.openxmlformats.org/officeDocument/2006/relationships/hyperlink" Target="http://www.ti.com"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85724</xdr:colOff>
      <xdr:row>0</xdr:row>
      <xdr:rowOff>152399</xdr:rowOff>
    </xdr:from>
    <xdr:to>
      <xdr:col>2</xdr:col>
      <xdr:colOff>80961</xdr:colOff>
      <xdr:row>2</xdr:row>
      <xdr:rowOff>93344</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4"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64297</xdr:colOff>
      <xdr:row>0</xdr:row>
      <xdr:rowOff>73819</xdr:rowOff>
    </xdr:from>
    <xdr:ext cx="6960390" cy="417807"/>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814641" y="73819"/>
          <a:ext cx="696039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Thermistor Design Tool - Constant Current Biasing</a:t>
          </a:r>
        </a:p>
      </xdr:txBody>
    </xdr:sp>
    <xdr:clientData/>
  </xdr:oneCellAnchor>
  <xdr:oneCellAnchor>
    <xdr:from>
      <xdr:col>0</xdr:col>
      <xdr:colOff>304799</xdr:colOff>
      <xdr:row>6</xdr:row>
      <xdr:rowOff>0</xdr:rowOff>
    </xdr:from>
    <xdr:ext cx="7839076" cy="10134600"/>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304799" y="1097280"/>
          <a:ext cx="7839076" cy="10134600"/>
        </a:xfrm>
        <a:prstGeom prst="rect">
          <a:avLst/>
        </a:prstGeom>
        <a:solidFill>
          <a:srgbClr val="E0E0E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algn="l">
            <a:spcBef>
              <a:spcPts val="0"/>
            </a:spcBef>
            <a:spcAft>
              <a:spcPts val="0"/>
            </a:spcAft>
          </a:pPr>
          <a:r>
            <a:rPr lang="en-US" sz="1200" b="1">
              <a:solidFill>
                <a:srgbClr val="000000"/>
              </a:solidFill>
              <a:effectLst/>
              <a:latin typeface="Arial"/>
              <a:ea typeface="MS Mincho"/>
            </a:rPr>
            <a:t>TEXAS INSTRUMENTS TEXT FILE LICENSE</a:t>
          </a:r>
          <a:endParaRPr lang="en-US" sz="1400" b="1">
            <a:effectLst/>
            <a:latin typeface="Times New Roman"/>
            <a:ea typeface="MS Mincho"/>
          </a:endParaRPr>
        </a:p>
        <a:p>
          <a:pPr marL="0" marR="0">
            <a:spcBef>
              <a:spcPts val="0"/>
            </a:spcBef>
            <a:spcAft>
              <a:spcPts val="0"/>
            </a:spcAft>
          </a:pPr>
          <a:r>
            <a:rPr lang="en-US" sz="1200">
              <a:solidFill>
                <a:srgbClr val="808080"/>
              </a:solidFill>
              <a:effectLst/>
              <a:latin typeface="Arial"/>
              <a:ea typeface="MS Mincho"/>
            </a:rPr>
            <a:t> </a:t>
          </a:r>
          <a:endParaRPr lang="en-US" sz="1400">
            <a:effectLst/>
            <a:latin typeface="Times New Roman"/>
            <a:ea typeface="MS Mincho"/>
          </a:endParaRPr>
        </a:p>
        <a:p>
          <a:pPr marL="0" marR="0">
            <a:spcBef>
              <a:spcPts val="0"/>
            </a:spcBef>
            <a:spcAft>
              <a:spcPts val="0"/>
            </a:spcAft>
          </a:pPr>
          <a:r>
            <a:rPr lang="en-US" sz="1200">
              <a:solidFill>
                <a:srgbClr val="000000"/>
              </a:solidFill>
              <a:effectLst/>
              <a:latin typeface="Arial"/>
              <a:ea typeface="MS Mincho"/>
            </a:rPr>
            <a:t>Copyright (c) 2021 Texas Instruments Incorporated</a:t>
          </a:r>
          <a:endParaRPr lang="en-US" sz="1400">
            <a:effectLst/>
            <a:latin typeface="Times New Roman"/>
            <a:ea typeface="MS Mincho"/>
          </a:endParaRPr>
        </a:p>
        <a:p>
          <a:pPr marL="0" marR="0">
            <a:spcBef>
              <a:spcPts val="0"/>
            </a:spcBef>
            <a:spcAft>
              <a:spcPts val="0"/>
            </a:spcAft>
          </a:pPr>
          <a:r>
            <a:rPr lang="en-US" sz="1200">
              <a:solidFill>
                <a:srgbClr val="808080"/>
              </a:solidFill>
              <a:effectLst/>
              <a:latin typeface="Arial"/>
              <a:ea typeface="MS Mincho"/>
            </a:rPr>
            <a:t> </a:t>
          </a:r>
          <a:endParaRPr lang="en-US" sz="1400">
            <a:effectLst/>
            <a:latin typeface="Times New Roman"/>
            <a:ea typeface="MS Mincho"/>
          </a:endParaRPr>
        </a:p>
        <a:p>
          <a:pPr marL="0" marR="0">
            <a:spcBef>
              <a:spcPts val="0"/>
            </a:spcBef>
            <a:spcAft>
              <a:spcPts val="0"/>
            </a:spcAft>
          </a:pPr>
          <a:r>
            <a:rPr lang="en-US" sz="1200">
              <a:solidFill>
                <a:srgbClr val="000000"/>
              </a:solidFill>
              <a:effectLst/>
              <a:latin typeface="Arial"/>
              <a:ea typeface="MS Mincho"/>
            </a:rPr>
            <a:t>All rights reserved not granted herein.</a:t>
          </a:r>
          <a:endParaRPr lang="en-US" sz="1400">
            <a:effectLst/>
            <a:latin typeface="Times New Roman"/>
            <a:ea typeface="MS Mincho"/>
          </a:endParaRPr>
        </a:p>
        <a:p>
          <a:pPr marL="0" marR="0">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spcBef>
              <a:spcPts val="0"/>
            </a:spcBef>
            <a:spcAft>
              <a:spcPts val="0"/>
            </a:spcAft>
          </a:pPr>
          <a:r>
            <a:rPr lang="en-US" sz="1200">
              <a:solidFill>
                <a:srgbClr val="000000"/>
              </a:solidFill>
              <a:effectLst/>
              <a:latin typeface="Arial"/>
              <a:ea typeface="MS Mincho"/>
            </a:rPr>
            <a:t>Limited License.  </a:t>
          </a:r>
          <a:endParaRPr lang="en-US" sz="1400">
            <a:effectLst/>
            <a:latin typeface="Times New Roman"/>
            <a:ea typeface="MS Mincho"/>
          </a:endParaRPr>
        </a:p>
        <a:p>
          <a:pPr marL="0" marR="0">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effectLst/>
              <a:latin typeface="Arial"/>
              <a:ea typeface="MS Mincho"/>
            </a:rPr>
            <a:t>Texas Instruments Incorporated g</a:t>
          </a:r>
          <a:r>
            <a:rPr lang="en-US" sz="1200">
              <a:solidFill>
                <a:srgbClr val="000000"/>
              </a:solidFill>
              <a:effectLst/>
              <a:latin typeface="Arial"/>
              <a:ea typeface="MS Mincho"/>
            </a:rPr>
            <a:t>rants a world-wide, royalty-free, non-exclusive license under copyrights and patents it now or hereafter owns or controls to make, have made, use, import, offer to sell and </a:t>
          </a:r>
          <a:r>
            <a:rPr lang="en-US" sz="1200">
              <a:effectLst/>
              <a:latin typeface="Arial"/>
              <a:ea typeface="MS Mincho"/>
            </a:rPr>
            <a:t>sell ("Utilize")</a:t>
          </a:r>
          <a:r>
            <a:rPr lang="en-US" sz="1200">
              <a:solidFill>
                <a:srgbClr val="0000FF"/>
              </a:solidFill>
              <a:effectLst/>
              <a:latin typeface="Arial"/>
              <a:ea typeface="MS Mincho"/>
            </a:rPr>
            <a:t> </a:t>
          </a:r>
          <a:r>
            <a:rPr lang="en-US" sz="1200">
              <a:solidFill>
                <a:srgbClr val="000000"/>
              </a:solidFill>
              <a:effectLst/>
              <a:latin typeface="Arial"/>
              <a:ea typeface="MS Mincho"/>
            </a:rPr>
            <a:t>this software subject to the terms herein.  With respect to the foregoing patent license, such license is granted  solely to the extent that any such patent is necessary to Utilize the software alone.  The patent license shall not apply to any combinations which include this software, other than combinations with devices manufactured by or for TI (“TI Devices”).  No hardware patent is licensed hereunder.</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Redistributions must preserve existing copyright notices and reproduce this license (including the above copyright notice and the disclaimer and (if applicable) source code license limitations below) in the documentation and/or other materials provided with the distribution</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Redistribution and use in binary form, without modification, are permitted provided that the following conditions are met:</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No reverse engineering, decompilation, or disassembly of this software is permitted with respect to any software provided in binary form.</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any redistribution and use are licensed by TI for use only with TI Devices.</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Nothing shall obligate TI to provide you with source code for the software licensed and provided to you in object code.</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If software source code is provided to you, modification and redistribution of the source code are permitted provided that the following conditions are met:</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228600" marR="0" indent="-228600" algn="just">
            <a:spcBef>
              <a:spcPts val="0"/>
            </a:spcBef>
            <a:spcAft>
              <a:spcPts val="0"/>
            </a:spcAft>
          </a:pPr>
          <a:r>
            <a:rPr lang="en-US" sz="1200">
              <a:solidFill>
                <a:srgbClr val="000000"/>
              </a:solidFill>
              <a:effectLst/>
              <a:latin typeface="Arial"/>
              <a:ea typeface="MS Mincho"/>
            </a:rPr>
            <a:t>*	any redistribution and use of the source code, including any resulting derivative works, are licensed by TI for use only with TI Devices.</a:t>
          </a:r>
          <a:endParaRPr lang="en-US" sz="1400">
            <a:effectLst/>
            <a:latin typeface="Times New Roman"/>
            <a:ea typeface="MS Mincho"/>
          </a:endParaRPr>
        </a:p>
        <a:p>
          <a:pPr marL="228600" marR="0" indent="-22860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228600" marR="0" indent="-228600" algn="just">
            <a:spcBef>
              <a:spcPts val="0"/>
            </a:spcBef>
            <a:spcAft>
              <a:spcPts val="0"/>
            </a:spcAft>
          </a:pPr>
          <a:r>
            <a:rPr lang="en-US" sz="1200">
              <a:solidFill>
                <a:srgbClr val="000000"/>
              </a:solidFill>
              <a:effectLst/>
              <a:latin typeface="Arial"/>
              <a:ea typeface="MS Mincho"/>
            </a:rPr>
            <a:t>*	any redistribution and use of any object code compiled from the source code and any resulting derivative works, are licensed by TI for use only with TI Devices.</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Neither the name </a:t>
          </a:r>
          <a:r>
            <a:rPr lang="en-US" sz="1200">
              <a:effectLst/>
              <a:latin typeface="Arial"/>
              <a:ea typeface="MS Mincho"/>
            </a:rPr>
            <a:t>of Texas Instruments Incorporated</a:t>
          </a:r>
          <a:r>
            <a:rPr lang="en-US" sz="1200">
              <a:solidFill>
                <a:srgbClr val="0000FF"/>
              </a:solidFill>
              <a:effectLst/>
              <a:latin typeface="Arial"/>
              <a:ea typeface="MS Mincho"/>
            </a:rPr>
            <a:t> </a:t>
          </a:r>
          <a:r>
            <a:rPr lang="en-US" sz="1200">
              <a:solidFill>
                <a:srgbClr val="000000"/>
              </a:solidFill>
              <a:effectLst/>
              <a:latin typeface="Arial"/>
              <a:ea typeface="MS Mincho"/>
            </a:rPr>
            <a:t>nor the names of its suppliers may be used to endorse or promote products derived from this software without specific prior written permission.</a:t>
          </a:r>
          <a:endParaRPr lang="en-US" sz="1400">
            <a:effectLst/>
            <a:latin typeface="Times New Roman"/>
            <a:ea typeface="MS Mincho"/>
          </a:endParaRPr>
        </a:p>
        <a:p>
          <a:pPr marL="171450" marR="0" indent="-17145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b="1">
              <a:solidFill>
                <a:srgbClr val="000000"/>
              </a:solidFill>
              <a:effectLst/>
              <a:latin typeface="Arial"/>
              <a:ea typeface="MS Mincho"/>
            </a:rPr>
            <a:t>DISCLAIMER.</a:t>
          </a:r>
          <a:endParaRPr lang="en-US" sz="1400" b="1">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 </a:t>
          </a:r>
          <a:endParaRPr lang="en-US" sz="1400">
            <a:effectLst/>
            <a:latin typeface="Times New Roman"/>
            <a:ea typeface="MS Mincho"/>
          </a:endParaRPr>
        </a:p>
        <a:p>
          <a:pPr marL="0" marR="0" algn="just">
            <a:spcBef>
              <a:spcPts val="0"/>
            </a:spcBef>
            <a:spcAft>
              <a:spcPts val="0"/>
            </a:spcAft>
          </a:pPr>
          <a:r>
            <a:rPr lang="en-US" sz="1200">
              <a:solidFill>
                <a:srgbClr val="000000"/>
              </a:solidFill>
              <a:effectLst/>
              <a:latin typeface="Arial"/>
              <a:ea typeface="MS Mincho"/>
            </a:rPr>
            <a:t>THIS SOFTWARE IS PROVIDED BY TI AND TI’S LICENSORS "AS IS" AND ANY EXPRESS OR IMPLIED WARRANTIES, INCLUDING, BUT NOT LIMITED TO, THE IMPLIED WARRANTIES OF MERCHANTABILITY AND FITNESS FOR A PARTICULAR PURPOSE ARE DISCLAIMED. IN NO EVENT SHALL TI AND TI’S LICENSORS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a:t>
          </a:r>
          <a:endParaRPr lang="en-US" sz="1400">
            <a:effectLst/>
            <a:latin typeface="Times New Roman"/>
            <a:ea typeface="MS Mincho"/>
          </a:endParaRPr>
        </a:p>
        <a:p>
          <a:endParaRPr lang="en-US" sz="1200" baseline="0"/>
        </a:p>
        <a:p>
          <a:endParaRPr lang="en-US" sz="1200" baseline="0"/>
        </a:p>
        <a:p>
          <a:endParaRPr lang="en-US" sz="1200" baseline="0"/>
        </a:p>
      </xdr:txBody>
    </xdr:sp>
    <xdr:clientData/>
  </xdr:oneCellAnchor>
  <xdr:twoCellAnchor>
    <xdr:from>
      <xdr:col>9</xdr:col>
      <xdr:colOff>785812</xdr:colOff>
      <xdr:row>7</xdr:row>
      <xdr:rowOff>83348</xdr:rowOff>
    </xdr:from>
    <xdr:to>
      <xdr:col>23</xdr:col>
      <xdr:colOff>107157</xdr:colOff>
      <xdr:row>16</xdr:row>
      <xdr:rowOff>47624</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9036843" y="1333504"/>
          <a:ext cx="10989470" cy="160733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tool provides the resistance to temperature data for the portfolio of thermistors at Texas Instruments.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Multiple, high accuracy temperature conversion methods are included to help you accelerate your coding process.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All values presented in this tool are based on the parameters and thermistor network as seen below.</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resistance to temperature relationship and may cause temperature errors outside of the specified tolerances in the datasheet.</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xdr:clientData/>
  </xdr:twoCellAnchor>
  <xdr:twoCellAnchor editAs="oneCell">
    <xdr:from>
      <xdr:col>11</xdr:col>
      <xdr:colOff>861415</xdr:colOff>
      <xdr:row>54</xdr:row>
      <xdr:rowOff>99719</xdr:rowOff>
    </xdr:from>
    <xdr:to>
      <xdr:col>15</xdr:col>
      <xdr:colOff>23812</xdr:colOff>
      <xdr:row>70</xdr:row>
      <xdr:rowOff>45239</xdr:rowOff>
    </xdr:to>
    <xdr:pic>
      <xdr:nvPicPr>
        <xdr:cNvPr id="33" name="Picture 32" descr="C:\Users\a0190682\AppData\Local\Temp\SNAGHTML2a27a59e.PNG">
          <a:extLst>
            <a:ext uri="{FF2B5EF4-FFF2-40B4-BE49-F238E27FC236}">
              <a16:creationId xmlns:a16="http://schemas.microsoft.com/office/drawing/2014/main" id="{00000000-0008-0000-0000-000021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1129365" y="10434344"/>
          <a:ext cx="3086697" cy="26887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276234</xdr:colOff>
      <xdr:row>54</xdr:row>
      <xdr:rowOff>142878</xdr:rowOff>
    </xdr:from>
    <xdr:to>
      <xdr:col>11</xdr:col>
      <xdr:colOff>609304</xdr:colOff>
      <xdr:row>70</xdr:row>
      <xdr:rowOff>47627</xdr:rowOff>
    </xdr:to>
    <xdr:pic>
      <xdr:nvPicPr>
        <xdr:cNvPr id="34" name="Picture 33" descr="C:\Users\a0190682\AppData\Local\Temp\SNAGHTML2a2a6351.PNG">
          <a:extLst>
            <a:ext uri="{FF2B5EF4-FFF2-40B4-BE49-F238E27FC236}">
              <a16:creationId xmlns:a16="http://schemas.microsoft.com/office/drawing/2014/main" id="{00000000-0008-0000-0000-000022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677284" y="10477503"/>
          <a:ext cx="2199970" cy="26479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232407</xdr:colOff>
      <xdr:row>54</xdr:row>
      <xdr:rowOff>130972</xdr:rowOff>
    </xdr:from>
    <xdr:to>
      <xdr:col>18</xdr:col>
      <xdr:colOff>800506</xdr:colOff>
      <xdr:row>67</xdr:row>
      <xdr:rowOff>123826</xdr:rowOff>
    </xdr:to>
    <xdr:pic>
      <xdr:nvPicPr>
        <xdr:cNvPr id="35" name="Picture 34" descr="C:\Users\a0190682\AppData\Local\Temp\SNAGHTML2a2fa83d.PNG">
          <a:extLst>
            <a:ext uri="{FF2B5EF4-FFF2-40B4-BE49-F238E27FC236}">
              <a16:creationId xmlns:a16="http://schemas.microsoft.com/office/drawing/2014/main" id="{00000000-0008-0000-0000-00002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4653257" y="10465597"/>
          <a:ext cx="2720749" cy="22217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13</xdr:col>
      <xdr:colOff>903514</xdr:colOff>
      <xdr:row>0</xdr:row>
      <xdr:rowOff>152399</xdr:rowOff>
    </xdr:from>
    <xdr:ext cx="4179670" cy="264560"/>
    <xdr:sp macro="" textlink="">
      <xdr:nvSpPr>
        <xdr:cNvPr id="11" name="TextBox 10">
          <a:hlinkClick xmlns:r="http://schemas.openxmlformats.org/officeDocument/2006/relationships" r:id="rId6"/>
          <a:extLst>
            <a:ext uri="{FF2B5EF4-FFF2-40B4-BE49-F238E27FC236}">
              <a16:creationId xmlns:a16="http://schemas.microsoft.com/office/drawing/2014/main" id="{00000000-0008-0000-0000-00000B000000}"/>
            </a:ext>
          </a:extLst>
        </xdr:cNvPr>
        <xdr:cNvSpPr txBox="1"/>
      </xdr:nvSpPr>
      <xdr:spPr>
        <a:xfrm>
          <a:off x="13073743" y="152399"/>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twoCellAnchor editAs="oneCell">
    <xdr:from>
      <xdr:col>18</xdr:col>
      <xdr:colOff>390525</xdr:colOff>
      <xdr:row>61</xdr:row>
      <xdr:rowOff>95250</xdr:rowOff>
    </xdr:from>
    <xdr:to>
      <xdr:col>20</xdr:col>
      <xdr:colOff>446334</xdr:colOff>
      <xdr:row>70</xdr:row>
      <xdr:rowOff>85726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7"/>
        <a:stretch>
          <a:fillRect/>
        </a:stretch>
      </xdr:blipFill>
      <xdr:spPr>
        <a:xfrm>
          <a:off x="16964025" y="11630025"/>
          <a:ext cx="1817934" cy="15335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18</xdr:col>
          <xdr:colOff>198120</xdr:colOff>
          <xdr:row>13</xdr:row>
          <xdr:rowOff>114300</xdr:rowOff>
        </xdr:from>
        <xdr:to>
          <xdr:col>21</xdr:col>
          <xdr:colOff>342900</xdr:colOff>
          <xdr:row>36</xdr:row>
          <xdr:rowOff>60960</xdr:rowOff>
        </xdr:to>
        <xdr:sp macro="" textlink="">
          <xdr:nvSpPr>
            <xdr:cNvPr id="1025" name="Object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440532</xdr:colOff>
      <xdr:row>241</xdr:row>
      <xdr:rowOff>59531</xdr:rowOff>
    </xdr:from>
    <xdr:to>
      <xdr:col>13</xdr:col>
      <xdr:colOff>940595</xdr:colOff>
      <xdr:row>247</xdr:row>
      <xdr:rowOff>95250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405563" y="39969281"/>
          <a:ext cx="2774157" cy="1035844"/>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Examples of the C code are</a:t>
          </a:r>
          <a:r>
            <a:rPr lang="en-US" b="1"/>
            <a:t> below</a:t>
          </a:r>
          <a:r>
            <a:rPr lang="en-US" b="1" baseline="0"/>
            <a:t> </a:t>
          </a:r>
        </a:p>
        <a:p>
          <a:pPr algn="ctr"/>
          <a:r>
            <a:rPr lang="en-US" b="1" baseline="0"/>
            <a:t>These examples are for reference only </a:t>
          </a:r>
        </a:p>
        <a:p>
          <a:pPr algn="ctr"/>
          <a:endParaRPr lang="en-US" b="0" baseline="0"/>
        </a:p>
        <a:p>
          <a:pPr algn="ctr"/>
          <a:r>
            <a:rPr lang="en-US" b="1" i="1" baseline="0"/>
            <a:t>TI does not warranty the use of this code, it's accuracy or reliability</a:t>
          </a:r>
        </a:p>
      </xdr:txBody>
    </xdr:sp>
    <xdr:clientData/>
  </xdr:twoCellAnchor>
  <xdr:twoCellAnchor editAs="oneCell">
    <xdr:from>
      <xdr:col>0</xdr:col>
      <xdr:colOff>85725</xdr:colOff>
      <xdr:row>0</xdr:row>
      <xdr:rowOff>152401</xdr:rowOff>
    </xdr:from>
    <xdr:to>
      <xdr:col>1</xdr:col>
      <xdr:colOff>664369</xdr:colOff>
      <xdr:row>2</xdr:row>
      <xdr:rowOff>93346</xdr:rowOff>
    </xdr:to>
    <xdr:pic>
      <xdr:nvPicPr>
        <xdr:cNvPr id="11" name="Picture 10" descr="ti logo">
          <a:hlinkClick xmlns:r="http://schemas.openxmlformats.org/officeDocument/2006/relationships" r:id="rId1"/>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401"/>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4</xdr:col>
      <xdr:colOff>52391</xdr:colOff>
      <xdr:row>0</xdr:row>
      <xdr:rowOff>133350</xdr:rowOff>
    </xdr:from>
    <xdr:ext cx="5943600" cy="417807"/>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429101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Device Resistance Tables</a:t>
          </a:r>
        </a:p>
      </xdr:txBody>
    </xdr:sp>
    <xdr:clientData/>
  </xdr:oneCellAnchor>
  <xdr:twoCellAnchor>
    <xdr:from>
      <xdr:col>0</xdr:col>
      <xdr:colOff>285748</xdr:colOff>
      <xdr:row>5</xdr:row>
      <xdr:rowOff>190497</xdr:rowOff>
    </xdr:from>
    <xdr:to>
      <xdr:col>21</xdr:col>
      <xdr:colOff>535781</xdr:colOff>
      <xdr:row>13</xdr:row>
      <xdr:rowOff>59533</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285748" y="1023935"/>
          <a:ext cx="15144752" cy="123825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you the calculated resistance to temperature tables and example code, valid only for the specific device and bias current combination currently on the "Main" sheet.</a:t>
          </a:r>
        </a:p>
        <a:p>
          <a:pPr eaLnBrk="1" fontAlgn="auto" latinLnBrk="0" hangingPunct="1"/>
          <a:r>
            <a:rPr lang="en-US" sz="1200" b="0" i="0" baseline="0">
              <a:solidFill>
                <a:schemeClr val="dk1"/>
              </a:solidFill>
              <a:effectLst/>
              <a:latin typeface="Arial" panose="020B0604020202020204" pitchFamily="34" charset="0"/>
              <a:ea typeface="+mn-ea"/>
              <a:cs typeface="Arial" panose="020B0604020202020204" pitchFamily="34" charset="0"/>
            </a:rPr>
            <a:t>Any return ADC voltage above the ADC reference voltage threshold (VREF) is not valid and will be highlighted RED in the table below. Please lower the current bias value until your entire desired temperature range is valid. </a:t>
          </a:r>
          <a:endParaRPr lang="en-US" sz="1200">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0" i="0" baseline="0">
              <a:solidFill>
                <a:schemeClr val="dk1"/>
              </a:solidFill>
              <a:effectLst/>
              <a:latin typeface="Arial" panose="020B0604020202020204" pitchFamily="34" charset="0"/>
              <a:ea typeface="+mn-ea"/>
              <a:cs typeface="Arial" panose="020B0604020202020204" pitchFamily="34" charset="0"/>
            </a:rPr>
            <a:t>Operating the Extended temperature devices with low current below 50uA, at temperatures above 150ºC  cause instability in holding resistance values. These cells will be highlighted </a:t>
          </a:r>
          <a:r>
            <a:rPr lang="en-US" sz="1200" b="0" i="0" baseline="0">
              <a:solidFill>
                <a:srgbClr val="FFC000"/>
              </a:solidFill>
              <a:effectLst/>
              <a:latin typeface="Arial" panose="020B0604020202020204" pitchFamily="34" charset="0"/>
              <a:ea typeface="+mn-ea"/>
              <a:cs typeface="Arial" panose="020B0604020202020204" pitchFamily="34" charset="0"/>
            </a:rPr>
            <a:t>ORANGE</a:t>
          </a:r>
          <a:r>
            <a:rPr lang="en-US" sz="1200" b="0" i="0" baseline="0">
              <a:solidFill>
                <a:schemeClr val="dk1"/>
              </a:solidFill>
              <a:effectLst/>
              <a:latin typeface="Arial" panose="020B0604020202020204" pitchFamily="34" charset="0"/>
              <a:ea typeface="+mn-ea"/>
              <a:cs typeface="Arial" panose="020B0604020202020204" pitchFamily="34" charset="0"/>
            </a:rPr>
            <a:t> in the cells below.</a:t>
          </a:r>
          <a:endParaRPr lang="en-US" sz="1200">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resistance to temperature relationship and may cause temperature errors outside of the specified tolerances in the datasheet.</a:t>
          </a:r>
        </a:p>
      </xdr:txBody>
    </xdr:sp>
    <xdr:clientData/>
  </xdr:twoCellAnchor>
  <xdr:oneCellAnchor>
    <xdr:from>
      <xdr:col>16</xdr:col>
      <xdr:colOff>1057275</xdr:colOff>
      <xdr:row>0</xdr:row>
      <xdr:rowOff>152400</xdr:rowOff>
    </xdr:from>
    <xdr:ext cx="4179670" cy="264560"/>
    <xdr:sp macro="" textlink="">
      <xdr:nvSpPr>
        <xdr:cNvPr id="8" name="TextBox 7">
          <a:hlinkClick xmlns:r="http://schemas.openxmlformats.org/officeDocument/2006/relationships" r:id="rId3"/>
          <a:extLst>
            <a:ext uri="{FF2B5EF4-FFF2-40B4-BE49-F238E27FC236}">
              <a16:creationId xmlns:a16="http://schemas.microsoft.com/office/drawing/2014/main" id="{00000000-0008-0000-0200-000008000000}"/>
            </a:ext>
          </a:extLst>
        </xdr:cNvPr>
        <xdr:cNvSpPr txBox="1"/>
      </xdr:nvSpPr>
      <xdr:spPr>
        <a:xfrm>
          <a:off x="13344525" y="15240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23</xdr:col>
      <xdr:colOff>23812</xdr:colOff>
      <xdr:row>35</xdr:row>
      <xdr:rowOff>19051</xdr:rowOff>
    </xdr:from>
    <xdr:to>
      <xdr:col>30</xdr:col>
      <xdr:colOff>100012</xdr:colOff>
      <xdr:row>61</xdr:row>
      <xdr:rowOff>19051</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23812</xdr:colOff>
      <xdr:row>64</xdr:row>
      <xdr:rowOff>164307</xdr:rowOff>
    </xdr:from>
    <xdr:to>
      <xdr:col>30</xdr:col>
      <xdr:colOff>100012</xdr:colOff>
      <xdr:row>90</xdr:row>
      <xdr:rowOff>164307</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321469</xdr:colOff>
      <xdr:row>5</xdr:row>
      <xdr:rowOff>119061</xdr:rowOff>
    </xdr:from>
    <xdr:ext cx="19776281" cy="1821657"/>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321469" y="952499"/>
          <a:ext cx="19776281" cy="1821657"/>
        </a:xfrm>
        <a:prstGeom prst="rect">
          <a:avLst/>
        </a:prstGeom>
        <a:solidFill>
          <a:schemeClr val="bg1"/>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This sheet provides a quick method to compare the Texas Instruments device selected, with a standard NTC thermistor of your choice. Enter the appropriate NTC resistance data in the red outlined cells below to see the comparisons on the graphs to the right. The two devices are compared based on the same current bias circuit.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The values calculated below are valid only for the specific device and bias current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Any return ADC voltage above the ADC reference voltage threshold (VREF) is not valid and will be highlighted </a:t>
          </a:r>
          <a:r>
            <a:rPr kumimoji="0" lang="en-US" sz="1200" b="0" i="0" u="none" strike="noStrike" kern="0" cap="none" spc="0" normalizeH="0" baseline="0" noProof="0">
              <a:ln>
                <a:noFill/>
              </a:ln>
              <a:solidFill>
                <a:srgbClr val="FF0000"/>
              </a:solidFill>
              <a:effectLst/>
              <a:uLnTx/>
              <a:uFillTx/>
              <a:latin typeface="Arial" panose="020B0604020202020204" pitchFamily="34" charset="0"/>
              <a:ea typeface="+mn-ea"/>
              <a:cs typeface="Arial" panose="020B0604020202020204" pitchFamily="34" charset="0"/>
            </a:rPr>
            <a:t>RED </a:t>
          </a:r>
          <a:r>
            <a:rPr kumimoji="0" lang="en-US" sz="12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in the table below. Please lower the current bias value until your entire desired temperature range is valid.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Operating the Extended temperature devices with low current below 50uA, at temperatures above 150ºC  cause instability in holding resistance values. These cells will be highlighted </a:t>
          </a:r>
          <a:r>
            <a:rPr kumimoji="0" lang="en-US" sz="1200" b="0" i="0" u="none" strike="noStrike" kern="0" cap="none" spc="0" normalizeH="0" baseline="0" noProof="0">
              <a:ln>
                <a:noFill/>
              </a:ln>
              <a:solidFill>
                <a:srgbClr val="FFC000"/>
              </a:solidFill>
              <a:effectLst/>
              <a:uLnTx/>
              <a:uFillTx/>
              <a:latin typeface="Arial" panose="020B0604020202020204" pitchFamily="34" charset="0"/>
              <a:ea typeface="+mn-ea"/>
              <a:cs typeface="Arial" panose="020B0604020202020204" pitchFamily="34" charset="0"/>
            </a:rPr>
            <a:t>ORANGE </a:t>
          </a:r>
          <a:r>
            <a:rPr kumimoji="0" lang="en-US" sz="12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in the cells below.</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resistance to temperature relationship and may cause temperature errors outside of the specified tolerances in the datasheet.</a:t>
          </a:r>
        </a:p>
      </xdr:txBody>
    </xdr:sp>
    <xdr:clientData/>
  </xdr:oneCellAnchor>
  <xdr:twoCellAnchor>
    <xdr:from>
      <xdr:col>23</xdr:col>
      <xdr:colOff>23812</xdr:colOff>
      <xdr:row>94</xdr:row>
      <xdr:rowOff>80963</xdr:rowOff>
    </xdr:from>
    <xdr:to>
      <xdr:col>30</xdr:col>
      <xdr:colOff>100012</xdr:colOff>
      <xdr:row>120</xdr:row>
      <xdr:rowOff>80963</xdr:rowOff>
    </xdr:to>
    <xdr:graphicFrame macro="">
      <xdr:nvGraphicFramePr>
        <xdr:cNvPr id="8" name="Chart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23812</xdr:colOff>
      <xdr:row>123</xdr:row>
      <xdr:rowOff>226219</xdr:rowOff>
    </xdr:from>
    <xdr:to>
      <xdr:col>30</xdr:col>
      <xdr:colOff>100012</xdr:colOff>
      <xdr:row>149</xdr:row>
      <xdr:rowOff>226219</xdr:rowOff>
    </xdr:to>
    <xdr:graphicFrame macro="">
      <xdr:nvGraphicFramePr>
        <xdr:cNvPr id="9" name="Chart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85725</xdr:colOff>
      <xdr:row>0</xdr:row>
      <xdr:rowOff>152399</xdr:rowOff>
    </xdr:from>
    <xdr:to>
      <xdr:col>1</xdr:col>
      <xdr:colOff>902494</xdr:colOff>
      <xdr:row>2</xdr:row>
      <xdr:rowOff>93344</xdr:rowOff>
    </xdr:to>
    <xdr:pic>
      <xdr:nvPicPr>
        <xdr:cNvPr id="16" name="Picture 15" descr="ti logo">
          <a:hlinkClick xmlns:r="http://schemas.openxmlformats.org/officeDocument/2006/relationships" r:id="rId5"/>
          <a:extLst>
            <a:ext uri="{FF2B5EF4-FFF2-40B4-BE49-F238E27FC236}">
              <a16:creationId xmlns:a16="http://schemas.microsoft.com/office/drawing/2014/main" id="{00000000-0008-0000-0300-000010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17" name="TextBox 16">
          <a:extLst>
            <a:ext uri="{FF2B5EF4-FFF2-40B4-BE49-F238E27FC236}">
              <a16:creationId xmlns:a16="http://schemas.microsoft.com/office/drawing/2014/main" id="{00000000-0008-0000-0300-000011000000}"/>
            </a:ext>
          </a:extLst>
        </xdr:cNvPr>
        <xdr:cNvSpPr txBox="1"/>
      </xdr:nvSpPr>
      <xdr:spPr>
        <a:xfrm>
          <a:off x="429101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NTC Thermistor Comparison</a:t>
          </a:r>
        </a:p>
      </xdr:txBody>
    </xdr:sp>
    <xdr:clientData/>
  </xdr:oneCellAnchor>
  <xdr:twoCellAnchor>
    <xdr:from>
      <xdr:col>23</xdr:col>
      <xdr:colOff>23812</xdr:colOff>
      <xdr:row>153</xdr:row>
      <xdr:rowOff>142875</xdr:rowOff>
    </xdr:from>
    <xdr:to>
      <xdr:col>30</xdr:col>
      <xdr:colOff>100012</xdr:colOff>
      <xdr:row>179</xdr:row>
      <xdr:rowOff>142875</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15</xdr:col>
      <xdr:colOff>657225</xdr:colOff>
      <xdr:row>0</xdr:row>
      <xdr:rowOff>142875</xdr:rowOff>
    </xdr:from>
    <xdr:ext cx="4179670" cy="264560"/>
    <xdr:sp macro="" textlink="">
      <xdr:nvSpPr>
        <xdr:cNvPr id="11" name="TextBox 10">
          <a:hlinkClick xmlns:r="http://schemas.openxmlformats.org/officeDocument/2006/relationships" r:id="rId8"/>
          <a:extLst>
            <a:ext uri="{FF2B5EF4-FFF2-40B4-BE49-F238E27FC236}">
              <a16:creationId xmlns:a16="http://schemas.microsoft.com/office/drawing/2014/main" id="{00000000-0008-0000-0300-00000B000000}"/>
            </a:ext>
          </a:extLst>
        </xdr:cNvPr>
        <xdr:cNvSpPr txBox="1"/>
      </xdr:nvSpPr>
      <xdr:spPr>
        <a:xfrm>
          <a:off x="13239750" y="14287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2</xdr:col>
      <xdr:colOff>95250</xdr:colOff>
      <xdr:row>106</xdr:row>
      <xdr:rowOff>35719</xdr:rowOff>
    </xdr:from>
    <xdr:to>
      <xdr:col>5</xdr:col>
      <xdr:colOff>916782</xdr:colOff>
      <xdr:row>111</xdr:row>
      <xdr:rowOff>23811</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2238375" y="16502063"/>
          <a:ext cx="4476751" cy="821529"/>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 of the C code </a:t>
          </a:r>
          <a:r>
            <a:rPr lang="en-US" b="1"/>
            <a:t>is below</a:t>
          </a:r>
          <a:r>
            <a:rPr lang="en-US" b="1" baseline="0"/>
            <a:t> </a:t>
          </a:r>
        </a:p>
        <a:p>
          <a:pPr algn="ctr"/>
          <a:r>
            <a:rPr lang="en-US" b="1" baseline="0"/>
            <a:t>The example is for reference only </a:t>
          </a:r>
        </a:p>
        <a:p>
          <a:pPr algn="ctr"/>
          <a:endParaRPr lang="en-US" b="0" baseline="0"/>
        </a:p>
        <a:p>
          <a:pPr algn="ctr"/>
          <a:r>
            <a:rPr lang="en-US" b="1" i="1" baseline="0"/>
            <a:t>TI does not warranty the use of this code, it's accuracy or reliability</a:t>
          </a:r>
        </a:p>
      </xdr:txBody>
    </xdr:sp>
    <xdr:clientData/>
  </xdr:twoCellAnchor>
  <xdr:twoCellAnchor>
    <xdr:from>
      <xdr:col>0</xdr:col>
      <xdr:colOff>178593</xdr:colOff>
      <xdr:row>5</xdr:row>
      <xdr:rowOff>47624</xdr:rowOff>
    </xdr:from>
    <xdr:to>
      <xdr:col>22</xdr:col>
      <xdr:colOff>119063</xdr:colOff>
      <xdr:row>19</xdr:row>
      <xdr:rowOff>11906</xdr:rowOff>
    </xdr:to>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78593" y="881062"/>
              <a:ext cx="20859751" cy="27979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coefficients and example code for the 4th order polynomial regression , the most accurate and fastest method to calculate the temperature values for TI's thermistor portfolio... no look up table needed.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quartic function results in a resistance value based on a temperature, as is shown here merely as an example. The regression formula  is what should be used because it will result in a temperature value based on a measured resistance.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In order to use the regression method, follow these steps: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Measure the voltage drop across the thermistor,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𝑉</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𝑠𝑒𝑛𝑠𝑒</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,with your ADC.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Calculate the resistance of the thermistor.  </a:t>
              </a:r>
              <a14:m>
                <m:oMath xmlns:m="http://schemas.openxmlformats.org/officeDocument/2006/math">
                  <m:r>
                    <m:rPr>
                      <m:sty m:val="p"/>
                    </m:rPr>
                    <a:rPr kumimoji="0" lang="en-US" sz="1200" b="0" i="0" u="none" strike="noStrike" kern="0" cap="none" spc="0" normalizeH="0" baseline="0" noProof="0">
                      <a:ln>
                        <a:noFill/>
                      </a:ln>
                      <a:solidFill>
                        <a:prstClr val="black"/>
                      </a:solidFill>
                      <a:effectLst/>
                      <a:uLnTx/>
                      <a:uFillTx/>
                      <a:latin typeface="Cambria Math"/>
                      <a:ea typeface="+mn-ea"/>
                      <a:cs typeface="+mn-cs"/>
                    </a:rPr>
                    <m:t>R</m:t>
                  </m:r>
                  <m:r>
                    <a:rPr kumimoji="0" lang="en-US" sz="1200" b="0" i="1" u="none" strike="noStrike" kern="0" cap="none" spc="0" normalizeH="0" baseline="0" noProof="0">
                      <a:ln>
                        <a:noFill/>
                      </a:ln>
                      <a:solidFill>
                        <a:prstClr val="black"/>
                      </a:solidFill>
                      <a:effectLst/>
                      <a:uLnTx/>
                      <a:uFillTx/>
                      <a:latin typeface="Cambria Math"/>
                      <a:ea typeface="+mn-ea"/>
                      <a:cs typeface="+mn-cs"/>
                    </a:rPr>
                    <m:t>= </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a:rPr kumimoji="0" lang="en-US" sz="1200" b="0" i="1" u="none" strike="noStrike" kern="0" cap="none" spc="0" normalizeH="0" baseline="0" noProof="0">
                          <a:ln>
                            <a:noFill/>
                          </a:ln>
                          <a:solidFill>
                            <a:prstClr val="black"/>
                          </a:solidFill>
                          <a:effectLst/>
                          <a:uLnTx/>
                          <a:uFillTx/>
                          <a:latin typeface="Cambria Math"/>
                          <a:ea typeface="+mn-ea"/>
                          <a:cs typeface="+mn-cs"/>
                        </a:rPr>
                        <m:t>𝑉</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𝑠𝑒𝑛𝑠𝑒</m:t>
                      </m:r>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𝐼</m:t>
                          </m:r>
                        </m:e>
                        <m:sub>
                          <m:r>
                            <a:rPr kumimoji="0" lang="en-US" sz="1200" b="0" i="1" u="none" strike="noStrike" kern="0" cap="none" spc="0" normalizeH="0" baseline="0" noProof="0">
                              <a:ln>
                                <a:noFill/>
                              </a:ln>
                              <a:solidFill>
                                <a:prstClr val="black"/>
                              </a:solidFill>
                              <a:effectLst/>
                              <a:uLnTx/>
                              <a:uFillTx/>
                              <a:latin typeface="Cambria Math"/>
                              <a:ea typeface="+mn-ea"/>
                              <a:cs typeface="+mn-cs"/>
                            </a:rPr>
                            <m:t>𝐵𝑖𝑎𝑠</m:t>
                          </m:r>
                        </m:sub>
                      </m:sSub>
                    </m:den>
                  </m:f>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4) Use the resistance value in the 4th Order Polynomial Regression equation to find the temperature.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current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resistance to temperature relationship and may cause temperature errors outside of the specified tolerances in the datasheet.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mc:Choice>
      <mc:Fallback xmlns="">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178593" y="881062"/>
              <a:ext cx="20859751" cy="27979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coefficients and example code for the 4th order polynomial regression , the most accurate and fastest method to calculate the temperature values for TI's thermistor portfolio... no look up table needed.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quartic function results in a resistance value based on a temperature, as is shown here merely as an example. The regression formula  is what should be used because it will result in a temperature value based on a measured resistance.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In order to use the regression method, follow these steps: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Measure the voltage drop across the thermistor, </a:t>
              </a:r>
              <a:r>
                <a:rPr kumimoji="0" lang="en-US" sz="1200" b="0" i="0" u="none" strike="noStrike" kern="0" cap="none" spc="0" normalizeH="0" baseline="0" noProof="0">
                  <a:ln>
                    <a:noFill/>
                  </a:ln>
                  <a:solidFill>
                    <a:prstClr val="black"/>
                  </a:solidFill>
                  <a:effectLst/>
                  <a:uLnTx/>
                  <a:uFillTx/>
                  <a:latin typeface="Cambria Math"/>
                  <a:ea typeface="+mn-ea"/>
                  <a:cs typeface="+mn-cs"/>
                </a:rPr>
                <a:t>𝑉</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𝑠𝑒𝑛𝑠𝑒</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,with your ADC.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Calculate the resistance of the thermistor.  </a:t>
              </a:r>
              <a:r>
                <a:rPr kumimoji="0" lang="en-US" sz="1200" b="0" i="0" u="none" strike="noStrike" kern="0" cap="none" spc="0" normalizeH="0" baseline="0" noProof="0">
                  <a:ln>
                    <a:noFill/>
                  </a:ln>
                  <a:solidFill>
                    <a:prstClr val="black"/>
                  </a:solidFill>
                  <a:effectLst/>
                  <a:uLnTx/>
                  <a:uFillTx/>
                  <a:latin typeface="Cambria Math"/>
                  <a:ea typeface="+mn-ea"/>
                  <a:cs typeface="+mn-cs"/>
                </a:rPr>
                <a:t>R=  𝑉</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𝑠𝑒𝑛𝑠𝑒/</a:t>
              </a:r>
              <a:r>
                <a:rPr kumimoji="0" lang="en-US" sz="1200" b="0" i="0" u="none" strike="noStrike" kern="0" cap="none" spc="0" normalizeH="0" baseline="0" noProof="0">
                  <a:ln>
                    <a:noFill/>
                  </a:ln>
                  <a:solidFill>
                    <a:prstClr val="black"/>
                  </a:solidFill>
                  <a:effectLst/>
                  <a:uLnTx/>
                  <a:uFillTx/>
                  <a:latin typeface="Cambria Math"/>
                  <a:ea typeface="+mn-ea"/>
                  <a:cs typeface="+mn-cs"/>
                </a:rPr>
                <a:t>𝐼</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𝐵𝑖𝑎𝑠</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4) Use the resistance value in the 4th Order Polynomial Regression equation to find the temperature.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current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resistance to temperature relationship and may cause temperature errors outside of the specified tolerances in the datasheet.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mc:Fallback>
    </mc:AlternateContent>
    <xdr:clientData/>
  </xdr:twoCellAnchor>
  <xdr:twoCellAnchor editAs="oneCell">
    <xdr:from>
      <xdr:col>0</xdr:col>
      <xdr:colOff>85725</xdr:colOff>
      <xdr:row>0</xdr:row>
      <xdr:rowOff>152399</xdr:rowOff>
    </xdr:from>
    <xdr:to>
      <xdr:col>1</xdr:col>
      <xdr:colOff>938212</xdr:colOff>
      <xdr:row>2</xdr:row>
      <xdr:rowOff>93344</xdr:rowOff>
    </xdr:to>
    <xdr:pic>
      <xdr:nvPicPr>
        <xdr:cNvPr id="10" name="Picture 9" descr="ti logo">
          <a:hlinkClick xmlns:r="http://schemas.openxmlformats.org/officeDocument/2006/relationships" r:id="rId1"/>
          <a:extLst>
            <a:ext uri="{FF2B5EF4-FFF2-40B4-BE49-F238E27FC236}">
              <a16:creationId xmlns:a16="http://schemas.microsoft.com/office/drawing/2014/main" id="{00000000-0008-0000-04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52390</xdr:colOff>
      <xdr:row>0</xdr:row>
      <xdr:rowOff>133350</xdr:rowOff>
    </xdr:from>
    <xdr:ext cx="6602409" cy="417807"/>
    <xdr:sp macro="" textlink="">
      <xdr:nvSpPr>
        <xdr:cNvPr id="11" name="TextBox 10">
          <a:extLst>
            <a:ext uri="{FF2B5EF4-FFF2-40B4-BE49-F238E27FC236}">
              <a16:creationId xmlns:a16="http://schemas.microsoft.com/office/drawing/2014/main" id="{00000000-0008-0000-0400-00000B000000}"/>
            </a:ext>
          </a:extLst>
        </xdr:cNvPr>
        <xdr:cNvSpPr txBox="1"/>
      </xdr:nvSpPr>
      <xdr:spPr>
        <a:xfrm>
          <a:off x="3900490" y="133350"/>
          <a:ext cx="6602409"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chemeClr val="tx1"/>
              </a:solidFill>
              <a:effectLst/>
              <a:uLnTx/>
              <a:uFillTx/>
              <a:latin typeface="Arial Black" panose="020B0A04020102020204" pitchFamily="34" charset="0"/>
              <a:ea typeface="+mn-ea"/>
              <a:cs typeface="+mn-cs"/>
            </a:rPr>
            <a:t>4th Order Polynomial Temperature vs Resistance</a:t>
          </a:r>
        </a:p>
      </xdr:txBody>
    </xdr:sp>
    <xdr:clientData/>
  </xdr:oneCellAnchor>
  <xdr:twoCellAnchor>
    <xdr:from>
      <xdr:col>7</xdr:col>
      <xdr:colOff>1010784</xdr:colOff>
      <xdr:row>43</xdr:row>
      <xdr:rowOff>116267</xdr:rowOff>
    </xdr:from>
    <xdr:to>
      <xdr:col>15</xdr:col>
      <xdr:colOff>190499</xdr:colOff>
      <xdr:row>67</xdr:row>
      <xdr:rowOff>63500</xdr:rowOff>
    </xdr:to>
    <xdr:graphicFrame macro="">
      <xdr:nvGraphicFramePr>
        <xdr:cNvPr id="17" name="Chart 16">
          <a:extLst>
            <a:ext uri="{FF2B5EF4-FFF2-40B4-BE49-F238E27FC236}">
              <a16:creationId xmlns:a16="http://schemas.microsoft.com/office/drawing/2014/main" id="{00000000-0008-0000-04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44</xdr:row>
      <xdr:rowOff>0</xdr:rowOff>
    </xdr:from>
    <xdr:to>
      <xdr:col>6</xdr:col>
      <xdr:colOff>820589</xdr:colOff>
      <xdr:row>67</xdr:row>
      <xdr:rowOff>25400</xdr:rowOff>
    </xdr:to>
    <xdr:graphicFrame macro="">
      <xdr:nvGraphicFramePr>
        <xdr:cNvPr id="16" name="Chart 15">
          <a:extLst>
            <a:ext uri="{FF2B5EF4-FFF2-40B4-BE49-F238E27FC236}">
              <a16:creationId xmlns:a16="http://schemas.microsoft.com/office/drawing/2014/main" id="{00000000-0008-0000-04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11</xdr:col>
      <xdr:colOff>85725</xdr:colOff>
      <xdr:row>0</xdr:row>
      <xdr:rowOff>152400</xdr:rowOff>
    </xdr:from>
    <xdr:ext cx="4179670" cy="264560"/>
    <xdr:sp macro="" textlink="">
      <xdr:nvSpPr>
        <xdr:cNvPr id="9" name="TextBox 8">
          <a:hlinkClick xmlns:r="http://schemas.openxmlformats.org/officeDocument/2006/relationships" r:id="rId5"/>
          <a:extLst>
            <a:ext uri="{FF2B5EF4-FFF2-40B4-BE49-F238E27FC236}">
              <a16:creationId xmlns:a16="http://schemas.microsoft.com/office/drawing/2014/main" id="{00000000-0008-0000-0400-000009000000}"/>
            </a:ext>
          </a:extLst>
        </xdr:cNvPr>
        <xdr:cNvSpPr txBox="1"/>
      </xdr:nvSpPr>
      <xdr:spPr>
        <a:xfrm>
          <a:off x="13211175" y="15240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2</xdr:col>
      <xdr:colOff>95250</xdr:colOff>
      <xdr:row>85</xdr:row>
      <xdr:rowOff>35719</xdr:rowOff>
    </xdr:from>
    <xdr:to>
      <xdr:col>5</xdr:col>
      <xdr:colOff>916782</xdr:colOff>
      <xdr:row>90</xdr:row>
      <xdr:rowOff>23811</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2792730" y="19405759"/>
          <a:ext cx="4585812" cy="826292"/>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 of the C code </a:t>
          </a:r>
          <a:r>
            <a:rPr lang="en-US" b="1"/>
            <a:t>is below</a:t>
          </a:r>
          <a:r>
            <a:rPr lang="en-US" b="1" baseline="0"/>
            <a:t> </a:t>
          </a:r>
        </a:p>
        <a:p>
          <a:pPr algn="ctr"/>
          <a:r>
            <a:rPr lang="en-US" b="1" baseline="0"/>
            <a:t>The example is for reference only </a:t>
          </a:r>
        </a:p>
        <a:p>
          <a:pPr algn="ctr"/>
          <a:endParaRPr lang="en-US" b="0" baseline="0"/>
        </a:p>
        <a:p>
          <a:pPr algn="ctr"/>
          <a:r>
            <a:rPr lang="en-US" b="1" i="1" baseline="0"/>
            <a:t>TI does not warranty the use of this code, it's accuracy or reliability</a:t>
          </a:r>
        </a:p>
      </xdr:txBody>
    </xdr:sp>
    <xdr:clientData/>
  </xdr:twoCellAnchor>
  <xdr:twoCellAnchor>
    <xdr:from>
      <xdr:col>0</xdr:col>
      <xdr:colOff>169629</xdr:colOff>
      <xdr:row>5</xdr:row>
      <xdr:rowOff>146236</xdr:rowOff>
    </xdr:from>
    <xdr:to>
      <xdr:col>22</xdr:col>
      <xdr:colOff>110099</xdr:colOff>
      <xdr:row>19</xdr:row>
      <xdr:rowOff>110518</xdr:rowOff>
    </xdr:to>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69629" y="988918"/>
              <a:ext cx="21966752" cy="27254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coefficients and example code for the 4th order polynomial regression, the most accurate and fastest method to calculate the temperature values for TI's thermistor portfolio... no look up table needed, no need to calculate a resistance.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quartic function regression results in temperature based on the measured </a:t>
              </a:r>
              <a:r>
                <a:rPr lang="en-US" sz="1200" b="0" i="0" baseline="0">
                  <a:solidFill>
                    <a:schemeClr val="dk1"/>
                  </a:solidFill>
                  <a:effectLst/>
                  <a:latin typeface="Arial" panose="020B0604020202020204" pitchFamily="34" charset="0"/>
                  <a:ea typeface="+mn-ea"/>
                  <a:cs typeface="Arial" panose="020B0604020202020204" pitchFamily="34" charset="0"/>
                </a:rPr>
                <a:t>V</a:t>
              </a:r>
              <a:r>
                <a:rPr lang="en-US" sz="1200" b="0" i="0" baseline="-25000">
                  <a:solidFill>
                    <a:schemeClr val="dk1"/>
                  </a:solidFill>
                  <a:effectLst/>
                  <a:latin typeface="Arial" panose="020B0604020202020204" pitchFamily="34" charset="0"/>
                  <a:ea typeface="+mn-ea"/>
                  <a:cs typeface="Arial" panose="020B0604020202020204" pitchFamily="34" charset="0"/>
                </a:rPr>
                <a:t>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from the ADC. In the example below. The regression formula  will result in a temperature value based on a measured </a:t>
              </a:r>
              <a:r>
                <a:rPr lang="en-US" sz="1200" b="0" i="0" baseline="0">
                  <a:solidFill>
                    <a:schemeClr val="dk1"/>
                  </a:solidFill>
                  <a:effectLst/>
                  <a:latin typeface="Arial" panose="020B0604020202020204" pitchFamily="34" charset="0"/>
                  <a:ea typeface="+mn-ea"/>
                  <a:cs typeface="Arial" panose="020B0604020202020204" pitchFamily="34" charset="0"/>
                </a:rPr>
                <a:t>V</a:t>
              </a:r>
              <a:r>
                <a:rPr lang="en-US" sz="1200" b="0" i="0" baseline="-25000">
                  <a:solidFill>
                    <a:schemeClr val="dk1"/>
                  </a:solidFill>
                  <a:effectLst/>
                  <a:latin typeface="Arial" panose="020B0604020202020204" pitchFamily="34" charset="0"/>
                  <a:ea typeface="+mn-ea"/>
                  <a:cs typeface="Arial" panose="020B0604020202020204" pitchFamily="34" charset="0"/>
                </a:rPr>
                <a:t>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In order to use the regression method, follow these steps: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Measure the </a:t>
              </a:r>
              <a:r>
                <a:rPr kumimoji="0" lang="en-US" sz="1200" b="0" i="0" u="none" strike="noStrike" kern="0" cap="none" spc="0" normalizeH="0" baseline="0" noProof="0">
                  <a:ln>
                    <a:noFill/>
                  </a:ln>
                  <a:solidFill>
                    <a:schemeClr val="dk1"/>
                  </a:solidFill>
                  <a:effectLst/>
                  <a:uLnTx/>
                  <a:uFillTx/>
                  <a:latin typeface="Arial" panose="020B0604020202020204" pitchFamily="34" charset="0"/>
                  <a:ea typeface="+mn-ea"/>
                  <a:cs typeface="Arial" panose="020B0604020202020204" pitchFamily="34" charset="0"/>
                </a:rPr>
                <a:t>Voltage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across the thermistor,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𝑉𝑠𝑒𝑛𝑠𝑒</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,with your ADC and convert the ADC value to a voltage.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Use the</a:t>
              </a:r>
              <a14:m>
                <m:oMath xmlns:m="http://schemas.openxmlformats.org/officeDocument/2006/math">
                  <m:r>
                    <a:rPr lang="en-US" sz="1200" b="0" i="0" baseline="0">
                      <a:solidFill>
                        <a:schemeClr val="dk1"/>
                      </a:solidFill>
                      <a:effectLst/>
                      <a:latin typeface="Cambria Math" panose="02040503050406030204" pitchFamily="18" charset="0"/>
                      <a:ea typeface="+mn-ea"/>
                      <a:cs typeface="+mn-cs"/>
                    </a:rPr>
                    <m:t> </m:t>
                  </m:r>
                  <m:r>
                    <a:rPr lang="en-US" sz="1200" b="0" i="1" baseline="0">
                      <a:solidFill>
                        <a:schemeClr val="dk1"/>
                      </a:solidFill>
                      <a:effectLst/>
                      <a:latin typeface="Cambria Math" panose="02040503050406030204" pitchFamily="18" charset="0"/>
                      <a:ea typeface="+mn-ea"/>
                      <a:cs typeface="+mn-cs"/>
                    </a:rPr>
                    <m:t>𝑉𝑠𝑒𝑛𝑠𝑒</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value in the 4th Order Polynomial Regression equation to find the temperature.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current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voltage to temperature relationship and may cause temperature errors outside of the specified tolerances in the datasheet.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4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mc:Choice>
      <mc:Fallback xmlns="">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69629" y="988918"/>
              <a:ext cx="21966752" cy="27254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coefficients and example code for the 4th order polynomial regression, the most accurate and fastest method to calculate the temperature values for TI's thermistor portfolio... no look up table needed, no need to calculate a resistance.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quartic function regression results in temperature based on the measured </a:t>
              </a:r>
              <a:r>
                <a:rPr lang="en-US" sz="1200" b="0" i="0" baseline="0">
                  <a:solidFill>
                    <a:schemeClr val="dk1"/>
                  </a:solidFill>
                  <a:effectLst/>
                  <a:latin typeface="Arial" panose="020B0604020202020204" pitchFamily="34" charset="0"/>
                  <a:ea typeface="+mn-ea"/>
                  <a:cs typeface="Arial" panose="020B0604020202020204" pitchFamily="34" charset="0"/>
                </a:rPr>
                <a:t>V</a:t>
              </a:r>
              <a:r>
                <a:rPr lang="en-US" sz="1200" b="0" i="0" baseline="-25000">
                  <a:solidFill>
                    <a:schemeClr val="dk1"/>
                  </a:solidFill>
                  <a:effectLst/>
                  <a:latin typeface="Arial" panose="020B0604020202020204" pitchFamily="34" charset="0"/>
                  <a:ea typeface="+mn-ea"/>
                  <a:cs typeface="Arial" panose="020B0604020202020204" pitchFamily="34" charset="0"/>
                </a:rPr>
                <a:t>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from the ADC. In the example below. The regression formula  will result in a temperature value based on a measured </a:t>
              </a:r>
              <a:r>
                <a:rPr lang="en-US" sz="1200" b="0" i="0" baseline="0">
                  <a:solidFill>
                    <a:schemeClr val="dk1"/>
                  </a:solidFill>
                  <a:effectLst/>
                  <a:latin typeface="Arial" panose="020B0604020202020204" pitchFamily="34" charset="0"/>
                  <a:ea typeface="+mn-ea"/>
                  <a:cs typeface="Arial" panose="020B0604020202020204" pitchFamily="34" charset="0"/>
                </a:rPr>
                <a:t>V</a:t>
              </a:r>
              <a:r>
                <a:rPr lang="en-US" sz="1200" b="0" i="0" baseline="-25000">
                  <a:solidFill>
                    <a:schemeClr val="dk1"/>
                  </a:solidFill>
                  <a:effectLst/>
                  <a:latin typeface="Arial" panose="020B0604020202020204" pitchFamily="34" charset="0"/>
                  <a:ea typeface="+mn-ea"/>
                  <a:cs typeface="Arial" panose="020B0604020202020204" pitchFamily="34" charset="0"/>
                </a:rPr>
                <a:t>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In order to use the regression method, follow these steps: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Measure the </a:t>
              </a:r>
              <a:r>
                <a:rPr kumimoji="0" lang="en-US" sz="1200" b="0" i="0" u="none" strike="noStrike" kern="0" cap="none" spc="0" normalizeH="0" baseline="0" noProof="0">
                  <a:ln>
                    <a:noFill/>
                  </a:ln>
                  <a:solidFill>
                    <a:schemeClr val="dk1"/>
                  </a:solidFill>
                  <a:effectLst/>
                  <a:uLnTx/>
                  <a:uFillTx/>
                  <a:latin typeface="Arial" panose="020B0604020202020204" pitchFamily="34" charset="0"/>
                  <a:ea typeface="+mn-ea"/>
                  <a:cs typeface="Arial" panose="020B0604020202020204" pitchFamily="34" charset="0"/>
                </a:rPr>
                <a:t>Voltage</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across the thermistor,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𝑉𝑠𝑒𝑛𝑠𝑒</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,with your ADC and convert the ADC value to a voltage.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Use the</a:t>
              </a:r>
              <a:r>
                <a:rPr lang="en-US" sz="1200" b="0" i="0" baseline="0">
                  <a:solidFill>
                    <a:schemeClr val="dk1"/>
                  </a:solidFill>
                  <a:effectLst/>
                  <a:latin typeface="Cambria Math" panose="02040503050406030204" pitchFamily="18" charset="0"/>
                  <a:ea typeface="+mn-ea"/>
                  <a:cs typeface="+mn-cs"/>
                </a:rPr>
                <a:t> </a:t>
              </a:r>
              <a:r>
                <a:rPr lang="en-US" sz="1200" b="0" i="0" baseline="0">
                  <a:solidFill>
                    <a:schemeClr val="dk1"/>
                  </a:solidFill>
                  <a:effectLst/>
                  <a:latin typeface="+mn-lt"/>
                  <a:ea typeface="+mn-ea"/>
                  <a:cs typeface="+mn-cs"/>
                </a:rPr>
                <a:t>𝑉𝑠𝑒𝑛𝑠𝑒</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voltage value in the 4th Order Polynomial Regression equation to find the temperature.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current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voltage to temperature relationship and may cause temperature errors outside of the specified tolerances in the datasheet.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4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xdr:txBody>
        </xdr:sp>
      </mc:Fallback>
    </mc:AlternateContent>
    <xdr:clientData/>
  </xdr:twoCellAnchor>
  <xdr:oneCellAnchor>
    <xdr:from>
      <xdr:col>3</xdr:col>
      <xdr:colOff>52391</xdr:colOff>
      <xdr:row>0</xdr:row>
      <xdr:rowOff>133350</xdr:rowOff>
    </xdr:from>
    <xdr:ext cx="7117336" cy="417807"/>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3903955" y="133350"/>
          <a:ext cx="7117336"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schemeClr val="tx1"/>
              </a:solidFill>
              <a:effectLst/>
              <a:uLnTx/>
              <a:uFillTx/>
              <a:latin typeface="Arial Black" panose="020B0A04020102020204" pitchFamily="34" charset="0"/>
              <a:ea typeface="+mn-ea"/>
              <a:cs typeface="+mn-cs"/>
            </a:rPr>
            <a:t>4th Order Polynomial Temperature vs V</a:t>
          </a:r>
          <a:r>
            <a:rPr kumimoji="0" lang="en-US" sz="1800" b="0" i="0" u="none" strike="noStrike" kern="0" cap="none" spc="0" normalizeH="0" baseline="-25000" noProof="0">
              <a:ln>
                <a:noFill/>
              </a:ln>
              <a:solidFill>
                <a:schemeClr val="tx1"/>
              </a:solidFill>
              <a:effectLst/>
              <a:uLnTx/>
              <a:uFillTx/>
              <a:latin typeface="Arial Black" panose="020B0A04020102020204" pitchFamily="34" charset="0"/>
              <a:ea typeface="+mn-ea"/>
              <a:cs typeface="+mn-cs"/>
            </a:rPr>
            <a:t>TEMP</a:t>
          </a:r>
        </a:p>
      </xdr:txBody>
    </xdr:sp>
    <xdr:clientData/>
  </xdr:oneCellAnchor>
  <xdr:twoCellAnchor editAs="oneCell">
    <xdr:from>
      <xdr:col>0</xdr:col>
      <xdr:colOff>85725</xdr:colOff>
      <xdr:row>0</xdr:row>
      <xdr:rowOff>152399</xdr:rowOff>
    </xdr:from>
    <xdr:to>
      <xdr:col>1</xdr:col>
      <xdr:colOff>938212</xdr:colOff>
      <xdr:row>2</xdr:row>
      <xdr:rowOff>93344</xdr:rowOff>
    </xdr:to>
    <xdr:pic>
      <xdr:nvPicPr>
        <xdr:cNvPr id="4" name="Picture 3" descr="ti logo">
          <a:hlinkClick xmlns:r="http://schemas.openxmlformats.org/officeDocument/2006/relationships" r:id="rId1"/>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58327" cy="27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53748</xdr:colOff>
      <xdr:row>38</xdr:row>
      <xdr:rowOff>167520</xdr:rowOff>
    </xdr:from>
    <xdr:to>
      <xdr:col>9</xdr:col>
      <xdr:colOff>1130673</xdr:colOff>
      <xdr:row>61</xdr:row>
      <xdr:rowOff>30088</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12</xdr:col>
      <xdr:colOff>19050</xdr:colOff>
      <xdr:row>0</xdr:row>
      <xdr:rowOff>161925</xdr:rowOff>
    </xdr:from>
    <xdr:ext cx="4179670" cy="264560"/>
    <xdr:sp macro="" textlink="">
      <xdr:nvSpPr>
        <xdr:cNvPr id="8" name="TextBox 7">
          <a:hlinkClick xmlns:r="http://schemas.openxmlformats.org/officeDocument/2006/relationships" r:id="rId4"/>
          <a:extLst>
            <a:ext uri="{FF2B5EF4-FFF2-40B4-BE49-F238E27FC236}">
              <a16:creationId xmlns:a16="http://schemas.microsoft.com/office/drawing/2014/main" id="{00000000-0008-0000-0500-000008000000}"/>
            </a:ext>
          </a:extLst>
        </xdr:cNvPr>
        <xdr:cNvSpPr txBox="1"/>
      </xdr:nvSpPr>
      <xdr:spPr>
        <a:xfrm>
          <a:off x="14306550" y="16192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0</xdr:col>
      <xdr:colOff>1500187</xdr:colOff>
      <xdr:row>64</xdr:row>
      <xdr:rowOff>130963</xdr:rowOff>
    </xdr:from>
    <xdr:to>
      <xdr:col>3</xdr:col>
      <xdr:colOff>845344</xdr:colOff>
      <xdr:row>69</xdr:row>
      <xdr:rowOff>95252</xdr:rowOff>
    </xdr:to>
    <xdr:sp macro="" textlink="">
      <xdr:nvSpPr>
        <xdr:cNvPr id="4" name="TextBox 3">
          <a:extLst>
            <a:ext uri="{FF2B5EF4-FFF2-40B4-BE49-F238E27FC236}">
              <a16:creationId xmlns:a16="http://schemas.microsoft.com/office/drawing/2014/main" id="{00000000-0008-0000-0600-000004000000}"/>
            </a:ext>
          </a:extLst>
        </xdr:cNvPr>
        <xdr:cNvSpPr txBox="1"/>
      </xdr:nvSpPr>
      <xdr:spPr>
        <a:xfrm>
          <a:off x="1500187" y="10358432"/>
          <a:ext cx="5298282" cy="797726"/>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 of the C code </a:t>
          </a:r>
          <a:r>
            <a:rPr lang="en-US" b="1"/>
            <a:t>is below</a:t>
          </a:r>
          <a:endParaRPr lang="en-US" b="1" baseline="0"/>
        </a:p>
        <a:p>
          <a:pPr algn="ctr"/>
          <a:r>
            <a:rPr lang="en-US" b="1" baseline="0"/>
            <a:t>The example is for reference only </a:t>
          </a:r>
        </a:p>
        <a:p>
          <a:pPr algn="ctr"/>
          <a:endParaRPr lang="en-US" b="0" baseline="0"/>
        </a:p>
        <a:p>
          <a:pPr algn="ctr"/>
          <a:r>
            <a:rPr lang="en-US" b="1" i="1" baseline="0"/>
            <a:t>TI does not warranty the use of this code, it's accuracy or reliability</a:t>
          </a:r>
        </a:p>
      </xdr:txBody>
    </xdr:sp>
    <xdr:clientData/>
  </xdr:twoCellAnchor>
  <xdr:twoCellAnchor editAs="oneCell">
    <xdr:from>
      <xdr:col>0</xdr:col>
      <xdr:colOff>85725</xdr:colOff>
      <xdr:row>0</xdr:row>
      <xdr:rowOff>152401</xdr:rowOff>
    </xdr:from>
    <xdr:to>
      <xdr:col>0</xdr:col>
      <xdr:colOff>1914525</xdr:colOff>
      <xdr:row>2</xdr:row>
      <xdr:rowOff>93346</xdr:rowOff>
    </xdr:to>
    <xdr:pic>
      <xdr:nvPicPr>
        <xdr:cNvPr id="12" name="Picture 11" descr="ti logo">
          <a:hlinkClick xmlns:r="http://schemas.openxmlformats.org/officeDocument/2006/relationships" r:id="rId1"/>
          <a:extLst>
            <a:ext uri="{FF2B5EF4-FFF2-40B4-BE49-F238E27FC236}">
              <a16:creationId xmlns:a16="http://schemas.microsoft.com/office/drawing/2014/main" id="{00000000-0008-0000-06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401"/>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331946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Steinhart-Hart</a:t>
          </a:r>
        </a:p>
      </xdr:txBody>
    </xdr:sp>
    <xdr:clientData/>
  </xdr:oneCellAnchor>
  <xdr:twoCellAnchor>
    <xdr:from>
      <xdr:col>0</xdr:col>
      <xdr:colOff>107156</xdr:colOff>
      <xdr:row>5</xdr:row>
      <xdr:rowOff>142872</xdr:rowOff>
    </xdr:from>
    <xdr:to>
      <xdr:col>17</xdr:col>
      <xdr:colOff>419100</xdr:colOff>
      <xdr:row>19</xdr:row>
      <xdr:rowOff>178593</xdr:rowOff>
    </xdr:to>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07156" y="990597"/>
              <a:ext cx="20095369" cy="25884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solves the Steinhart-Hart equation, a very precise method to derive temperature from a known resistance that is calculated from the voltage measured by an ADC.</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These equations used in the Steinhart-Hart method are automatically solved in this sheet. The example code  is automatically updated with the corresponding coefficients.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14:m>
                <m:oMath xmlns:m="http://schemas.openxmlformats.org/officeDocument/2006/math">
                  <m:r>
                    <a:rPr kumimoji="0" lang="en-US" sz="1200" b="0" i="0" u="none" strike="noStrike" kern="0" cap="none" spc="0" normalizeH="0" baseline="0" noProof="0">
                      <a:ln>
                        <a:noFill/>
                      </a:ln>
                      <a:solidFill>
                        <a:prstClr val="black"/>
                      </a:solidFill>
                      <a:effectLst/>
                      <a:uLnTx/>
                      <a:uFillTx/>
                      <a:latin typeface="Cambria Math"/>
                      <a:ea typeface="+mn-ea"/>
                      <a:cs typeface="+mn-cs"/>
                    </a:rPr>
                    <m:t> </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a:rPr kumimoji="0" lang="en-US" sz="1200" b="0" i="1" u="none" strike="noStrike" kern="0" cap="none" spc="0" normalizeH="0" baseline="0" noProof="0">
                          <a:ln>
                            <a:noFill/>
                          </a:ln>
                          <a:solidFill>
                            <a:prstClr val="black"/>
                          </a:solidFill>
                          <a:effectLst/>
                          <a:uLnTx/>
                          <a:uFillTx/>
                          <a:latin typeface="Cambria Math"/>
                          <a:ea typeface="+mn-ea"/>
                          <a:cs typeface="+mn-cs"/>
                        </a:rPr>
                        <m:t>1</m:t>
                      </m:r>
                    </m:num>
                    <m:den>
                      <m:r>
                        <a:rPr kumimoji="0" lang="en-US" sz="1200" b="0" i="1" u="none" strike="noStrike" kern="0" cap="none" spc="0" normalizeH="0" baseline="0" noProof="0">
                          <a:ln>
                            <a:noFill/>
                          </a:ln>
                          <a:solidFill>
                            <a:prstClr val="black"/>
                          </a:solidFill>
                          <a:effectLst/>
                          <a:uLnTx/>
                          <a:uFillTx/>
                          <a:latin typeface="Cambria Math"/>
                          <a:ea typeface="+mn-ea"/>
                          <a:cs typeface="+mn-cs"/>
                        </a:rPr>
                        <m:t>𝑇</m:t>
                      </m:r>
                    </m:den>
                  </m:f>
                  <m:r>
                    <a:rPr kumimoji="0" lang="en-US" sz="1200" b="0" i="1" u="none" strike="noStrike" kern="0" cap="none" spc="0" normalizeH="0" baseline="0" noProof="0">
                      <a:ln>
                        <a:noFill/>
                      </a:ln>
                      <a:solidFill>
                        <a:prstClr val="black"/>
                      </a:solidFill>
                      <a:effectLst/>
                      <a:uLnTx/>
                      <a:uFillTx/>
                      <a:latin typeface="Cambria Math"/>
                      <a:ea typeface="+mn-ea"/>
                      <a:cs typeface="+mn-cs"/>
                    </a:rPr>
                    <m:t>=</m:t>
                  </m:r>
                  <m:r>
                    <a:rPr kumimoji="0" lang="en-US" sz="1200" b="0" i="1" u="none" strike="noStrike" kern="0" cap="none" spc="0" normalizeH="0" baseline="0" noProof="0">
                      <a:ln>
                        <a:noFill/>
                      </a:ln>
                      <a:solidFill>
                        <a:prstClr val="black"/>
                      </a:solidFill>
                      <a:effectLst/>
                      <a:uLnTx/>
                      <a:uFillTx/>
                      <a:latin typeface="Cambria Math"/>
                      <a:ea typeface="+mn-ea"/>
                      <a:cs typeface="+mn-cs"/>
                    </a:rPr>
                    <m:t>𝐴</m:t>
                  </m:r>
                  <m:r>
                    <a:rPr kumimoji="0" lang="en-US" sz="1200" b="0" i="1" u="none" strike="noStrike" kern="0" cap="none" spc="0" normalizeH="0" baseline="0" noProof="0">
                      <a:ln>
                        <a:noFill/>
                      </a:ln>
                      <a:solidFill>
                        <a:prstClr val="black"/>
                      </a:solidFill>
                      <a:effectLst/>
                      <a:uLnTx/>
                      <a:uFillTx/>
                      <a:latin typeface="Cambria Math"/>
                      <a:ea typeface="+mn-ea"/>
                      <a:cs typeface="+mn-cs"/>
                    </a:rPr>
                    <m:t>+</m:t>
                  </m:r>
                  <m:r>
                    <a:rPr kumimoji="0" lang="en-US" sz="1200" b="0" i="1" u="none" strike="noStrike" kern="0" cap="none" spc="0" normalizeH="0" baseline="0" noProof="0">
                      <a:ln>
                        <a:noFill/>
                      </a:ln>
                      <a:solidFill>
                        <a:prstClr val="black"/>
                      </a:solidFill>
                      <a:effectLst/>
                      <a:uLnTx/>
                      <a:uFillTx/>
                      <a:latin typeface="Cambria Math"/>
                      <a:ea typeface="+mn-ea"/>
                      <a:cs typeface="+mn-cs"/>
                    </a:rPr>
                    <m:t>𝐵𝑙𝑛𝑅</m:t>
                  </m:r>
                  <m:r>
                    <a:rPr kumimoji="0" lang="en-US" sz="1200" b="0" i="1" u="none" strike="noStrike" kern="0" cap="none" spc="0" normalizeH="0" baseline="0" noProof="0">
                      <a:ln>
                        <a:noFill/>
                      </a:ln>
                      <a:solidFill>
                        <a:prstClr val="black"/>
                      </a:solidFill>
                      <a:effectLst/>
                      <a:uLnTx/>
                      <a:uFillTx/>
                      <a:latin typeface="Cambria Math"/>
                      <a:ea typeface="+mn-ea"/>
                      <a:cs typeface="+mn-cs"/>
                    </a:rPr>
                    <m:t>+</m:t>
                  </m:r>
                  <m:r>
                    <a:rPr kumimoji="0" lang="en-US" sz="1200" b="0" i="1" u="none" strike="noStrike" kern="0" cap="none" spc="0" normalizeH="0" baseline="0" noProof="0">
                      <a:ln>
                        <a:noFill/>
                      </a:ln>
                      <a:solidFill>
                        <a:prstClr val="black"/>
                      </a:solidFill>
                      <a:effectLst/>
                      <a:uLnTx/>
                      <a:uFillTx/>
                      <a:latin typeface="Cambria Math"/>
                      <a:ea typeface="+mn-ea"/>
                      <a:cs typeface="+mn-cs"/>
                    </a:rPr>
                    <m:t>𝐶</m:t>
                  </m:r>
                  <m:sSup>
                    <m:sSup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pPr>
                    <m:e>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a:ea typeface="+mn-ea"/>
                              <a:cs typeface="+mn-cs"/>
                            </a:rPr>
                            <m:t>𝑙𝑛𝑅</m:t>
                          </m:r>
                        </m:e>
                      </m:d>
                    </m:e>
                    <m:sup>
                      <m:r>
                        <a:rPr kumimoji="0" lang="en-US" sz="1200" b="0" i="1" u="none" strike="noStrike" kern="0" cap="none" spc="0" normalizeH="0" baseline="0" noProof="0">
                          <a:ln>
                            <a:noFill/>
                          </a:ln>
                          <a:solidFill>
                            <a:prstClr val="black"/>
                          </a:solidFill>
                          <a:effectLst/>
                          <a:uLnTx/>
                          <a:uFillTx/>
                          <a:latin typeface="Cambria Math"/>
                          <a:ea typeface="+mn-ea"/>
                          <a:cs typeface="+mn-cs"/>
                        </a:rPr>
                        <m:t>3</m:t>
                      </m:r>
                    </m:sup>
                  </m:sSup>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0"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lnR</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 </m:t>
                  </m:r>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lnR</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0"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lnR</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T</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den>
                  </m:f>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T</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den>
                  </m:f>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a:rPr kumimoji="0" lang="en-US" sz="1200" b="0" i="1" u="none" strike="noStrike" kern="0" cap="none" spc="0" normalizeH="0" baseline="0" noProof="0">
                          <a:ln>
                            <a:noFill/>
                          </a:ln>
                          <a:solidFill>
                            <a:prstClr val="black"/>
                          </a:solidFill>
                          <a:effectLst/>
                          <a:uLnTx/>
                          <a:uFillTx/>
                          <a:latin typeface="Cambria Math"/>
                          <a:ea typeface="+mn-ea"/>
                          <a:cs typeface="+mn-cs"/>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T</m:t>
                          </m:r>
                        </m:e>
                        <m:sub>
                          <m:r>
                            <a:rPr kumimoji="0" lang="en-US" sz="1200" b="0" i="1" u="none" strike="noStrike" kern="0" cap="none" spc="0" normalizeH="0" baseline="0" noProof="0">
                              <a:ln>
                                <a:noFill/>
                              </a:ln>
                              <a:solidFill>
                                <a:prstClr val="black"/>
                              </a:solidFill>
                              <a:effectLst/>
                              <a:uLnTx/>
                              <a:uFillTx/>
                              <a:latin typeface="Cambria Math"/>
                              <a:ea typeface="+mn-ea"/>
                              <a:cs typeface="+mn-cs"/>
                            </a:rPr>
                            <m:t>3</m:t>
                          </m:r>
                        </m:sub>
                      </m:sSub>
                    </m:den>
                  </m:f>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γ</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den>
                  </m:f>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γ</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den>
                  </m:f>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 </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A</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Y</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B</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p>
                        <m:sSup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p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e>
                        <m: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p>
                      </m:s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C</m:t>
                      </m:r>
                    </m:e>
                  </m:d>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B</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 </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γ</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C</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sSup>
                        <m:sSup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p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e>
                        <m: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p>
                      </m:s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p>
                        <m:sSup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p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e>
                        <m: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p>
                      </m:sSup>
                    </m:e>
                  </m:d>
                </m:oMath>
              </a14:m>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C</m:t>
                  </m:r>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γ</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γ</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den>
                      </m:f>
                    </m:e>
                  </m:d>
                  <m:sSup>
                    <m:sSup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pPr>
                    <m:e>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2</m:t>
                              </m:r>
                            </m:sub>
                          </m:s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L</m:t>
                              </m:r>
                            </m:e>
                            <m:sub>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3</m:t>
                              </m:r>
                            </m:sub>
                          </m:sSub>
                        </m:e>
                      </m:d>
                    </m:e>
                    <m:sup>
                      <m:r>
                        <m:rPr>
                          <m:nor/>
                        </m:rP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m:t>−1</m:t>
                      </m:r>
                    </m:sup>
                  </m:sSup>
                </m:oMath>
              </a14:m>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 = Temperature in Kelvin</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current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resistance to temperature relationship and may cause temperature errors outside of the specified tolerances in the datasheet.</a:t>
              </a:r>
            </a:p>
          </xdr:txBody>
        </xdr:sp>
      </mc:Choice>
      <mc:Fallback xmlns="">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07156" y="990597"/>
              <a:ext cx="20095369" cy="25884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solves the Steinhart-Hart equation, a very precise method to derive temperature from a known resistance that is calculated from the voltage measured by an ADC.</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These equations used in the Steinhart-Hart method are automatically solved in this sheet. The example code  is automatically updated with the corresponding coefficients.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Cambria Math"/>
                  <a:ea typeface="+mn-ea"/>
                  <a:cs typeface="+mn-cs"/>
                </a:rPr>
                <a:t>  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𝑇=𝐴+𝐵𝑙𝑛𝑅+𝐶</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𝑙𝑛𝑅</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3</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=lnR</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=lnR</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=lnR</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3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A=</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B+</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"B=</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"−C</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"C=</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γ</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Arial" panose="020B0604020202020204" pitchFamily="34" charset="0"/>
                </a:rPr>
                <a:t>" </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 = Temperature in Kelvin</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current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resistance to temperature relationship and may cause temperature errors outside of the specified tolerances in the datasheet.</a:t>
              </a:r>
            </a:p>
          </xdr:txBody>
        </xdr:sp>
      </mc:Fallback>
    </mc:AlternateContent>
    <xdr:clientData/>
  </xdr:twoCellAnchor>
  <xdr:oneCellAnchor>
    <xdr:from>
      <xdr:col>11</xdr:col>
      <xdr:colOff>1009650</xdr:colOff>
      <xdr:row>0</xdr:row>
      <xdr:rowOff>133350</xdr:rowOff>
    </xdr:from>
    <xdr:ext cx="4179670" cy="264560"/>
    <xdr:sp macro="" textlink="">
      <xdr:nvSpPr>
        <xdr:cNvPr id="7" name="TextBox 6">
          <a:hlinkClick xmlns:r="http://schemas.openxmlformats.org/officeDocument/2006/relationships" r:id="rId3"/>
          <a:extLst>
            <a:ext uri="{FF2B5EF4-FFF2-40B4-BE49-F238E27FC236}">
              <a16:creationId xmlns:a16="http://schemas.microsoft.com/office/drawing/2014/main" id="{00000000-0008-0000-0600-000007000000}"/>
            </a:ext>
          </a:extLst>
        </xdr:cNvPr>
        <xdr:cNvSpPr txBox="1"/>
      </xdr:nvSpPr>
      <xdr:spPr>
        <a:xfrm>
          <a:off x="16192500" y="13335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0</xdr:col>
      <xdr:colOff>190500</xdr:colOff>
      <xdr:row>5</xdr:row>
      <xdr:rowOff>83345</xdr:rowOff>
    </xdr:from>
    <xdr:to>
      <xdr:col>24</xdr:col>
      <xdr:colOff>321468</xdr:colOff>
      <xdr:row>23</xdr:row>
      <xdr:rowOff>142875</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190500" y="931070"/>
          <a:ext cx="21085968" cy="31742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an optional or potential constant current source. It's up to the designer to understand how to impiment this circuit and determine if this is a good solution for your needs.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Benifits of a constant current source: (A) Wider dynamic range for the Vsense (B) Increased accuracy (C)  Better stability across the entire temperature range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circuit is sensitive to VCC changes. It's recommended to operate the constant current source from the VREF being used for the ADC to operate in ratio-metric mode.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If the VREF voltage is not available then a 0.5% or better, precision low noise LDO is recommended.</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current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resistance to temperature relationship and may cause temperature errors outside of the specified tolerances in the datasheet.</a:t>
          </a:r>
        </a:p>
      </xdr:txBody>
    </xdr:sp>
    <xdr:clientData/>
  </xdr:twoCellAnchor>
  <xdr:twoCellAnchor editAs="oneCell">
    <xdr:from>
      <xdr:col>0</xdr:col>
      <xdr:colOff>85725</xdr:colOff>
      <xdr:row>0</xdr:row>
      <xdr:rowOff>152399</xdr:rowOff>
    </xdr:from>
    <xdr:to>
      <xdr:col>0</xdr:col>
      <xdr:colOff>1914525</xdr:colOff>
      <xdr:row>2</xdr:row>
      <xdr:rowOff>93344</xdr:rowOff>
    </xdr:to>
    <xdr:pic>
      <xdr:nvPicPr>
        <xdr:cNvPr id="4" name="Picture 3" descr="ti logo">
          <a:hlinkClick xmlns:r="http://schemas.openxmlformats.org/officeDocument/2006/relationships" r:id="rId1"/>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5531171"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Constant Current Source</a:t>
          </a:r>
        </a:p>
      </xdr:txBody>
    </xdr:sp>
    <xdr:clientData/>
  </xdr:oneCellAnchor>
  <mc:AlternateContent xmlns:mc="http://schemas.openxmlformats.org/markup-compatibility/2006">
    <mc:Choice xmlns:a14="http://schemas.microsoft.com/office/drawing/2010/main" Requires="a14">
      <xdr:twoCellAnchor editAs="oneCell">
        <xdr:from>
          <xdr:col>0</xdr:col>
          <xdr:colOff>1958340</xdr:colOff>
          <xdr:row>57</xdr:row>
          <xdr:rowOff>68580</xdr:rowOff>
        </xdr:from>
        <xdr:to>
          <xdr:col>9</xdr:col>
          <xdr:colOff>320040</xdr:colOff>
          <xdr:row>112</xdr:row>
          <xdr:rowOff>38100</xdr:rowOff>
        </xdr:to>
        <xdr:sp macro="" textlink="">
          <xdr:nvSpPr>
            <xdr:cNvPr id="6146" name="Object 2" hidden="1">
              <a:extLst>
                <a:ext uri="{63B3BB69-23CF-44E3-9099-C40C66FF867C}">
                  <a14:compatExt spid="_x0000_s6146"/>
                </a:ext>
                <a:ext uri="{FF2B5EF4-FFF2-40B4-BE49-F238E27FC236}">
                  <a16:creationId xmlns:a16="http://schemas.microsoft.com/office/drawing/2014/main" id="{00000000-0008-0000-0700-0000021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9</xdr:col>
      <xdr:colOff>609600</xdr:colOff>
      <xdr:row>87</xdr:row>
      <xdr:rowOff>53687</xdr:rowOff>
    </xdr:from>
    <xdr:to>
      <xdr:col>21</xdr:col>
      <xdr:colOff>607695</xdr:colOff>
      <xdr:row>110</xdr:row>
      <xdr:rowOff>114300</xdr:rowOff>
    </xdr:to>
    <xdr:pic>
      <xdr:nvPicPr>
        <xdr:cNvPr id="9" name="Picture 8">
          <a:extLst>
            <a:ext uri="{FF2B5EF4-FFF2-40B4-BE49-F238E27FC236}">
              <a16:creationId xmlns:a16="http://schemas.microsoft.com/office/drawing/2014/main" id="{00000000-0008-0000-0700-000009000000}"/>
            </a:ext>
          </a:extLst>
        </xdr:cNvPr>
        <xdr:cNvPicPr>
          <a:picLocks noChangeAspect="1"/>
        </xdr:cNvPicPr>
      </xdr:nvPicPr>
      <xdr:blipFill>
        <a:blip xmlns:r="http://schemas.openxmlformats.org/officeDocument/2006/relationships" r:embed="rId3"/>
        <a:stretch>
          <a:fillRect/>
        </a:stretch>
      </xdr:blipFill>
      <xdr:spPr>
        <a:xfrm>
          <a:off x="10515600" y="15731837"/>
          <a:ext cx="10706100" cy="4003963"/>
        </a:xfrm>
        <a:prstGeom prst="rect">
          <a:avLst/>
        </a:prstGeom>
      </xdr:spPr>
    </xdr:pic>
    <xdr:clientData/>
  </xdr:twoCellAnchor>
  <xdr:oneCellAnchor>
    <xdr:from>
      <xdr:col>13</xdr:col>
      <xdr:colOff>76200</xdr:colOff>
      <xdr:row>1</xdr:row>
      <xdr:rowOff>9525</xdr:rowOff>
    </xdr:from>
    <xdr:ext cx="4179670" cy="264560"/>
    <xdr:sp macro="" textlink="">
      <xdr:nvSpPr>
        <xdr:cNvPr id="10" name="TextBox 9">
          <a:hlinkClick xmlns:r="http://schemas.openxmlformats.org/officeDocument/2006/relationships" r:id="rId4"/>
          <a:extLst>
            <a:ext uri="{FF2B5EF4-FFF2-40B4-BE49-F238E27FC236}">
              <a16:creationId xmlns:a16="http://schemas.microsoft.com/office/drawing/2014/main" id="{00000000-0008-0000-0700-00000A000000}"/>
            </a:ext>
          </a:extLst>
        </xdr:cNvPr>
        <xdr:cNvSpPr txBox="1"/>
      </xdr:nvSpPr>
      <xdr:spPr>
        <a:xfrm>
          <a:off x="12963525" y="18097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1</xdr:col>
      <xdr:colOff>304800</xdr:colOff>
      <xdr:row>263</xdr:row>
      <xdr:rowOff>142879</xdr:rowOff>
    </xdr:from>
    <xdr:to>
      <xdr:col>5</xdr:col>
      <xdr:colOff>555392</xdr:colOff>
      <xdr:row>268</xdr:row>
      <xdr:rowOff>149884</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2221706" y="38254785"/>
          <a:ext cx="4513030" cy="840443"/>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 of the C code </a:t>
          </a:r>
          <a:r>
            <a:rPr lang="en-US" b="1"/>
            <a:t>is below</a:t>
          </a:r>
          <a:r>
            <a:rPr lang="en-US" b="1" baseline="0"/>
            <a:t> the table</a:t>
          </a:r>
        </a:p>
        <a:p>
          <a:pPr algn="ctr"/>
          <a:r>
            <a:rPr lang="en-US" b="1" baseline="0"/>
            <a:t>The example is for reference only </a:t>
          </a:r>
        </a:p>
        <a:p>
          <a:pPr algn="ctr"/>
          <a:endParaRPr lang="en-US" b="0" baseline="0"/>
        </a:p>
        <a:p>
          <a:pPr algn="ctr"/>
          <a:r>
            <a:rPr lang="en-US" b="1" i="1" baseline="0"/>
            <a:t>TI does not warranty the use of this code, it's accuracy or reliability</a:t>
          </a:r>
        </a:p>
      </xdr:txBody>
    </xdr:sp>
    <xdr:clientData/>
  </xdr:twoCellAnchor>
  <xdr:twoCellAnchor>
    <xdr:from>
      <xdr:col>0</xdr:col>
      <xdr:colOff>190500</xdr:colOff>
      <xdr:row>5</xdr:row>
      <xdr:rowOff>83345</xdr:rowOff>
    </xdr:from>
    <xdr:to>
      <xdr:col>24</xdr:col>
      <xdr:colOff>321468</xdr:colOff>
      <xdr:row>23</xdr:row>
      <xdr:rowOff>142875</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0500" y="916783"/>
          <a:ext cx="20216812" cy="30956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a non-floating point method to look up the corresponding temperature based on the resistance value.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method works like this: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Store the 1 degree C step resistance table  below into your memory. Example array code found in the "Device Resistance Tables" sheet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Calculate the measured resistance value based on the read ADC voltage value.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 Find the closest match of resistance in the stored lookup table based. The corresponding temperature to that found resistance value will be the resulting temperature from this method.</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If you want greater accuracy instead of rounding to the nearest value in the lookup table and you would like to use floating point variables, then  interpolating the 1 degree C step lookup table will be preferred. For an example of this interpolation method, visit the sheet named "Interpolation From Lookup Table", which shows this method using the 5 degree C step lookup table that saves some memory space due to a smaller table.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current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resistance to temperature relationship and may cause temperature errors outside of the specified tolerances in the datasheet.</a:t>
          </a:r>
        </a:p>
      </xdr:txBody>
    </xdr:sp>
    <xdr:clientData/>
  </xdr:twoCellAnchor>
  <xdr:twoCellAnchor editAs="oneCell">
    <xdr:from>
      <xdr:col>0</xdr:col>
      <xdr:colOff>85725</xdr:colOff>
      <xdr:row>0</xdr:row>
      <xdr:rowOff>152399</xdr:rowOff>
    </xdr:from>
    <xdr:to>
      <xdr:col>0</xdr:col>
      <xdr:colOff>1914525</xdr:colOff>
      <xdr:row>2</xdr:row>
      <xdr:rowOff>93344</xdr:rowOff>
    </xdr:to>
    <xdr:pic>
      <xdr:nvPicPr>
        <xdr:cNvPr id="4" name="Picture 3" descr="ti logo">
          <a:hlinkClick xmlns:r="http://schemas.openxmlformats.org/officeDocument/2006/relationships" r:id="rId1"/>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4802985"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Lookup table</a:t>
          </a:r>
        </a:p>
      </xdr:txBody>
    </xdr:sp>
    <xdr:clientData/>
  </xdr:oneCellAnchor>
  <xdr:oneCellAnchor>
    <xdr:from>
      <xdr:col>12</xdr:col>
      <xdr:colOff>704850</xdr:colOff>
      <xdr:row>0</xdr:row>
      <xdr:rowOff>152400</xdr:rowOff>
    </xdr:from>
    <xdr:ext cx="4179670" cy="264560"/>
    <xdr:sp macro="" textlink="">
      <xdr:nvSpPr>
        <xdr:cNvPr id="7" name="TextBox 6">
          <a:hlinkClick xmlns:r="http://schemas.openxmlformats.org/officeDocument/2006/relationships" r:id="rId3"/>
          <a:extLst>
            <a:ext uri="{FF2B5EF4-FFF2-40B4-BE49-F238E27FC236}">
              <a16:creationId xmlns:a16="http://schemas.microsoft.com/office/drawing/2014/main" id="{00000000-0008-0000-0800-000007000000}"/>
            </a:ext>
          </a:extLst>
        </xdr:cNvPr>
        <xdr:cNvSpPr txBox="1"/>
      </xdr:nvSpPr>
      <xdr:spPr>
        <a:xfrm>
          <a:off x="12782550" y="15240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190499</xdr:colOff>
      <xdr:row>5</xdr:row>
      <xdr:rowOff>95252</xdr:rowOff>
    </xdr:from>
    <xdr:to>
      <xdr:col>23</xdr:col>
      <xdr:colOff>333374</xdr:colOff>
      <xdr:row>25</xdr:row>
      <xdr:rowOff>178593</xdr:rowOff>
    </xdr:to>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90499" y="928690"/>
              <a:ext cx="19371469" cy="41314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a floating point method to look up the corresponding temperature based on the resistance value. The use of the smaller 5 degree C step lookup table means that less memory is required compared to the 1 degree C step table. The interpolation method works very well with our thermistor portfolio because the device resistance curves are very linear, therefore the accuracy of this method is very good.</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interpolation method works like this: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Store the 5 degree C step resistance table  below into your memory. Example array code found in the "Device Resistance Tables" sheet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Calculate the measured resistance value based on the read ADC voltage value.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 Calculate how far the measured resistance is from the closest resistance values in the lookup table. Apply that same ratio to the corresponding  to temperature values (also known as a linear approximation of the actual temperature between two points).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formula for the linear interpolation process  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𝑌</m:t>
                  </m:r>
                  <m:r>
                    <a:rPr kumimoji="0" lang="en-US" sz="1200" b="0" i="1" u="none" strike="noStrike" kern="0" cap="none" spc="0" normalizeH="0" baseline="0" noProof="0">
                      <a:ln>
                        <a:noFill/>
                      </a:ln>
                      <a:solidFill>
                        <a:prstClr val="black"/>
                      </a:solidFill>
                      <a:effectLst/>
                      <a:uLnTx/>
                      <a:uFillTx/>
                      <a:latin typeface="Cambria Math"/>
                      <a:ea typeface="+mn-ea"/>
                      <a:cs typeface="+mn-cs"/>
                    </a:rPr>
                    <m:t>= </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𝑌</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 </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f>
                        <m:f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fPr>
                        <m:num>
                          <m:r>
                            <a:rPr kumimoji="0" lang="en-US" sz="1200" b="0" i="1" u="none" strike="noStrike" kern="0" cap="none" spc="0" normalizeH="0" baseline="0" noProof="0">
                              <a:ln>
                                <a:noFill/>
                              </a:ln>
                              <a:solidFill>
                                <a:prstClr val="black"/>
                              </a:solidFill>
                              <a:effectLst/>
                              <a:uLnTx/>
                              <a:uFillTx/>
                              <a:latin typeface="Cambria Math"/>
                              <a:ea typeface="+mn-ea"/>
                              <a:cs typeface="+mn-cs"/>
                            </a:rPr>
                            <m:t>𝑋</m:t>
                          </m:r>
                          <m:r>
                            <a:rPr kumimoji="0" lang="en-US" sz="1200" b="0" i="1" u="none" strike="noStrike" kern="0" cap="none" spc="0" normalizeH="0" baseline="0" noProof="0">
                              <a:ln>
                                <a:noFill/>
                              </a:ln>
                              <a:solidFill>
                                <a:prstClr val="black"/>
                              </a:solidFill>
                              <a:effectLst/>
                              <a:uLnTx/>
                              <a:uFillTx/>
                              <a:latin typeface="Cambria Math"/>
                              <a:ea typeface="+mn-ea"/>
                              <a:cs typeface="+mn-cs"/>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𝑋</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num>
                        <m:den>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𝑋</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𝑋</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den>
                      </m:f>
                    </m:e>
                  </m:d>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𝑌</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m:t>
                      </m:r>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𝑌</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e>
                  </m:d>
                </m:oMath>
              </a14:m>
              <a:endPar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𝑋</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is the known value of resistance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a:ea typeface="+mn-ea"/>
                      <a:cs typeface="+mn-cs"/>
                    </a:rPr>
                    <m:t>𝑌</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is the unknown value of temperature</a:t>
              </a:r>
              <a:endPar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𝑋</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and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𝑌</m:t>
                      </m:r>
                    </m:e>
                    <m:sub>
                      <m:r>
                        <a:rPr kumimoji="0" lang="en-US" sz="1200" b="0" i="1" u="none" strike="noStrike" kern="0" cap="none" spc="0" normalizeH="0" baseline="0" noProof="0">
                          <a:ln>
                            <a:noFill/>
                          </a:ln>
                          <a:solidFill>
                            <a:prstClr val="black"/>
                          </a:solidFill>
                          <a:effectLst/>
                          <a:uLnTx/>
                          <a:uFillTx/>
                          <a:latin typeface="Cambria Math"/>
                          <a:ea typeface="+mn-ea"/>
                          <a:cs typeface="+mn-cs"/>
                        </a:rPr>
                        <m:t>1</m:t>
                      </m:r>
                    </m:sub>
                  </m:sSub>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are the lower limit values for resistance  and temperature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𝑋</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and </a:t>
              </a:r>
              <a14:m>
                <m:oMath xmlns:m="http://schemas.openxmlformats.org/officeDocument/2006/math">
                  <m:sSub>
                    <m:sSub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sSubPr>
                    <m:e>
                      <m:r>
                        <a:rPr kumimoji="0" lang="en-US" sz="1200" b="0" i="1" u="none" strike="noStrike" kern="0" cap="none" spc="0" normalizeH="0" baseline="0" noProof="0">
                          <a:ln>
                            <a:noFill/>
                          </a:ln>
                          <a:solidFill>
                            <a:prstClr val="black"/>
                          </a:solidFill>
                          <a:effectLst/>
                          <a:uLnTx/>
                          <a:uFillTx/>
                          <a:latin typeface="Cambria Math"/>
                          <a:ea typeface="+mn-ea"/>
                          <a:cs typeface="+mn-cs"/>
                        </a:rPr>
                        <m:t>𝑌</m:t>
                      </m:r>
                    </m:e>
                    <m:sub>
                      <m:r>
                        <a:rPr kumimoji="0" lang="en-US" sz="1200" b="0" i="1" u="none" strike="noStrike" kern="0" cap="none" spc="0" normalizeH="0" baseline="0" noProof="0">
                          <a:ln>
                            <a:noFill/>
                          </a:ln>
                          <a:solidFill>
                            <a:prstClr val="black"/>
                          </a:solidFill>
                          <a:effectLst/>
                          <a:uLnTx/>
                          <a:uFillTx/>
                          <a:latin typeface="Cambria Math"/>
                          <a:ea typeface="+mn-ea"/>
                          <a:cs typeface="+mn-cs"/>
                        </a:rPr>
                        <m:t>2</m:t>
                      </m:r>
                    </m:sub>
                  </m:sSub>
                  <m:r>
                    <a:rPr kumimoji="0" lang="en-US" sz="1200" b="0" i="1" u="none" strike="noStrike" kern="0" cap="none" spc="0" normalizeH="0" baseline="0" noProof="0">
                      <a:ln>
                        <a:noFill/>
                      </a:ln>
                      <a:solidFill>
                        <a:prstClr val="black"/>
                      </a:solidFill>
                      <a:effectLst/>
                      <a:uLnTx/>
                      <a:uFillTx/>
                      <a:latin typeface="Cambria Math"/>
                      <a:ea typeface="+mn-ea"/>
                      <a:cs typeface="+mn-cs"/>
                    </a:rPr>
                    <m:t> </m:t>
                  </m:r>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are the coordinates that are above the x value.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current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resistance to temperature relationship and may cause temperature errors outside of the specified tolerances in the datasheet.</a:t>
              </a:r>
            </a:p>
          </xdr:txBody>
        </xdr:sp>
      </mc:Choice>
      <mc:Fallback xmlns="">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90499" y="928690"/>
              <a:ext cx="19371469" cy="41314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a floating point method to look up the corresponding temperature based on the resistance value. The use of the smaller 5 degree C step lookup table means that less memory is required compared to the 1 degree C step table. The interpolation method works very well with our thermistor portfolio because the device resistance curves are very linear, therefore the accuracy of this method is very good.</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interpolation method works like this: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1) Store the 5 degree C step resistance table  below into your memory. Example array code found in the "Device Resistance Tables" sheet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2) Calculate the measured resistance value based on the read ADC voltage value.</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3) Calculate how far the measured resistance is from the closest resistance values in the lookup table. Apply that same ratio to the corresponding  to temperature values (also known as a linear approximation of the actual temperature between two points).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formula for the linear interpolation process  is: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a:ea typeface="+mn-ea"/>
                  <a:cs typeface="+mn-cs"/>
                </a:rPr>
                <a:t>𝑌= 𝑌</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𝑋−𝑋</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a:t>
              </a:r>
              <a:r>
                <a:rPr kumimoji="0" lang="en-US" sz="1200" b="0" i="0" u="none" strike="noStrike" kern="0" cap="none" spc="0" normalizeH="0" baseline="0" noProof="0">
                  <a:ln>
                    <a:noFill/>
                  </a:ln>
                  <a:solidFill>
                    <a:prstClr val="black"/>
                  </a:solidFill>
                  <a:effectLst/>
                  <a:uLnTx/>
                  <a:uFillTx/>
                  <a:latin typeface="Cambria Math"/>
                  <a:ea typeface="+mn-ea"/>
                  <a:cs typeface="+mn-cs"/>
                </a:rPr>
                <a:t>𝑋</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2−𝑋</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r>
                <a:rPr kumimoji="0" lang="en-US" sz="1200" b="0" i="0" u="none" strike="noStrike" kern="0" cap="none" spc="0" normalizeH="0" baseline="0" noProof="0">
                  <a:ln>
                    <a:noFill/>
                  </a:ln>
                  <a:solidFill>
                    <a:prstClr val="black"/>
                  </a:solidFill>
                  <a:effectLst/>
                  <a:uLnTx/>
                  <a:uFillTx/>
                  <a:latin typeface="Cambria Math"/>
                  <a:ea typeface="+mn-ea"/>
                  <a:cs typeface="+mn-cs"/>
                </a:rPr>
                <a:t>𝑌</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2−𝑌</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 )</a:t>
              </a:r>
              <a:endPar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Cambria Math"/>
                  <a:ea typeface="+mn-ea"/>
                  <a:cs typeface="+mn-cs"/>
                </a:rPr>
                <a:t>𝑋</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is the known value of resistance                                                                                             </a:t>
              </a:r>
              <a:r>
                <a:rPr kumimoji="0" lang="en-US" sz="1200" b="0" i="0" u="none" strike="noStrike" kern="0" cap="none" spc="0" normalizeH="0" baseline="0" noProof="0">
                  <a:ln>
                    <a:noFill/>
                  </a:ln>
                  <a:solidFill>
                    <a:prstClr val="black"/>
                  </a:solidFill>
                  <a:effectLst/>
                  <a:uLnTx/>
                  <a:uFillTx/>
                  <a:latin typeface="Cambria Math"/>
                  <a:ea typeface="+mn-ea"/>
                  <a:cs typeface="+mn-cs"/>
                </a:rPr>
                <a:t>𝑌</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is the unknown value of temperature</a:t>
              </a:r>
              <a:endPar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Cambria Math"/>
                  <a:ea typeface="+mn-ea"/>
                  <a:cs typeface="+mn-cs"/>
                </a:rPr>
                <a:t>𝑋</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and </a:t>
              </a:r>
              <a:r>
                <a:rPr kumimoji="0" lang="en-US" sz="1200" b="0" i="0" u="none" strike="noStrike" kern="0" cap="none" spc="0" normalizeH="0" baseline="0" noProof="0">
                  <a:ln>
                    <a:noFill/>
                  </a:ln>
                  <a:solidFill>
                    <a:prstClr val="black"/>
                  </a:solidFill>
                  <a:effectLst/>
                  <a:uLnTx/>
                  <a:uFillTx/>
                  <a:latin typeface="Cambria Math"/>
                  <a:ea typeface="+mn-ea"/>
                  <a:cs typeface="+mn-cs"/>
                </a:rPr>
                <a:t>𝑌</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1</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are the lower limit values for resistance  and temperature                                 </a:t>
              </a:r>
              <a:r>
                <a:rPr kumimoji="0" lang="en-US" sz="1200" b="0" i="0" u="none" strike="noStrike" kern="0" cap="none" spc="0" normalizeH="0" baseline="0" noProof="0">
                  <a:ln>
                    <a:noFill/>
                  </a:ln>
                  <a:solidFill>
                    <a:prstClr val="black"/>
                  </a:solidFill>
                  <a:effectLst/>
                  <a:uLnTx/>
                  <a:uFillTx/>
                  <a:latin typeface="Cambria Math"/>
                  <a:ea typeface="+mn-ea"/>
                  <a:cs typeface="+mn-cs"/>
                </a:rPr>
                <a:t>𝑋</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and </a:t>
              </a:r>
              <a:r>
                <a:rPr kumimoji="0" lang="en-US" sz="1200" b="0" i="0" u="none" strike="noStrike" kern="0" cap="none" spc="0" normalizeH="0" baseline="0" noProof="0">
                  <a:ln>
                    <a:noFill/>
                  </a:ln>
                  <a:solidFill>
                    <a:prstClr val="black"/>
                  </a:solidFill>
                  <a:effectLst/>
                  <a:uLnTx/>
                  <a:uFillTx/>
                  <a:latin typeface="Cambria Math"/>
                  <a:ea typeface="+mn-ea"/>
                  <a:cs typeface="+mn-cs"/>
                </a:rPr>
                <a:t>𝑌</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_</a:t>
              </a:r>
              <a:r>
                <a:rPr kumimoji="0" lang="en-US" sz="1200" b="0" i="0" u="none" strike="noStrike" kern="0" cap="none" spc="0" normalizeH="0" baseline="0" noProof="0">
                  <a:ln>
                    <a:noFill/>
                  </a:ln>
                  <a:solidFill>
                    <a:prstClr val="black"/>
                  </a:solidFill>
                  <a:effectLst/>
                  <a:uLnTx/>
                  <a:uFillTx/>
                  <a:latin typeface="Cambria Math"/>
                  <a:ea typeface="+mn-ea"/>
                  <a:cs typeface="+mn-cs"/>
                </a:rPr>
                <a:t>2  </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are the coordinates that are above the x value.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current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resistance to temperature relationship and may cause temperature errors outside of the specified tolerances in the datasheet.</a:t>
              </a:r>
            </a:p>
          </xdr:txBody>
        </xdr:sp>
      </mc:Fallback>
    </mc:AlternateContent>
    <xdr:clientData/>
  </xdr:twoCellAnchor>
  <xdr:twoCellAnchor editAs="oneCell">
    <xdr:from>
      <xdr:col>0</xdr:col>
      <xdr:colOff>85725</xdr:colOff>
      <xdr:row>0</xdr:row>
      <xdr:rowOff>152399</xdr:rowOff>
    </xdr:from>
    <xdr:to>
      <xdr:col>1</xdr:col>
      <xdr:colOff>69056</xdr:colOff>
      <xdr:row>2</xdr:row>
      <xdr:rowOff>93344</xdr:rowOff>
    </xdr:to>
    <xdr:pic>
      <xdr:nvPicPr>
        <xdr:cNvPr id="8" name="Picture 7" descr="ti logo">
          <a:hlinkClick xmlns:r="http://schemas.openxmlformats.org/officeDocument/2006/relationships" r:id="rId1"/>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9" name="TextBox 8">
          <a:extLst>
            <a:ext uri="{FF2B5EF4-FFF2-40B4-BE49-F238E27FC236}">
              <a16:creationId xmlns:a16="http://schemas.microsoft.com/office/drawing/2014/main" id="{00000000-0008-0000-0900-000009000000}"/>
            </a:ext>
          </a:extLst>
        </xdr:cNvPr>
        <xdr:cNvSpPr txBox="1"/>
      </xdr:nvSpPr>
      <xdr:spPr>
        <a:xfrm>
          <a:off x="4850610"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Interpolation From Lookup Table</a:t>
          </a:r>
        </a:p>
      </xdr:txBody>
    </xdr:sp>
    <xdr:clientData/>
  </xdr:oneCellAnchor>
  <xdr:twoCellAnchor>
    <xdr:from>
      <xdr:col>1</xdr:col>
      <xdr:colOff>0</xdr:colOff>
      <xdr:row>95</xdr:row>
      <xdr:rowOff>83345</xdr:rowOff>
    </xdr:from>
    <xdr:to>
      <xdr:col>4</xdr:col>
      <xdr:colOff>226780</xdr:colOff>
      <xdr:row>100</xdr:row>
      <xdr:rowOff>90351</xdr:rowOff>
    </xdr:to>
    <xdr:sp macro="" textlink="">
      <xdr:nvSpPr>
        <xdr:cNvPr id="12" name="TextBox 11">
          <a:extLst>
            <a:ext uri="{FF2B5EF4-FFF2-40B4-BE49-F238E27FC236}">
              <a16:creationId xmlns:a16="http://schemas.microsoft.com/office/drawing/2014/main" id="{00000000-0008-0000-0900-00000C000000}"/>
            </a:ext>
          </a:extLst>
        </xdr:cNvPr>
        <xdr:cNvSpPr txBox="1"/>
      </xdr:nvSpPr>
      <xdr:spPr>
        <a:xfrm>
          <a:off x="1845469" y="12061033"/>
          <a:ext cx="4513030" cy="840443"/>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 of the C code </a:t>
          </a:r>
          <a:r>
            <a:rPr lang="en-US" b="1"/>
            <a:t>is below</a:t>
          </a:r>
          <a:r>
            <a:rPr lang="en-US" b="1" baseline="0"/>
            <a:t> the table</a:t>
          </a:r>
        </a:p>
        <a:p>
          <a:pPr algn="ctr"/>
          <a:r>
            <a:rPr lang="en-US" b="1" baseline="0"/>
            <a:t>The example is for reference only </a:t>
          </a:r>
        </a:p>
        <a:p>
          <a:pPr algn="ctr"/>
          <a:endParaRPr lang="en-US" b="0" baseline="0"/>
        </a:p>
        <a:p>
          <a:pPr algn="ctr"/>
          <a:r>
            <a:rPr lang="en-US" b="1" i="1" baseline="0"/>
            <a:t>TI does not warranty the use of this code, it's accuracy or reliability</a:t>
          </a:r>
        </a:p>
      </xdr:txBody>
    </xdr:sp>
    <xdr:clientData/>
  </xdr:twoCellAnchor>
  <xdr:oneCellAnchor>
    <xdr:from>
      <xdr:col>13</xdr:col>
      <xdr:colOff>19050</xdr:colOff>
      <xdr:row>0</xdr:row>
      <xdr:rowOff>142875</xdr:rowOff>
    </xdr:from>
    <xdr:ext cx="4179670" cy="264560"/>
    <xdr:sp macro="" textlink="">
      <xdr:nvSpPr>
        <xdr:cNvPr id="11" name="TextBox 10">
          <a:hlinkClick xmlns:r="http://schemas.openxmlformats.org/officeDocument/2006/relationships" r:id="rId3"/>
          <a:extLst>
            <a:ext uri="{FF2B5EF4-FFF2-40B4-BE49-F238E27FC236}">
              <a16:creationId xmlns:a16="http://schemas.microsoft.com/office/drawing/2014/main" id="{00000000-0008-0000-0900-00000B000000}"/>
            </a:ext>
          </a:extLst>
        </xdr:cNvPr>
        <xdr:cNvSpPr txBox="1"/>
      </xdr:nvSpPr>
      <xdr:spPr>
        <a:xfrm>
          <a:off x="13916025" y="14287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10.xml><?xml version="1.0" encoding="utf-8"?>
<xdr:wsDr xmlns:xdr="http://schemas.openxmlformats.org/drawingml/2006/spreadsheetDrawing" xmlns:a="http://schemas.openxmlformats.org/drawingml/2006/main">
  <xdr:twoCellAnchor>
    <xdr:from>
      <xdr:col>0</xdr:col>
      <xdr:colOff>285749</xdr:colOff>
      <xdr:row>5</xdr:row>
      <xdr:rowOff>83341</xdr:rowOff>
    </xdr:from>
    <xdr:to>
      <xdr:col>22</xdr:col>
      <xdr:colOff>23812</xdr:colOff>
      <xdr:row>22</xdr:row>
      <xdr:rowOff>11906</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285749" y="916779"/>
          <a:ext cx="20252532" cy="20955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an easy method for threshold detection using the TI device selected. The threshold limits will be very accurate using this method, and can be applied for hysteresis as well.</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For example,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Let's say you only care about the temperature getting above 100 degrees C. Once the temperature crosses that threshold, you don't want your system to turn back on until the temperature cools down to 90 degrees C. </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10 degrees C buffer is called hysteresis. So, if those two values are the only temperatures you care about, plug them into the T_high (100) and T_low (90) red outlined cells below.  This sheet automatically calculates what ADC voltage you should expect for each of those temperature values. Using that information, your processor can trigger an alarm high when it reads the ADC value corresponding to T_high, and can release the alarm when the ADC value reaches that which corresponds to T_low. If you have multiple thresholds that need to be sensed, just calculate the corresponding ADC values for those specific temperatures using this sheet.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current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resistance to temperature relationship and may cause temperature errors outside of the specified tolerances in the datasheet.</a:t>
          </a:r>
        </a:p>
      </xdr:txBody>
    </xdr:sp>
    <xdr:clientData/>
  </xdr:twoCellAnchor>
  <xdr:twoCellAnchor editAs="oneCell">
    <xdr:from>
      <xdr:col>0</xdr:col>
      <xdr:colOff>85725</xdr:colOff>
      <xdr:row>0</xdr:row>
      <xdr:rowOff>152399</xdr:rowOff>
    </xdr:from>
    <xdr:to>
      <xdr:col>1</xdr:col>
      <xdr:colOff>223837</xdr:colOff>
      <xdr:row>2</xdr:row>
      <xdr:rowOff>93344</xdr:rowOff>
    </xdr:to>
    <xdr:pic>
      <xdr:nvPicPr>
        <xdr:cNvPr id="4" name="Picture 3" descr="ti logo">
          <a:hlinkClick xmlns:r="http://schemas.openxmlformats.org/officeDocument/2006/relationships" r:id="rId1"/>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486251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Threshold Detection</a:t>
          </a:r>
        </a:p>
      </xdr:txBody>
    </xdr:sp>
    <xdr:clientData/>
  </xdr:oneCellAnchor>
  <xdr:oneCellAnchor>
    <xdr:from>
      <xdr:col>10</xdr:col>
      <xdr:colOff>609600</xdr:colOff>
      <xdr:row>0</xdr:row>
      <xdr:rowOff>133350</xdr:rowOff>
    </xdr:from>
    <xdr:ext cx="4179670" cy="264560"/>
    <xdr:sp macro="" textlink="">
      <xdr:nvSpPr>
        <xdr:cNvPr id="9" name="TextBox 8">
          <a:hlinkClick xmlns:r="http://schemas.openxmlformats.org/officeDocument/2006/relationships" r:id="rId3"/>
          <a:extLst>
            <a:ext uri="{FF2B5EF4-FFF2-40B4-BE49-F238E27FC236}">
              <a16:creationId xmlns:a16="http://schemas.microsoft.com/office/drawing/2014/main" id="{00000000-0008-0000-0A00-000009000000}"/>
            </a:ext>
          </a:extLst>
        </xdr:cNvPr>
        <xdr:cNvSpPr txBox="1"/>
      </xdr:nvSpPr>
      <xdr:spPr>
        <a:xfrm>
          <a:off x="14306550" y="13335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11.xml><?xml version="1.0" encoding="utf-8"?>
<xdr:wsDr xmlns:xdr="http://schemas.openxmlformats.org/drawingml/2006/spreadsheetDrawing" xmlns:a="http://schemas.openxmlformats.org/drawingml/2006/main">
  <xdr:twoCellAnchor editAs="oneCell">
    <xdr:from>
      <xdr:col>0</xdr:col>
      <xdr:colOff>85724</xdr:colOff>
      <xdr:row>0</xdr:row>
      <xdr:rowOff>152400</xdr:rowOff>
    </xdr:from>
    <xdr:to>
      <xdr:col>2</xdr:col>
      <xdr:colOff>28574</xdr:colOff>
      <xdr:row>2</xdr:row>
      <xdr:rowOff>105498</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4" y="152400"/>
          <a:ext cx="1828800" cy="2864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4071941"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Averaging</a:t>
          </a:r>
        </a:p>
      </xdr:txBody>
    </xdr:sp>
    <xdr:clientData/>
  </xdr:oneCellAnchor>
  <xdr:twoCellAnchor>
    <xdr:from>
      <xdr:col>5</xdr:col>
      <xdr:colOff>381000</xdr:colOff>
      <xdr:row>95</xdr:row>
      <xdr:rowOff>2</xdr:rowOff>
    </xdr:from>
    <xdr:to>
      <xdr:col>10</xdr:col>
      <xdr:colOff>11906</xdr:colOff>
      <xdr:row>101</xdr:row>
      <xdr:rowOff>0</xdr:rowOff>
    </xdr:to>
    <xdr:sp macro="" textlink="">
      <xdr:nvSpPr>
        <xdr:cNvPr id="7" name="TextBox 6">
          <a:extLst>
            <a:ext uri="{FF2B5EF4-FFF2-40B4-BE49-F238E27FC236}">
              <a16:creationId xmlns:a16="http://schemas.microsoft.com/office/drawing/2014/main" id="{00000000-0008-0000-0B00-000007000000}"/>
            </a:ext>
          </a:extLst>
        </xdr:cNvPr>
        <xdr:cNvSpPr txBox="1"/>
      </xdr:nvSpPr>
      <xdr:spPr>
        <a:xfrm>
          <a:off x="4333875" y="11620502"/>
          <a:ext cx="3012281" cy="1000123"/>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Examples of the C code are</a:t>
          </a:r>
          <a:r>
            <a:rPr lang="en-US" b="1"/>
            <a:t> below</a:t>
          </a:r>
          <a:r>
            <a:rPr lang="en-US" b="1" baseline="0"/>
            <a:t> </a:t>
          </a:r>
        </a:p>
        <a:p>
          <a:pPr algn="ctr"/>
          <a:r>
            <a:rPr lang="en-US" b="1" baseline="0"/>
            <a:t>These examples are for reference only </a:t>
          </a:r>
        </a:p>
        <a:p>
          <a:pPr algn="ctr"/>
          <a:endParaRPr lang="en-US" b="0" baseline="0"/>
        </a:p>
        <a:p>
          <a:pPr algn="ctr"/>
          <a:r>
            <a:rPr lang="en-US" b="1" i="1" baseline="0"/>
            <a:t>TI does not warranty the use of this code, it's accuracy or reliability</a:t>
          </a:r>
        </a:p>
      </xdr:txBody>
    </xdr:sp>
    <xdr:clientData/>
  </xdr:twoCellAnchor>
  <xdr:twoCellAnchor>
    <xdr:from>
      <xdr:col>0</xdr:col>
      <xdr:colOff>609600</xdr:colOff>
      <xdr:row>8</xdr:row>
      <xdr:rowOff>95250</xdr:rowOff>
    </xdr:from>
    <xdr:to>
      <xdr:col>23</xdr:col>
      <xdr:colOff>555171</xdr:colOff>
      <xdr:row>94</xdr:row>
      <xdr:rowOff>28273</xdr:rowOff>
    </xdr:to>
    <xdr:sp macro="" textlink="">
      <xdr:nvSpPr>
        <xdr:cNvPr id="53" name="TextBox 52">
          <a:extLst>
            <a:ext uri="{FF2B5EF4-FFF2-40B4-BE49-F238E27FC236}">
              <a16:creationId xmlns:a16="http://schemas.microsoft.com/office/drawing/2014/main" id="{00000000-0008-0000-0B00-000035000000}"/>
            </a:ext>
          </a:extLst>
        </xdr:cNvPr>
        <xdr:cNvSpPr txBox="1"/>
      </xdr:nvSpPr>
      <xdr:spPr>
        <a:xfrm>
          <a:off x="609600" y="1390650"/>
          <a:ext cx="15033171" cy="159921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latin typeface="Arial" panose="020B0604020202020204" pitchFamily="34" charset="0"/>
              <a:cs typeface="Arial" panose="020B0604020202020204" pitchFamily="34" charset="0"/>
            </a:rPr>
            <a:t>This sheet provides</a:t>
          </a:r>
          <a:r>
            <a:rPr lang="en-US" sz="1200" baseline="0">
              <a:latin typeface="Arial" panose="020B0604020202020204" pitchFamily="34" charset="0"/>
              <a:cs typeface="Arial" panose="020B0604020202020204" pitchFamily="34" charset="0"/>
            </a:rPr>
            <a:t> two examples of how oversampling and averaging temperature measurements in</a:t>
          </a:r>
          <a:r>
            <a:rPr lang="en-US" sz="1200">
              <a:latin typeface="Arial" panose="020B0604020202020204" pitchFamily="34" charset="0"/>
              <a:cs typeface="Arial" panose="020B0604020202020204" pitchFamily="34" charset="0"/>
            </a:rPr>
            <a:t> a first-in-first</a:t>
          </a:r>
          <a:r>
            <a:rPr lang="en-US" sz="1200" baseline="0">
              <a:latin typeface="Arial" panose="020B0604020202020204" pitchFamily="34" charset="0"/>
              <a:cs typeface="Arial" panose="020B0604020202020204" pitchFamily="34" charset="0"/>
            </a:rPr>
            <a:t>-out (FIFO) sequence can improve measurement resolution and signal-to-noise ratio. </a:t>
          </a:r>
        </a:p>
        <a:p>
          <a:r>
            <a:rPr lang="en-US" sz="1200">
              <a:latin typeface="Arial" panose="020B0604020202020204" pitchFamily="34" charset="0"/>
              <a:cs typeface="Arial" panose="020B0604020202020204" pitchFamily="34" charset="0"/>
            </a:rPr>
            <a:t>For both</a:t>
          </a:r>
          <a:r>
            <a:rPr lang="en-US" sz="1200" baseline="0">
              <a:latin typeface="Arial" panose="020B0604020202020204" pitchFamily="34" charset="0"/>
              <a:cs typeface="Arial" panose="020B0604020202020204" pitchFamily="34" charset="0"/>
            </a:rPr>
            <a:t> methods, a</a:t>
          </a:r>
          <a:r>
            <a:rPr lang="en-US" sz="1200">
              <a:latin typeface="Arial" panose="020B0604020202020204" pitchFamily="34" charset="0"/>
              <a:cs typeface="Arial" panose="020B0604020202020204" pitchFamily="34" charset="0"/>
            </a:rPr>
            <a:t>fter</a:t>
          </a:r>
          <a:r>
            <a:rPr lang="en-US" sz="1200" baseline="0">
              <a:latin typeface="Arial" panose="020B0604020202020204" pitchFamily="34" charset="0"/>
              <a:cs typeface="Arial" panose="020B0604020202020204" pitchFamily="34" charset="0"/>
            </a:rPr>
            <a:t> the ADC reads in a bit value and your code calculates the temperature by using one of the methods in this design tool, you can store that value in an array. As a new value comes in to the array, the oldest sample is dropped as all the other samples are shifted to the next corresponding cell, thus creating a FIFO. The averaging method can be applied to any of the values used in temperature conversion such as the temperature, the </a:t>
          </a:r>
          <a:r>
            <a:rPr lang="en-US" sz="1200" baseline="0">
              <a:solidFill>
                <a:schemeClr val="dk1"/>
              </a:solidFill>
              <a:effectLst/>
              <a:latin typeface="Arial" panose="020B0604020202020204" pitchFamily="34" charset="0"/>
              <a:ea typeface="+mn-ea"/>
              <a:cs typeface="Arial" panose="020B0604020202020204" pitchFamily="34" charset="0"/>
            </a:rPr>
            <a:t>ADC bit value, the divider voltage, or even the calculated resistance.  All of these methods work very well. For the purposes of this sheet, we will be averaging the calculated temperature. </a:t>
          </a:r>
          <a:endParaRPr lang="en-US" sz="1200" baseline="0">
            <a:latin typeface="Arial" panose="020B0604020202020204" pitchFamily="34" charset="0"/>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effectLst/>
              <a:latin typeface="Arial" panose="020B0604020202020204" pitchFamily="34" charset="0"/>
              <a:ea typeface="+mn-ea"/>
              <a:cs typeface="Arial" panose="020B0604020202020204" pitchFamily="34" charset="0"/>
            </a:rPr>
            <a:t>Note: For every 8 oversamples the resolution will increase by 2 bits. 16 oversamples will  increase a 10 bit ADC to 14 bits of resolution.  Any number of samples can be used in your application to get the average  that you need for your design.</a:t>
          </a:r>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r>
            <a:rPr lang="en-US" sz="1200" b="1">
              <a:solidFill>
                <a:schemeClr val="dk1"/>
              </a:solidFill>
              <a:effectLst/>
              <a:latin typeface="Arial" panose="020B0604020202020204" pitchFamily="34" charset="0"/>
              <a:ea typeface="+mn-ea"/>
              <a:cs typeface="Arial" panose="020B0604020202020204" pitchFamily="34" charset="0"/>
            </a:rPr>
            <a:t>Method 1</a:t>
          </a:r>
          <a:r>
            <a:rPr lang="en-US" sz="1200">
              <a:solidFill>
                <a:schemeClr val="dk1"/>
              </a:solidFill>
              <a:effectLst/>
              <a:latin typeface="Arial" panose="020B0604020202020204" pitchFamily="34" charset="0"/>
              <a:ea typeface="+mn-ea"/>
              <a:cs typeface="Arial" panose="020B0604020202020204" pitchFamily="34" charset="0"/>
            </a:rPr>
            <a:t> will </a:t>
          </a:r>
          <a:r>
            <a:rPr lang="en-US" sz="1200" baseline="0">
              <a:solidFill>
                <a:schemeClr val="dk1"/>
              </a:solidFill>
              <a:effectLst/>
              <a:latin typeface="Arial" panose="020B0604020202020204" pitchFamily="34" charset="0"/>
              <a:ea typeface="+mn-ea"/>
              <a:cs typeface="Arial" panose="020B0604020202020204" pitchFamily="34" charset="0"/>
            </a:rPr>
            <a:t>average the elements in an array during every cycle. </a:t>
          </a:r>
          <a:endParaRPr lang="en-US" sz="1200">
            <a:effectLst/>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endParaRPr lang="en-US" sz="1200">
            <a:latin typeface="Arial" panose="020B0604020202020204" pitchFamily="34" charset="0"/>
            <a:cs typeface="Arial" panose="020B0604020202020204" pitchFamily="34" charset="0"/>
          </a:endParaRPr>
        </a:p>
        <a:p>
          <a:r>
            <a:rPr lang="en-US" sz="1200" baseline="0">
              <a:latin typeface="Arial" panose="020B0604020202020204" pitchFamily="34" charset="0"/>
              <a:cs typeface="Arial" panose="020B0604020202020204" pitchFamily="34" charset="0"/>
            </a:rPr>
            <a:t>                                      		Figure 1: FIFO Operation</a:t>
          </a:r>
        </a:p>
        <a:p>
          <a:endParaRPr lang="en-US" sz="1200" baseline="0">
            <a:latin typeface="Arial" panose="020B0604020202020204" pitchFamily="34" charset="0"/>
            <a:cs typeface="Arial" panose="020B0604020202020204" pitchFamily="34" charset="0"/>
          </a:endParaRPr>
        </a:p>
        <a:p>
          <a:endParaRPr lang="en-US" sz="1200" b="1" baseline="0">
            <a:solidFill>
              <a:schemeClr val="dk1"/>
            </a:solidFill>
            <a:effectLst/>
            <a:latin typeface="Arial" panose="020B0604020202020204" pitchFamily="34" charset="0"/>
            <a:ea typeface="+mn-ea"/>
            <a:cs typeface="Arial" panose="020B0604020202020204" pitchFamily="34" charset="0"/>
          </a:endParaRPr>
        </a:p>
        <a:p>
          <a:r>
            <a:rPr lang="en-US" sz="1200" b="1" baseline="0">
              <a:solidFill>
                <a:schemeClr val="dk1"/>
              </a:solidFill>
              <a:effectLst/>
              <a:latin typeface="Arial" panose="020B0604020202020204" pitchFamily="34" charset="0"/>
              <a:ea typeface="+mn-ea"/>
              <a:cs typeface="Arial" panose="020B0604020202020204" pitchFamily="34" charset="0"/>
            </a:rPr>
            <a:t>Method 2</a:t>
          </a:r>
          <a:r>
            <a:rPr lang="en-US" sz="1200" baseline="0">
              <a:solidFill>
                <a:schemeClr val="dk1"/>
              </a:solidFill>
              <a:effectLst/>
              <a:latin typeface="Arial" panose="020B0604020202020204" pitchFamily="34" charset="0"/>
              <a:ea typeface="+mn-ea"/>
              <a:cs typeface="Arial" panose="020B0604020202020204" pitchFamily="34" charset="0"/>
            </a:rPr>
            <a:t> will take "N" # of samples, adding each to the array stack.  Then, once the array has "N" </a:t>
          </a:r>
          <a:r>
            <a:rPr lang="en-US" sz="1200" u="sng" baseline="0">
              <a:solidFill>
                <a:schemeClr val="dk1"/>
              </a:solidFill>
              <a:effectLst/>
              <a:latin typeface="Arial" panose="020B0604020202020204" pitchFamily="34" charset="0"/>
              <a:ea typeface="+mn-ea"/>
              <a:cs typeface="Arial" panose="020B0604020202020204" pitchFamily="34" charset="0"/>
            </a:rPr>
            <a:t>new</a:t>
          </a:r>
          <a:r>
            <a:rPr lang="en-US" sz="1200" baseline="0">
              <a:solidFill>
                <a:schemeClr val="dk1"/>
              </a:solidFill>
              <a:effectLst/>
              <a:latin typeface="Arial" panose="020B0604020202020204" pitchFamily="34" charset="0"/>
              <a:ea typeface="+mn-ea"/>
              <a:cs typeface="Arial" panose="020B0604020202020204" pitchFamily="34" charset="0"/>
            </a:rPr>
            <a:t> values, an average will be calculated. </a:t>
          </a:r>
        </a:p>
        <a:p>
          <a:r>
            <a:rPr lang="en-US" sz="1200">
              <a:effectLst/>
              <a:latin typeface="Arial" panose="020B0604020202020204" pitchFamily="34" charset="0"/>
              <a:cs typeface="Arial" panose="020B0604020202020204" pitchFamily="34" charset="0"/>
            </a:rPr>
            <a:t>	</a:t>
          </a:r>
          <a:r>
            <a:rPr lang="en-US" sz="1200" b="1">
              <a:effectLst/>
              <a:latin typeface="Arial" panose="020B0604020202020204" pitchFamily="34" charset="0"/>
              <a:cs typeface="Arial" panose="020B0604020202020204" pitchFamily="34" charset="0"/>
            </a:rPr>
            <a:t>Ex:</a:t>
          </a:r>
          <a:r>
            <a:rPr lang="en-US" sz="1200" b="1" baseline="0">
              <a:effectLst/>
              <a:latin typeface="Arial" panose="020B0604020202020204" pitchFamily="34" charset="0"/>
              <a:cs typeface="Arial" panose="020B0604020202020204" pitchFamily="34" charset="0"/>
            </a:rPr>
            <a:t>   </a:t>
          </a:r>
          <a:r>
            <a:rPr lang="en-US" sz="1200" baseline="0">
              <a:effectLst/>
              <a:latin typeface="Arial" panose="020B0604020202020204" pitchFamily="34" charset="0"/>
              <a:cs typeface="Arial" panose="020B0604020202020204" pitchFamily="34" charset="0"/>
            </a:rPr>
            <a:t>Let's say you wanted to know what the temperature is once every second, and each cycle takes one-tenth of a second. That means that nine samples will be measured and inserted into the array, and the last tenth of a second will be used to average all those values to result in an averaged temperature. In cycle 11, a new A0 will be inserted in index [0] of the array as all the other elements will shift to the right. </a:t>
          </a: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a:effectLst/>
            <a:latin typeface="Arial" panose="020B0604020202020204" pitchFamily="34" charset="0"/>
            <a:cs typeface="Arial" panose="020B0604020202020204" pitchFamily="34" charset="0"/>
          </a:endParaRPr>
        </a:p>
        <a:p>
          <a:endParaRPr lang="en-US" sz="1200" b="1" baseline="0">
            <a:latin typeface="Arial" panose="020B0604020202020204" pitchFamily="34" charset="0"/>
            <a:cs typeface="Arial" panose="020B0604020202020204" pitchFamily="34" charset="0"/>
          </a:endParaRPr>
        </a:p>
        <a:p>
          <a:endParaRPr lang="en-US" sz="1200" b="1" baseline="0">
            <a:latin typeface="Arial" panose="020B0604020202020204" pitchFamily="34" charset="0"/>
            <a:cs typeface="Arial" panose="020B0604020202020204" pitchFamily="34" charset="0"/>
          </a:endParaRPr>
        </a:p>
        <a:p>
          <a:r>
            <a:rPr lang="en-US" sz="1200" b="1" baseline="0">
              <a:latin typeface="Arial" panose="020B0604020202020204" pitchFamily="34" charset="0"/>
              <a:cs typeface="Arial" panose="020B0604020202020204" pitchFamily="34" charset="0"/>
            </a:rPr>
            <a:t>Nyquist Rate</a:t>
          </a:r>
        </a:p>
        <a:p>
          <a:r>
            <a:rPr lang="en-US" sz="1200" b="0" baseline="0">
              <a:latin typeface="Arial" panose="020B0604020202020204" pitchFamily="34" charset="0"/>
              <a:cs typeface="Arial" panose="020B0604020202020204" pitchFamily="34" charset="0"/>
            </a:rPr>
            <a:t>When sampling, it is important to consider your Nyquist Rate of interest and then oversample accordingly to get more resolution. In the example of method 2 above, the Nyquist rate was 1 second and was being oversampled by a factor of 9. In other words, the Nyquist rate is how often you want an averaged temperature reading and the factor of oversampling is how many new values are taken into account for the averaging (N # of samples).   </a:t>
          </a:r>
        </a:p>
        <a:p>
          <a:endParaRPr lang="en-US" sz="1200" baseline="0">
            <a:latin typeface="Arial" panose="020B0604020202020204" pitchFamily="34" charset="0"/>
            <a:cs typeface="Arial" panose="020B0604020202020204" pitchFamily="34" charset="0"/>
          </a:endParaRPr>
        </a:p>
        <a:p>
          <a:r>
            <a:rPr lang="en-US" sz="1200" b="1" baseline="0">
              <a:latin typeface="Arial" panose="020B0604020202020204" pitchFamily="34" charset="0"/>
              <a:cs typeface="Arial" panose="020B0604020202020204" pitchFamily="34" charset="0"/>
            </a:rPr>
            <a:t>Dithering Noise</a:t>
          </a:r>
          <a:endParaRPr lang="en-US" sz="1200" b="0" baseline="0">
            <a:latin typeface="Arial" panose="020B0604020202020204" pitchFamily="34" charset="0"/>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a:solidFill>
                <a:schemeClr val="dk1"/>
              </a:solidFill>
              <a:effectLst/>
              <a:latin typeface="Arial" panose="020B0604020202020204" pitchFamily="34" charset="0"/>
              <a:ea typeface="+mn-ea"/>
              <a:cs typeface="Arial" panose="020B0604020202020204" pitchFamily="34" charset="0"/>
            </a:rPr>
            <a:t>Adding some dithering noise to the input signal if using the averaging method can actually improve the resolution</a:t>
          </a:r>
          <a:r>
            <a:rPr lang="en-US" sz="1200" baseline="0">
              <a:solidFill>
                <a:schemeClr val="dk1"/>
              </a:solidFill>
              <a:effectLst/>
              <a:latin typeface="Arial" panose="020B0604020202020204" pitchFamily="34" charset="0"/>
              <a:ea typeface="+mn-ea"/>
              <a:cs typeface="Arial" panose="020B0604020202020204" pitchFamily="34" charset="0"/>
            </a:rPr>
            <a:t> error</a:t>
          </a:r>
          <a:r>
            <a:rPr lang="en-US" sz="1200">
              <a:solidFill>
                <a:schemeClr val="dk1"/>
              </a:solidFill>
              <a:effectLst/>
              <a:latin typeface="Arial" panose="020B0604020202020204" pitchFamily="34" charset="0"/>
              <a:ea typeface="+mn-ea"/>
              <a:cs typeface="Arial" panose="020B0604020202020204" pitchFamily="34" charset="0"/>
            </a:rPr>
            <a:t> because the dither noise allows oversampling to improve resolution. In many practical applications, a small increase in noise is well worth a substantial increase in measurement resolution. In practice, the dithering noise can often be placed outside the frequency range of interest to the measurement, so that this noise can be subsequently filtered out in the digital domain—resulting in a final measurement, in the frequency range of interest, with both higher resolution and lower noise. </a:t>
          </a:r>
          <a:r>
            <a:rPr lang="en-US" sz="1200" baseline="0">
              <a:solidFill>
                <a:schemeClr val="dk1"/>
              </a:solidFill>
              <a:effectLst/>
              <a:latin typeface="Arial" panose="020B0604020202020204" pitchFamily="34" charset="0"/>
              <a:ea typeface="+mn-ea"/>
              <a:cs typeface="Arial" panose="020B0604020202020204" pitchFamily="34" charset="0"/>
            </a:rPr>
            <a:t> The best method of providing the dithering noise is to not place a capacitor on the resistor divider. Electrical and thermal-electric noise will  in many cases be sufficient to dither the resistor divider voltage for averaging.  The dithering noise must be equal to 4 or more bits of amplitude. With a 10 bit ADC the voltage step size is 0.0032Vdc. The dither noise must be  0.0128Vdc (+/- 6.5mV) or greater to provide the necessary levels to properly increase the ADC bit resolution by averaging. </a:t>
          </a:r>
          <a:endParaRPr lang="en-US" sz="1200">
            <a:effectLst/>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r>
            <a:rPr lang="en-US" sz="1200" b="1" baseline="0">
              <a:latin typeface="Arial" panose="020B0604020202020204" pitchFamily="34" charset="0"/>
              <a:cs typeface="Arial" panose="020B0604020202020204" pitchFamily="34" charset="0"/>
            </a:rPr>
            <a:t>NTC Thermistor Resolution Comparison: </a:t>
          </a:r>
        </a:p>
        <a:p>
          <a:pPr marL="0" marR="0" indent="0" defTabSz="914400" eaLnBrk="1" fontAlgn="auto" latinLnBrk="0" hangingPunct="1">
            <a:lnSpc>
              <a:spcPct val="100000"/>
            </a:lnSpc>
            <a:spcBef>
              <a:spcPts val="0"/>
            </a:spcBef>
            <a:spcAft>
              <a:spcPts val="0"/>
            </a:spcAft>
            <a:buClrTx/>
            <a:buSzTx/>
            <a:buFontTx/>
            <a:buNone/>
            <a:tabLst/>
            <a:defRPr/>
          </a:pPr>
          <a:r>
            <a:rPr lang="en-US" sz="1200">
              <a:solidFill>
                <a:schemeClr val="dk1"/>
              </a:solidFill>
              <a:effectLst/>
              <a:latin typeface="Arial" panose="020B0604020202020204" pitchFamily="34" charset="0"/>
              <a:ea typeface="+mn-ea"/>
              <a:cs typeface="Arial" panose="020B0604020202020204" pitchFamily="34" charset="0"/>
            </a:rPr>
            <a:t>In some instances, an</a:t>
          </a:r>
          <a:r>
            <a:rPr lang="en-US" sz="1200" baseline="0">
              <a:solidFill>
                <a:schemeClr val="dk1"/>
              </a:solidFill>
              <a:effectLst/>
              <a:latin typeface="Arial" panose="020B0604020202020204" pitchFamily="34" charset="0"/>
              <a:ea typeface="+mn-ea"/>
              <a:cs typeface="Arial" panose="020B0604020202020204" pitchFamily="34" charset="0"/>
            </a:rPr>
            <a:t> NTC thermistor may appear to have a superior voltage resolution, but k</a:t>
          </a:r>
          <a:r>
            <a:rPr lang="en-US" sz="1200">
              <a:solidFill>
                <a:schemeClr val="dk1"/>
              </a:solidFill>
              <a:effectLst/>
              <a:latin typeface="Arial" panose="020B0604020202020204" pitchFamily="34" charset="0"/>
              <a:ea typeface="+mn-ea"/>
              <a:cs typeface="Arial" panose="020B0604020202020204" pitchFamily="34" charset="0"/>
            </a:rPr>
            <a:t>eep in mind that an increase in resolution does not</a:t>
          </a:r>
          <a:r>
            <a:rPr lang="en-US" sz="1200" baseline="0">
              <a:solidFill>
                <a:schemeClr val="dk1"/>
              </a:solidFill>
              <a:effectLst/>
              <a:latin typeface="Arial" panose="020B0604020202020204" pitchFamily="34" charset="0"/>
              <a:ea typeface="+mn-ea"/>
              <a:cs typeface="Arial" panose="020B0604020202020204" pitchFamily="34" charset="0"/>
            </a:rPr>
            <a:t> equal an </a:t>
          </a:r>
          <a:r>
            <a:rPr lang="en-US" sz="1200">
              <a:solidFill>
                <a:schemeClr val="dk1"/>
              </a:solidFill>
              <a:effectLst/>
              <a:latin typeface="Arial" panose="020B0604020202020204" pitchFamily="34" charset="0"/>
              <a:ea typeface="+mn-ea"/>
              <a:cs typeface="Arial" panose="020B0604020202020204" pitchFamily="34" charset="0"/>
            </a:rPr>
            <a:t>increase in accuracy. In</a:t>
          </a:r>
          <a:r>
            <a:rPr lang="en-US" sz="1200" baseline="0">
              <a:solidFill>
                <a:schemeClr val="dk1"/>
              </a:solidFill>
              <a:effectLst/>
              <a:latin typeface="Arial" panose="020B0604020202020204" pitchFamily="34" charset="0"/>
              <a:ea typeface="+mn-ea"/>
              <a:cs typeface="Arial" panose="020B0604020202020204" pitchFamily="34" charset="0"/>
            </a:rPr>
            <a:t> other words, an NTC without calibration may seem to have good resolution, but since the resistance tolerance is so large it will carry along a large error - especially at temperature extremes.</a:t>
          </a: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effectLst/>
              <a:latin typeface="Arial" panose="020B0604020202020204" pitchFamily="34" charset="0"/>
              <a:ea typeface="+mn-ea"/>
              <a:cs typeface="Arial" panose="020B0604020202020204" pitchFamily="34" charset="0"/>
            </a:rPr>
            <a:t>For example, let's compare a traditional NTC and our TMP6131DECR at </a:t>
          </a:r>
          <a:r>
            <a:rPr lang="en-US" sz="1200" u="sng" baseline="0">
              <a:solidFill>
                <a:schemeClr val="dk1"/>
              </a:solidFill>
              <a:effectLst/>
              <a:latin typeface="Arial" panose="020B0604020202020204" pitchFamily="34" charset="0"/>
              <a:ea typeface="+mn-ea"/>
              <a:cs typeface="Arial" panose="020B0604020202020204" pitchFamily="34" charset="0"/>
            </a:rPr>
            <a:t>room temperature</a:t>
          </a:r>
          <a:r>
            <a:rPr lang="en-US" sz="1200" u="none" baseline="0">
              <a:solidFill>
                <a:schemeClr val="dk1"/>
              </a:solidFill>
              <a:effectLst/>
              <a:latin typeface="Arial" panose="020B0604020202020204" pitchFamily="34" charset="0"/>
              <a:ea typeface="+mn-ea"/>
              <a:cs typeface="Arial" panose="020B0604020202020204" pitchFamily="34" charset="0"/>
            </a:rPr>
            <a:t>, both without calibration</a:t>
          </a:r>
          <a:r>
            <a:rPr lang="en-US" sz="1200" baseline="0">
              <a:solidFill>
                <a:schemeClr val="dk1"/>
              </a:solidFill>
              <a:effectLst/>
              <a:latin typeface="Arial" panose="020B0604020202020204" pitchFamily="34" charset="0"/>
              <a:ea typeface="+mn-ea"/>
              <a:cs typeface="Arial" panose="020B0604020202020204" pitchFamily="34" charset="0"/>
            </a:rPr>
            <a:t>. We'll use the TMP117 digital temperature sensor as a reference because of its very high accuracy. The most accurate temperature conversion method for both devices is used (Steinhart-hart for NTC, 4th order polynomial for TMP6131DECR). </a:t>
          </a: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effectLst/>
              <a:latin typeface="Arial" panose="020B0604020202020204" pitchFamily="34" charset="0"/>
              <a:ea typeface="+mn-ea"/>
              <a:cs typeface="Arial" panose="020B0604020202020204" pitchFamily="34" charset="0"/>
            </a:rPr>
            <a:t>In step one of the comparison, no averaging will be done. Three, raw consecutive sampled temperatures are shown below with their resolution and error compared to the reference. As shown, although the NTC seems to have a better resolution, the  temperature error between the two devices are actually about the same.</a:t>
          </a: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effectLst/>
              <a:latin typeface="Arial" panose="020B0604020202020204" pitchFamily="34" charset="0"/>
              <a:ea typeface="+mn-ea"/>
              <a:cs typeface="Arial" panose="020B0604020202020204" pitchFamily="34" charset="0"/>
            </a:rPr>
            <a:t>If we were to use </a:t>
          </a:r>
          <a:r>
            <a:rPr lang="en-US" sz="1200" b="1" baseline="0">
              <a:solidFill>
                <a:schemeClr val="dk1"/>
              </a:solidFill>
              <a:effectLst/>
              <a:latin typeface="Arial" panose="020B0604020202020204" pitchFamily="34" charset="0"/>
              <a:ea typeface="+mn-ea"/>
              <a:cs typeface="Arial" panose="020B0604020202020204" pitchFamily="34" charset="0"/>
            </a:rPr>
            <a:t>method 1</a:t>
          </a:r>
          <a:r>
            <a:rPr lang="en-US" sz="1200" baseline="0">
              <a:solidFill>
                <a:schemeClr val="dk1"/>
              </a:solidFill>
              <a:effectLst/>
              <a:latin typeface="Arial" panose="020B0604020202020204" pitchFamily="34" charset="0"/>
              <a:ea typeface="+mn-ea"/>
              <a:cs typeface="Arial" panose="020B0604020202020204" pitchFamily="34" charset="0"/>
            </a:rPr>
            <a:t> to average a sixteen element array, then we would see a much finer resolution for both devices using the same 10-bit ADC. Because the TMP6131DECR is more stable than an NTC, the TI device has a smaller error even though it may seem that the resolution of the NTC would lead to less error... this is not the case.    </a:t>
          </a:r>
        </a:p>
        <a:p>
          <a:pPr marL="0" marR="0" indent="0"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effectLst/>
            <a:latin typeface="Arial" panose="020B0604020202020204" pitchFamily="34" charset="0"/>
            <a:ea typeface="+mn-ea"/>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a:p>
          <a:endParaRPr lang="en-US" sz="1200" baseline="0">
            <a:latin typeface="Arial" panose="020B0604020202020204" pitchFamily="34" charset="0"/>
            <a:cs typeface="Arial" panose="020B0604020202020204" pitchFamily="34" charset="0"/>
          </a:endParaRPr>
        </a:p>
      </xdr:txBody>
    </xdr:sp>
    <xdr:clientData/>
  </xdr:twoCellAnchor>
  <xdr:twoCellAnchor editAs="oneCell">
    <xdr:from>
      <xdr:col>2</xdr:col>
      <xdr:colOff>238219</xdr:colOff>
      <xdr:row>18</xdr:row>
      <xdr:rowOff>109847</xdr:rowOff>
    </xdr:from>
    <xdr:to>
      <xdr:col>8</xdr:col>
      <xdr:colOff>59232</xdr:colOff>
      <xdr:row>24</xdr:row>
      <xdr:rowOff>118011</xdr:rowOff>
    </xdr:to>
    <xdr:pic>
      <xdr:nvPicPr>
        <xdr:cNvPr id="54" name="Picture 53">
          <a:extLst>
            <a:ext uri="{FF2B5EF4-FFF2-40B4-BE49-F238E27FC236}">
              <a16:creationId xmlns:a16="http://schemas.microsoft.com/office/drawing/2014/main" id="{00000000-0008-0000-0B00-000036000000}"/>
            </a:ext>
          </a:extLst>
        </xdr:cNvPr>
        <xdr:cNvPicPr>
          <a:picLocks noChangeAspect="1"/>
        </xdr:cNvPicPr>
      </xdr:nvPicPr>
      <xdr:blipFill>
        <a:blip xmlns:r="http://schemas.openxmlformats.org/officeDocument/2006/relationships" r:embed="rId3"/>
        <a:stretch>
          <a:fillRect/>
        </a:stretch>
      </xdr:blipFill>
      <xdr:spPr>
        <a:xfrm>
          <a:off x="2124169" y="3024497"/>
          <a:ext cx="4154888" cy="979714"/>
        </a:xfrm>
        <a:prstGeom prst="rect">
          <a:avLst/>
        </a:prstGeom>
      </xdr:spPr>
    </xdr:pic>
    <xdr:clientData/>
  </xdr:twoCellAnchor>
  <xdr:twoCellAnchor>
    <xdr:from>
      <xdr:col>9</xdr:col>
      <xdr:colOff>68150</xdr:colOff>
      <xdr:row>19</xdr:row>
      <xdr:rowOff>45774</xdr:rowOff>
    </xdr:from>
    <xdr:to>
      <xdr:col>12</xdr:col>
      <xdr:colOff>309767</xdr:colOff>
      <xdr:row>23</xdr:row>
      <xdr:rowOff>37165</xdr:rowOff>
    </xdr:to>
    <xdr:grpSp>
      <xdr:nvGrpSpPr>
        <xdr:cNvPr id="55" name="Group 54">
          <a:extLst>
            <a:ext uri="{FF2B5EF4-FFF2-40B4-BE49-F238E27FC236}">
              <a16:creationId xmlns:a16="http://schemas.microsoft.com/office/drawing/2014/main" id="{00000000-0008-0000-0B00-000037000000}"/>
            </a:ext>
          </a:extLst>
        </xdr:cNvPr>
        <xdr:cNvGrpSpPr/>
      </xdr:nvGrpSpPr>
      <xdr:grpSpPr>
        <a:xfrm>
          <a:off x="6907100" y="3331899"/>
          <a:ext cx="2422842" cy="677191"/>
          <a:chOff x="0" y="0"/>
          <a:chExt cx="3231432" cy="1030251"/>
        </a:xfrm>
      </xdr:grpSpPr>
      <xdr:pic>
        <xdr:nvPicPr>
          <xdr:cNvPr id="56" name="Picture 55">
            <a:extLst>
              <a:ext uri="{FF2B5EF4-FFF2-40B4-BE49-F238E27FC236}">
                <a16:creationId xmlns:a16="http://schemas.microsoft.com/office/drawing/2014/main" id="{00000000-0008-0000-0B00-000038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a:stretch/>
        </xdr:blipFill>
        <xdr:spPr bwMode="auto">
          <a:xfrm>
            <a:off x="1820525" y="599945"/>
            <a:ext cx="1410907" cy="430306"/>
          </a:xfrm>
          <a:prstGeom prst="rect">
            <a:avLst/>
          </a:prstGeom>
          <a:ln>
            <a:noFill/>
          </a:ln>
          <a:extLst>
            <a:ext uri="{53640926-AAD7-44D8-BBD7-CCE9431645EC}">
              <a14:shadowObscured xmlns:a14="http://schemas.microsoft.com/office/drawing/2010/main"/>
            </a:ext>
          </a:extLst>
        </xdr:spPr>
      </xdr:pic>
      <xdr:pic>
        <xdr:nvPicPr>
          <xdr:cNvPr id="57" name="Picture 56">
            <a:extLst>
              <a:ext uri="{FF2B5EF4-FFF2-40B4-BE49-F238E27FC236}">
                <a16:creationId xmlns:a16="http://schemas.microsoft.com/office/drawing/2014/main" id="{00000000-0008-0000-0B00-00003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093604" y="0"/>
            <a:ext cx="939225" cy="599945"/>
          </a:xfrm>
          <a:prstGeom prst="rect">
            <a:avLst/>
          </a:prstGeom>
        </xdr:spPr>
      </xdr:pic>
      <xdr:pic>
        <xdr:nvPicPr>
          <xdr:cNvPr id="58" name="Picture 57">
            <a:extLst>
              <a:ext uri="{FF2B5EF4-FFF2-40B4-BE49-F238E27FC236}">
                <a16:creationId xmlns:a16="http://schemas.microsoft.com/office/drawing/2014/main" id="{00000000-0008-0000-0B00-00003A000000}"/>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a:stretch/>
        </xdr:blipFill>
        <xdr:spPr bwMode="auto">
          <a:xfrm>
            <a:off x="0" y="124126"/>
            <a:ext cx="1775012" cy="906125"/>
          </a:xfrm>
          <a:prstGeom prst="rect">
            <a:avLst/>
          </a:prstGeom>
          <a:ln>
            <a:noFill/>
          </a:ln>
          <a:extLst>
            <a:ext uri="{53640926-AAD7-44D8-BBD7-CCE9431645EC}">
              <a14:shadowObscured xmlns:a14="http://schemas.microsoft.com/office/drawing/2010/main"/>
            </a:ext>
          </a:extLst>
        </xdr:spPr>
      </xdr:pic>
    </xdr:grpSp>
    <xdr:clientData/>
  </xdr:twoCellAnchor>
  <xdr:twoCellAnchor editAs="oneCell">
    <xdr:from>
      <xdr:col>1</xdr:col>
      <xdr:colOff>195037</xdr:colOff>
      <xdr:row>33</xdr:row>
      <xdr:rowOff>146570</xdr:rowOff>
    </xdr:from>
    <xdr:to>
      <xdr:col>12</xdr:col>
      <xdr:colOff>187997</xdr:colOff>
      <xdr:row>52</xdr:row>
      <xdr:rowOff>13347</xdr:rowOff>
    </xdr:to>
    <xdr:pic>
      <xdr:nvPicPr>
        <xdr:cNvPr id="59" name="Picture 58">
          <a:extLst>
            <a:ext uri="{FF2B5EF4-FFF2-40B4-BE49-F238E27FC236}">
              <a16:creationId xmlns:a16="http://schemas.microsoft.com/office/drawing/2014/main" id="{00000000-0008-0000-0B00-00003B000000}"/>
            </a:ext>
          </a:extLst>
        </xdr:cNvPr>
        <xdr:cNvPicPr>
          <a:picLocks noChangeAspect="1"/>
        </xdr:cNvPicPr>
      </xdr:nvPicPr>
      <xdr:blipFill>
        <a:blip xmlns:r="http://schemas.openxmlformats.org/officeDocument/2006/relationships" r:embed="rId7"/>
        <a:stretch>
          <a:fillRect/>
        </a:stretch>
      </xdr:blipFill>
      <xdr:spPr>
        <a:xfrm>
          <a:off x="1052287" y="5490095"/>
          <a:ext cx="7889185" cy="3476752"/>
        </a:xfrm>
        <a:prstGeom prst="rect">
          <a:avLst/>
        </a:prstGeom>
      </xdr:spPr>
    </xdr:pic>
    <xdr:clientData/>
  </xdr:twoCellAnchor>
  <xdr:twoCellAnchor>
    <xdr:from>
      <xdr:col>1</xdr:col>
      <xdr:colOff>919436</xdr:colOff>
      <xdr:row>70</xdr:row>
      <xdr:rowOff>83344</xdr:rowOff>
    </xdr:from>
    <xdr:to>
      <xdr:col>7</xdr:col>
      <xdr:colOff>505345</xdr:colOff>
      <xdr:row>78</xdr:row>
      <xdr:rowOff>62863</xdr:rowOff>
    </xdr:to>
    <xdr:grpSp>
      <xdr:nvGrpSpPr>
        <xdr:cNvPr id="105" name="Group 104">
          <a:extLst>
            <a:ext uri="{FF2B5EF4-FFF2-40B4-BE49-F238E27FC236}">
              <a16:creationId xmlns:a16="http://schemas.microsoft.com/office/drawing/2014/main" id="{00000000-0008-0000-0B00-000069000000}"/>
            </a:ext>
          </a:extLst>
        </xdr:cNvPr>
        <xdr:cNvGrpSpPr/>
      </xdr:nvGrpSpPr>
      <xdr:grpSpPr>
        <a:xfrm>
          <a:off x="1805261" y="13027819"/>
          <a:ext cx="4215059" cy="1579719"/>
          <a:chOff x="285750" y="12092356"/>
          <a:chExt cx="4098378" cy="1598769"/>
        </a:xfrm>
      </xdr:grpSpPr>
      <xdr:grpSp>
        <xdr:nvGrpSpPr>
          <xdr:cNvPr id="106" name="Group 105">
            <a:extLst>
              <a:ext uri="{FF2B5EF4-FFF2-40B4-BE49-F238E27FC236}">
                <a16:creationId xmlns:a16="http://schemas.microsoft.com/office/drawing/2014/main" id="{00000000-0008-0000-0B00-00006A000000}"/>
              </a:ext>
            </a:extLst>
          </xdr:cNvPr>
          <xdr:cNvGrpSpPr/>
        </xdr:nvGrpSpPr>
        <xdr:grpSpPr>
          <a:xfrm>
            <a:off x="1636235" y="12092356"/>
            <a:ext cx="2747893" cy="1598769"/>
            <a:chOff x="1274285" y="11789019"/>
            <a:chExt cx="2753755" cy="1591442"/>
          </a:xfrm>
        </xdr:grpSpPr>
        <xdr:grpSp>
          <xdr:nvGrpSpPr>
            <xdr:cNvPr id="108" name="Group 107">
              <a:extLst>
                <a:ext uri="{FF2B5EF4-FFF2-40B4-BE49-F238E27FC236}">
                  <a16:creationId xmlns:a16="http://schemas.microsoft.com/office/drawing/2014/main" id="{00000000-0008-0000-0B00-00006C000000}"/>
                </a:ext>
              </a:extLst>
            </xdr:cNvPr>
            <xdr:cNvGrpSpPr/>
          </xdr:nvGrpSpPr>
          <xdr:grpSpPr>
            <a:xfrm>
              <a:off x="1274285" y="11789019"/>
              <a:ext cx="2734813" cy="622789"/>
              <a:chOff x="1277569" y="12010343"/>
              <a:chExt cx="2736834" cy="634916"/>
            </a:xfrm>
          </xdr:grpSpPr>
          <xdr:pic>
            <xdr:nvPicPr>
              <xdr:cNvPr id="115" name="Picture 114">
                <a:extLst>
                  <a:ext uri="{FF2B5EF4-FFF2-40B4-BE49-F238E27FC236}">
                    <a16:creationId xmlns:a16="http://schemas.microsoft.com/office/drawing/2014/main" id="{00000000-0008-0000-0B00-000073000000}"/>
                  </a:ext>
                </a:extLst>
              </xdr:cNvPr>
              <xdr:cNvPicPr>
                <a:picLocks noChangeAspect="1"/>
              </xdr:cNvPicPr>
            </xdr:nvPicPr>
            <xdr:blipFill rotWithShape="1">
              <a:blip xmlns:r="http://schemas.openxmlformats.org/officeDocument/2006/relationships" r:embed="rId8"/>
              <a:srcRect l="32529" t="39347"/>
              <a:stretch/>
            </xdr:blipFill>
            <xdr:spPr>
              <a:xfrm>
                <a:off x="1424708" y="12206376"/>
                <a:ext cx="521243" cy="423699"/>
              </a:xfrm>
              <a:prstGeom prst="rect">
                <a:avLst/>
              </a:prstGeom>
            </xdr:spPr>
          </xdr:pic>
          <xdr:pic>
            <xdr:nvPicPr>
              <xdr:cNvPr id="116" name="Picture 115">
                <a:extLst>
                  <a:ext uri="{FF2B5EF4-FFF2-40B4-BE49-F238E27FC236}">
                    <a16:creationId xmlns:a16="http://schemas.microsoft.com/office/drawing/2014/main" id="{00000000-0008-0000-0B00-000074000000}"/>
                  </a:ext>
                </a:extLst>
              </xdr:cNvPr>
              <xdr:cNvPicPr>
                <a:picLocks noChangeAspect="1"/>
              </xdr:cNvPicPr>
            </xdr:nvPicPr>
            <xdr:blipFill>
              <a:blip xmlns:r="http://schemas.openxmlformats.org/officeDocument/2006/relationships" r:embed="rId9"/>
              <a:stretch>
                <a:fillRect/>
              </a:stretch>
            </xdr:blipFill>
            <xdr:spPr>
              <a:xfrm>
                <a:off x="1277569" y="12017840"/>
                <a:ext cx="817173" cy="164273"/>
              </a:xfrm>
              <a:prstGeom prst="rect">
                <a:avLst/>
              </a:prstGeom>
            </xdr:spPr>
          </xdr:pic>
          <xdr:pic>
            <xdr:nvPicPr>
              <xdr:cNvPr id="117" name="Picture 116">
                <a:extLst>
                  <a:ext uri="{FF2B5EF4-FFF2-40B4-BE49-F238E27FC236}">
                    <a16:creationId xmlns:a16="http://schemas.microsoft.com/office/drawing/2014/main" id="{00000000-0008-0000-0B00-000075000000}"/>
                  </a:ext>
                </a:extLst>
              </xdr:cNvPr>
              <xdr:cNvPicPr>
                <a:picLocks noChangeAspect="1"/>
              </xdr:cNvPicPr>
            </xdr:nvPicPr>
            <xdr:blipFill>
              <a:blip xmlns:r="http://schemas.openxmlformats.org/officeDocument/2006/relationships" r:embed="rId10"/>
              <a:stretch>
                <a:fillRect/>
              </a:stretch>
            </xdr:blipFill>
            <xdr:spPr>
              <a:xfrm>
                <a:off x="3576522" y="12020391"/>
                <a:ext cx="341186" cy="161722"/>
              </a:xfrm>
              <a:prstGeom prst="rect">
                <a:avLst/>
              </a:prstGeom>
            </xdr:spPr>
          </xdr:pic>
          <xdr:pic>
            <xdr:nvPicPr>
              <xdr:cNvPr id="118" name="Picture 117">
                <a:extLst>
                  <a:ext uri="{FF2B5EF4-FFF2-40B4-BE49-F238E27FC236}">
                    <a16:creationId xmlns:a16="http://schemas.microsoft.com/office/drawing/2014/main" id="{00000000-0008-0000-0B00-000076000000}"/>
                  </a:ext>
                </a:extLst>
              </xdr:cNvPr>
              <xdr:cNvPicPr>
                <a:picLocks noChangeAspect="1"/>
              </xdr:cNvPicPr>
            </xdr:nvPicPr>
            <xdr:blipFill>
              <a:blip xmlns:r="http://schemas.openxmlformats.org/officeDocument/2006/relationships" r:embed="rId11"/>
              <a:stretch>
                <a:fillRect/>
              </a:stretch>
            </xdr:blipFill>
            <xdr:spPr>
              <a:xfrm>
                <a:off x="3488601" y="12206376"/>
                <a:ext cx="525802" cy="428525"/>
              </a:xfrm>
              <a:prstGeom prst="rect">
                <a:avLst/>
              </a:prstGeom>
            </xdr:spPr>
          </xdr:pic>
          <xdr:pic>
            <xdr:nvPicPr>
              <xdr:cNvPr id="119" name="Picture 118">
                <a:extLst>
                  <a:ext uri="{FF2B5EF4-FFF2-40B4-BE49-F238E27FC236}">
                    <a16:creationId xmlns:a16="http://schemas.microsoft.com/office/drawing/2014/main" id="{00000000-0008-0000-0B00-000077000000}"/>
                  </a:ext>
                </a:extLst>
              </xdr:cNvPr>
              <xdr:cNvPicPr>
                <a:picLocks noChangeAspect="1"/>
              </xdr:cNvPicPr>
            </xdr:nvPicPr>
            <xdr:blipFill>
              <a:blip xmlns:r="http://schemas.openxmlformats.org/officeDocument/2006/relationships" r:embed="rId12"/>
              <a:stretch>
                <a:fillRect/>
              </a:stretch>
            </xdr:blipFill>
            <xdr:spPr>
              <a:xfrm>
                <a:off x="2444892" y="12206376"/>
                <a:ext cx="524485" cy="438883"/>
              </a:xfrm>
              <a:prstGeom prst="rect">
                <a:avLst/>
              </a:prstGeom>
            </xdr:spPr>
          </xdr:pic>
          <xdr:pic>
            <xdr:nvPicPr>
              <xdr:cNvPr id="120" name="Picture 119">
                <a:extLst>
                  <a:ext uri="{FF2B5EF4-FFF2-40B4-BE49-F238E27FC236}">
                    <a16:creationId xmlns:a16="http://schemas.microsoft.com/office/drawing/2014/main" id="{00000000-0008-0000-0B00-000078000000}"/>
                  </a:ext>
                </a:extLst>
              </xdr:cNvPr>
              <xdr:cNvPicPr>
                <a:picLocks noChangeAspect="1"/>
              </xdr:cNvPicPr>
            </xdr:nvPicPr>
            <xdr:blipFill>
              <a:blip xmlns:r="http://schemas.openxmlformats.org/officeDocument/2006/relationships" r:embed="rId13"/>
              <a:stretch>
                <a:fillRect/>
              </a:stretch>
            </xdr:blipFill>
            <xdr:spPr>
              <a:xfrm>
                <a:off x="2451488" y="12010343"/>
                <a:ext cx="498181" cy="171770"/>
              </a:xfrm>
              <a:prstGeom prst="rect">
                <a:avLst/>
              </a:prstGeom>
            </xdr:spPr>
          </xdr:pic>
        </xdr:grpSp>
        <xdr:pic>
          <xdr:nvPicPr>
            <xdr:cNvPr id="109" name="Picture 108">
              <a:extLst>
                <a:ext uri="{FF2B5EF4-FFF2-40B4-BE49-F238E27FC236}">
                  <a16:creationId xmlns:a16="http://schemas.microsoft.com/office/drawing/2014/main" id="{00000000-0008-0000-0B00-00006D000000}"/>
                </a:ext>
              </a:extLst>
            </xdr:cNvPr>
            <xdr:cNvPicPr>
              <a:picLocks noChangeAspect="1"/>
            </xdr:cNvPicPr>
          </xdr:nvPicPr>
          <xdr:blipFill>
            <a:blip xmlns:r="http://schemas.openxmlformats.org/officeDocument/2006/relationships" r:embed="rId14"/>
            <a:stretch>
              <a:fillRect/>
            </a:stretch>
          </xdr:blipFill>
          <xdr:spPr>
            <a:xfrm>
              <a:off x="1462580" y="12969304"/>
              <a:ext cx="473950" cy="411157"/>
            </a:xfrm>
            <a:prstGeom prst="rect">
              <a:avLst/>
            </a:prstGeom>
          </xdr:spPr>
        </xdr:pic>
        <xdr:pic>
          <xdr:nvPicPr>
            <xdr:cNvPr id="110" name="Picture 109">
              <a:extLst>
                <a:ext uri="{FF2B5EF4-FFF2-40B4-BE49-F238E27FC236}">
                  <a16:creationId xmlns:a16="http://schemas.microsoft.com/office/drawing/2014/main" id="{00000000-0008-0000-0B00-00006E000000}"/>
                </a:ext>
              </a:extLst>
            </xdr:cNvPr>
            <xdr:cNvPicPr>
              <a:picLocks noChangeAspect="1"/>
            </xdr:cNvPicPr>
          </xdr:nvPicPr>
          <xdr:blipFill>
            <a:blip xmlns:r="http://schemas.openxmlformats.org/officeDocument/2006/relationships" r:embed="rId15"/>
            <a:stretch>
              <a:fillRect/>
            </a:stretch>
          </xdr:blipFill>
          <xdr:spPr>
            <a:xfrm>
              <a:off x="1403460" y="12801324"/>
              <a:ext cx="559346" cy="151114"/>
            </a:xfrm>
            <a:prstGeom prst="rect">
              <a:avLst/>
            </a:prstGeom>
          </xdr:spPr>
        </xdr:pic>
        <xdr:pic>
          <xdr:nvPicPr>
            <xdr:cNvPr id="111" name="Picture 110">
              <a:extLst>
                <a:ext uri="{FF2B5EF4-FFF2-40B4-BE49-F238E27FC236}">
                  <a16:creationId xmlns:a16="http://schemas.microsoft.com/office/drawing/2014/main" id="{00000000-0008-0000-0B00-00006F000000}"/>
                </a:ext>
              </a:extLst>
            </xdr:cNvPr>
            <xdr:cNvPicPr>
              <a:picLocks noChangeAspect="1"/>
            </xdr:cNvPicPr>
          </xdr:nvPicPr>
          <xdr:blipFill>
            <a:blip xmlns:r="http://schemas.openxmlformats.org/officeDocument/2006/relationships" r:embed="rId15"/>
            <a:stretch>
              <a:fillRect/>
            </a:stretch>
          </xdr:blipFill>
          <xdr:spPr>
            <a:xfrm>
              <a:off x="3463135" y="12801324"/>
              <a:ext cx="564905" cy="151114"/>
            </a:xfrm>
            <a:prstGeom prst="rect">
              <a:avLst/>
            </a:prstGeom>
          </xdr:spPr>
        </xdr:pic>
        <xdr:pic>
          <xdr:nvPicPr>
            <xdr:cNvPr id="112" name="Picture 111">
              <a:extLst>
                <a:ext uri="{FF2B5EF4-FFF2-40B4-BE49-F238E27FC236}">
                  <a16:creationId xmlns:a16="http://schemas.microsoft.com/office/drawing/2014/main" id="{00000000-0008-0000-0B00-000070000000}"/>
                </a:ext>
              </a:extLst>
            </xdr:cNvPr>
            <xdr:cNvPicPr>
              <a:picLocks noChangeAspect="1"/>
            </xdr:cNvPicPr>
          </xdr:nvPicPr>
          <xdr:blipFill>
            <a:blip xmlns:r="http://schemas.openxmlformats.org/officeDocument/2006/relationships" r:embed="rId16"/>
            <a:stretch>
              <a:fillRect/>
            </a:stretch>
          </xdr:blipFill>
          <xdr:spPr>
            <a:xfrm>
              <a:off x="3535393" y="12964502"/>
              <a:ext cx="479509" cy="399942"/>
            </a:xfrm>
            <a:prstGeom prst="rect">
              <a:avLst/>
            </a:prstGeom>
          </xdr:spPr>
        </xdr:pic>
        <xdr:pic>
          <xdr:nvPicPr>
            <xdr:cNvPr id="113" name="Picture 112">
              <a:extLst>
                <a:ext uri="{FF2B5EF4-FFF2-40B4-BE49-F238E27FC236}">
                  <a16:creationId xmlns:a16="http://schemas.microsoft.com/office/drawing/2014/main" id="{00000000-0008-0000-0B00-000071000000}"/>
                </a:ext>
              </a:extLst>
            </xdr:cNvPr>
            <xdr:cNvPicPr>
              <a:picLocks noChangeAspect="1"/>
            </xdr:cNvPicPr>
          </xdr:nvPicPr>
          <xdr:blipFill>
            <a:blip xmlns:r="http://schemas.openxmlformats.org/officeDocument/2006/relationships" r:embed="rId17"/>
            <a:stretch>
              <a:fillRect/>
            </a:stretch>
          </xdr:blipFill>
          <xdr:spPr>
            <a:xfrm>
              <a:off x="1429737" y="12514864"/>
              <a:ext cx="534385" cy="149441"/>
            </a:xfrm>
            <a:prstGeom prst="rect">
              <a:avLst/>
            </a:prstGeom>
          </xdr:spPr>
        </xdr:pic>
        <xdr:pic>
          <xdr:nvPicPr>
            <xdr:cNvPr id="114" name="Picture 113">
              <a:extLst>
                <a:ext uri="{FF2B5EF4-FFF2-40B4-BE49-F238E27FC236}">
                  <a16:creationId xmlns:a16="http://schemas.microsoft.com/office/drawing/2014/main" id="{00000000-0008-0000-0B00-000072000000}"/>
                </a:ext>
              </a:extLst>
            </xdr:cNvPr>
            <xdr:cNvPicPr>
              <a:picLocks noChangeAspect="1"/>
            </xdr:cNvPicPr>
          </xdr:nvPicPr>
          <xdr:blipFill>
            <a:blip xmlns:r="http://schemas.openxmlformats.org/officeDocument/2006/relationships" r:embed="rId18"/>
            <a:stretch>
              <a:fillRect/>
            </a:stretch>
          </xdr:blipFill>
          <xdr:spPr>
            <a:xfrm>
              <a:off x="3515687" y="12514864"/>
              <a:ext cx="499216" cy="147557"/>
            </a:xfrm>
            <a:prstGeom prst="rect">
              <a:avLst/>
            </a:prstGeom>
          </xdr:spPr>
        </xdr:pic>
      </xdr:grpSp>
      <xdr:pic>
        <xdr:nvPicPr>
          <xdr:cNvPr id="107" name="Picture 106">
            <a:extLst>
              <a:ext uri="{FF2B5EF4-FFF2-40B4-BE49-F238E27FC236}">
                <a16:creationId xmlns:a16="http://schemas.microsoft.com/office/drawing/2014/main" id="{00000000-0008-0000-0B00-00006B000000}"/>
              </a:ext>
            </a:extLst>
          </xdr:cNvPr>
          <xdr:cNvPicPr>
            <a:picLocks noChangeAspect="1"/>
          </xdr:cNvPicPr>
        </xdr:nvPicPr>
        <xdr:blipFill>
          <a:blip xmlns:r="http://schemas.openxmlformats.org/officeDocument/2006/relationships" r:embed="rId19"/>
          <a:stretch>
            <a:fillRect/>
          </a:stretch>
        </xdr:blipFill>
        <xdr:spPr>
          <a:xfrm>
            <a:off x="285750" y="12836340"/>
            <a:ext cx="1450608" cy="127186"/>
          </a:xfrm>
          <a:prstGeom prst="rect">
            <a:avLst/>
          </a:prstGeom>
        </xdr:spPr>
      </xdr:pic>
    </xdr:grpSp>
    <xdr:clientData/>
  </xdr:twoCellAnchor>
  <xdr:twoCellAnchor>
    <xdr:from>
      <xdr:col>1</xdr:col>
      <xdr:colOff>857250</xdr:colOff>
      <xdr:row>81</xdr:row>
      <xdr:rowOff>105507</xdr:rowOff>
    </xdr:from>
    <xdr:to>
      <xdr:col>7</xdr:col>
      <xdr:colOff>469626</xdr:colOff>
      <xdr:row>89</xdr:row>
      <xdr:rowOff>84257</xdr:rowOff>
    </xdr:to>
    <xdr:grpSp>
      <xdr:nvGrpSpPr>
        <xdr:cNvPr id="121" name="Group 120">
          <a:extLst>
            <a:ext uri="{FF2B5EF4-FFF2-40B4-BE49-F238E27FC236}">
              <a16:creationId xmlns:a16="http://schemas.microsoft.com/office/drawing/2014/main" id="{00000000-0008-0000-0B00-000079000000}"/>
            </a:ext>
          </a:extLst>
        </xdr:cNvPr>
        <xdr:cNvGrpSpPr/>
      </xdr:nvGrpSpPr>
      <xdr:grpSpPr>
        <a:xfrm>
          <a:off x="1743075" y="15250257"/>
          <a:ext cx="4241526" cy="1578950"/>
          <a:chOff x="259283" y="14579113"/>
          <a:chExt cx="4124845" cy="1598000"/>
        </a:xfrm>
      </xdr:grpSpPr>
      <xdr:grpSp>
        <xdr:nvGrpSpPr>
          <xdr:cNvPr id="122" name="Group 121">
            <a:extLst>
              <a:ext uri="{FF2B5EF4-FFF2-40B4-BE49-F238E27FC236}">
                <a16:creationId xmlns:a16="http://schemas.microsoft.com/office/drawing/2014/main" id="{00000000-0008-0000-0B00-00007A000000}"/>
              </a:ext>
            </a:extLst>
          </xdr:cNvPr>
          <xdr:cNvGrpSpPr/>
        </xdr:nvGrpSpPr>
        <xdr:grpSpPr>
          <a:xfrm>
            <a:off x="1621358" y="14579113"/>
            <a:ext cx="2762770" cy="1598000"/>
            <a:chOff x="1274285" y="14579113"/>
            <a:chExt cx="2762770" cy="1598000"/>
          </a:xfrm>
        </xdr:grpSpPr>
        <xdr:pic>
          <xdr:nvPicPr>
            <xdr:cNvPr id="124" name="Picture 123">
              <a:extLst>
                <a:ext uri="{FF2B5EF4-FFF2-40B4-BE49-F238E27FC236}">
                  <a16:creationId xmlns:a16="http://schemas.microsoft.com/office/drawing/2014/main" id="{00000000-0008-0000-0B00-00007C000000}"/>
                </a:ext>
              </a:extLst>
            </xdr:cNvPr>
            <xdr:cNvPicPr>
              <a:picLocks noChangeAspect="1"/>
            </xdr:cNvPicPr>
          </xdr:nvPicPr>
          <xdr:blipFill>
            <a:blip xmlns:r="http://schemas.openxmlformats.org/officeDocument/2006/relationships" r:embed="rId9"/>
            <a:stretch>
              <a:fillRect/>
            </a:stretch>
          </xdr:blipFill>
          <xdr:spPr>
            <a:xfrm>
              <a:off x="1274285" y="14586467"/>
              <a:ext cx="816570" cy="161868"/>
            </a:xfrm>
            <a:prstGeom prst="rect">
              <a:avLst/>
            </a:prstGeom>
          </xdr:spPr>
        </xdr:pic>
        <xdr:pic>
          <xdr:nvPicPr>
            <xdr:cNvPr id="125" name="Picture 124">
              <a:extLst>
                <a:ext uri="{FF2B5EF4-FFF2-40B4-BE49-F238E27FC236}">
                  <a16:creationId xmlns:a16="http://schemas.microsoft.com/office/drawing/2014/main" id="{00000000-0008-0000-0B00-00007D000000}"/>
                </a:ext>
              </a:extLst>
            </xdr:cNvPr>
            <xdr:cNvPicPr>
              <a:picLocks noChangeAspect="1"/>
            </xdr:cNvPicPr>
          </xdr:nvPicPr>
          <xdr:blipFill>
            <a:blip xmlns:r="http://schemas.openxmlformats.org/officeDocument/2006/relationships" r:embed="rId10"/>
            <a:stretch>
              <a:fillRect/>
            </a:stretch>
          </xdr:blipFill>
          <xdr:spPr>
            <a:xfrm>
              <a:off x="3568609" y="14588969"/>
              <a:ext cx="340934" cy="159366"/>
            </a:xfrm>
            <a:prstGeom prst="rect">
              <a:avLst/>
            </a:prstGeom>
          </xdr:spPr>
        </xdr:pic>
        <xdr:pic>
          <xdr:nvPicPr>
            <xdr:cNvPr id="126" name="Picture 125">
              <a:extLst>
                <a:ext uri="{FF2B5EF4-FFF2-40B4-BE49-F238E27FC236}">
                  <a16:creationId xmlns:a16="http://schemas.microsoft.com/office/drawing/2014/main" id="{00000000-0008-0000-0B00-00007E000000}"/>
                </a:ext>
              </a:extLst>
            </xdr:cNvPr>
            <xdr:cNvPicPr>
              <a:picLocks noChangeAspect="1"/>
            </xdr:cNvPicPr>
          </xdr:nvPicPr>
          <xdr:blipFill>
            <a:blip xmlns:r="http://schemas.openxmlformats.org/officeDocument/2006/relationships" r:embed="rId12"/>
            <a:stretch>
              <a:fillRect/>
            </a:stretch>
          </xdr:blipFill>
          <xdr:spPr>
            <a:xfrm>
              <a:off x="2437815" y="14772135"/>
              <a:ext cx="524098" cy="431965"/>
            </a:xfrm>
            <a:prstGeom prst="rect">
              <a:avLst/>
            </a:prstGeom>
          </xdr:spPr>
        </xdr:pic>
        <xdr:pic>
          <xdr:nvPicPr>
            <xdr:cNvPr id="127" name="Picture 126">
              <a:extLst>
                <a:ext uri="{FF2B5EF4-FFF2-40B4-BE49-F238E27FC236}">
                  <a16:creationId xmlns:a16="http://schemas.microsoft.com/office/drawing/2014/main" id="{00000000-0008-0000-0B00-00007F000000}"/>
                </a:ext>
              </a:extLst>
            </xdr:cNvPr>
            <xdr:cNvPicPr>
              <a:picLocks noChangeAspect="1"/>
            </xdr:cNvPicPr>
          </xdr:nvPicPr>
          <xdr:blipFill>
            <a:blip xmlns:r="http://schemas.openxmlformats.org/officeDocument/2006/relationships" r:embed="rId13"/>
            <a:stretch>
              <a:fillRect/>
            </a:stretch>
          </xdr:blipFill>
          <xdr:spPr>
            <a:xfrm>
              <a:off x="2444406" y="14579113"/>
              <a:ext cx="497813" cy="169222"/>
            </a:xfrm>
            <a:prstGeom prst="rect">
              <a:avLst/>
            </a:prstGeom>
          </xdr:spPr>
        </xdr:pic>
        <xdr:pic>
          <xdr:nvPicPr>
            <xdr:cNvPr id="128" name="Picture 127">
              <a:extLst>
                <a:ext uri="{FF2B5EF4-FFF2-40B4-BE49-F238E27FC236}">
                  <a16:creationId xmlns:a16="http://schemas.microsoft.com/office/drawing/2014/main" id="{00000000-0008-0000-0B00-000080000000}"/>
                </a:ext>
              </a:extLst>
            </xdr:cNvPr>
            <xdr:cNvPicPr>
              <a:picLocks noChangeAspect="1"/>
            </xdr:cNvPicPr>
          </xdr:nvPicPr>
          <xdr:blipFill>
            <a:blip xmlns:r="http://schemas.openxmlformats.org/officeDocument/2006/relationships" r:embed="rId15"/>
            <a:stretch>
              <a:fillRect/>
            </a:stretch>
          </xdr:blipFill>
          <xdr:spPr>
            <a:xfrm>
              <a:off x="1403460" y="15595814"/>
              <a:ext cx="559346" cy="151847"/>
            </a:xfrm>
            <a:prstGeom prst="rect">
              <a:avLst/>
            </a:prstGeom>
          </xdr:spPr>
        </xdr:pic>
        <xdr:pic>
          <xdr:nvPicPr>
            <xdr:cNvPr id="129" name="Picture 128">
              <a:extLst>
                <a:ext uri="{FF2B5EF4-FFF2-40B4-BE49-F238E27FC236}">
                  <a16:creationId xmlns:a16="http://schemas.microsoft.com/office/drawing/2014/main" id="{00000000-0008-0000-0B00-000081000000}"/>
                </a:ext>
              </a:extLst>
            </xdr:cNvPr>
            <xdr:cNvPicPr>
              <a:picLocks noChangeAspect="1"/>
            </xdr:cNvPicPr>
          </xdr:nvPicPr>
          <xdr:blipFill>
            <a:blip xmlns:r="http://schemas.openxmlformats.org/officeDocument/2006/relationships" r:embed="rId15"/>
            <a:stretch>
              <a:fillRect/>
            </a:stretch>
          </xdr:blipFill>
          <xdr:spPr>
            <a:xfrm>
              <a:off x="3460204" y="15595814"/>
              <a:ext cx="561974" cy="151847"/>
            </a:xfrm>
            <a:prstGeom prst="rect">
              <a:avLst/>
            </a:prstGeom>
          </xdr:spPr>
        </xdr:pic>
        <xdr:pic>
          <xdr:nvPicPr>
            <xdr:cNvPr id="130" name="Picture 129">
              <a:extLst>
                <a:ext uri="{FF2B5EF4-FFF2-40B4-BE49-F238E27FC236}">
                  <a16:creationId xmlns:a16="http://schemas.microsoft.com/office/drawing/2014/main" id="{00000000-0008-0000-0B00-000082000000}"/>
                </a:ext>
              </a:extLst>
            </xdr:cNvPr>
            <xdr:cNvPicPr>
              <a:picLocks noChangeAspect="1"/>
            </xdr:cNvPicPr>
          </xdr:nvPicPr>
          <xdr:blipFill>
            <a:blip xmlns:r="http://schemas.openxmlformats.org/officeDocument/2006/relationships" r:embed="rId20"/>
            <a:stretch>
              <a:fillRect/>
            </a:stretch>
          </xdr:blipFill>
          <xdr:spPr>
            <a:xfrm>
              <a:off x="1436076" y="14764483"/>
              <a:ext cx="522929" cy="433753"/>
            </a:xfrm>
            <a:prstGeom prst="rect">
              <a:avLst/>
            </a:prstGeom>
          </xdr:spPr>
        </xdr:pic>
        <xdr:pic>
          <xdr:nvPicPr>
            <xdr:cNvPr id="131" name="Picture 130">
              <a:extLst>
                <a:ext uri="{FF2B5EF4-FFF2-40B4-BE49-F238E27FC236}">
                  <a16:creationId xmlns:a16="http://schemas.microsoft.com/office/drawing/2014/main" id="{00000000-0008-0000-0B00-000083000000}"/>
                </a:ext>
              </a:extLst>
            </xdr:cNvPr>
            <xdr:cNvPicPr>
              <a:picLocks noChangeAspect="1"/>
            </xdr:cNvPicPr>
          </xdr:nvPicPr>
          <xdr:blipFill>
            <a:blip xmlns:r="http://schemas.openxmlformats.org/officeDocument/2006/relationships" r:embed="rId21"/>
            <a:stretch>
              <a:fillRect/>
            </a:stretch>
          </xdr:blipFill>
          <xdr:spPr>
            <a:xfrm>
              <a:off x="3506665" y="14771811"/>
              <a:ext cx="527638" cy="411771"/>
            </a:xfrm>
            <a:prstGeom prst="rect">
              <a:avLst/>
            </a:prstGeom>
          </xdr:spPr>
        </xdr:pic>
        <xdr:pic>
          <xdr:nvPicPr>
            <xdr:cNvPr id="132" name="Picture 131">
              <a:extLst>
                <a:ext uri="{FF2B5EF4-FFF2-40B4-BE49-F238E27FC236}">
                  <a16:creationId xmlns:a16="http://schemas.microsoft.com/office/drawing/2014/main" id="{00000000-0008-0000-0B00-000084000000}"/>
                </a:ext>
              </a:extLst>
            </xdr:cNvPr>
            <xdr:cNvPicPr>
              <a:picLocks noChangeAspect="1"/>
            </xdr:cNvPicPr>
          </xdr:nvPicPr>
          <xdr:blipFill>
            <a:blip xmlns:r="http://schemas.openxmlformats.org/officeDocument/2006/relationships" r:embed="rId22"/>
            <a:stretch>
              <a:fillRect/>
            </a:stretch>
          </xdr:blipFill>
          <xdr:spPr>
            <a:xfrm>
              <a:off x="1487368" y="15765340"/>
              <a:ext cx="472896" cy="411773"/>
            </a:xfrm>
            <a:prstGeom prst="rect">
              <a:avLst/>
            </a:prstGeom>
          </xdr:spPr>
        </xdr:pic>
        <xdr:pic>
          <xdr:nvPicPr>
            <xdr:cNvPr id="133" name="Picture 132">
              <a:extLst>
                <a:ext uri="{FF2B5EF4-FFF2-40B4-BE49-F238E27FC236}">
                  <a16:creationId xmlns:a16="http://schemas.microsoft.com/office/drawing/2014/main" id="{00000000-0008-0000-0B00-000085000000}"/>
                </a:ext>
              </a:extLst>
            </xdr:cNvPr>
            <xdr:cNvPicPr>
              <a:picLocks noChangeAspect="1"/>
            </xdr:cNvPicPr>
          </xdr:nvPicPr>
          <xdr:blipFill>
            <a:blip xmlns:r="http://schemas.openxmlformats.org/officeDocument/2006/relationships" r:embed="rId23"/>
            <a:stretch>
              <a:fillRect/>
            </a:stretch>
          </xdr:blipFill>
          <xdr:spPr>
            <a:xfrm>
              <a:off x="3550628" y="15758013"/>
              <a:ext cx="473319" cy="412773"/>
            </a:xfrm>
            <a:prstGeom prst="rect">
              <a:avLst/>
            </a:prstGeom>
          </xdr:spPr>
        </xdr:pic>
        <xdr:pic>
          <xdr:nvPicPr>
            <xdr:cNvPr id="134" name="Picture 133">
              <a:extLst>
                <a:ext uri="{FF2B5EF4-FFF2-40B4-BE49-F238E27FC236}">
                  <a16:creationId xmlns:a16="http://schemas.microsoft.com/office/drawing/2014/main" id="{00000000-0008-0000-0B00-000086000000}"/>
                </a:ext>
              </a:extLst>
            </xdr:cNvPr>
            <xdr:cNvPicPr>
              <a:picLocks noChangeAspect="1"/>
            </xdr:cNvPicPr>
          </xdr:nvPicPr>
          <xdr:blipFill>
            <a:blip xmlns:r="http://schemas.openxmlformats.org/officeDocument/2006/relationships" r:embed="rId24"/>
            <a:stretch>
              <a:fillRect/>
            </a:stretch>
          </xdr:blipFill>
          <xdr:spPr>
            <a:xfrm>
              <a:off x="1399442" y="15301546"/>
              <a:ext cx="574971" cy="154598"/>
            </a:xfrm>
            <a:prstGeom prst="rect">
              <a:avLst/>
            </a:prstGeom>
          </xdr:spPr>
        </xdr:pic>
        <xdr:pic>
          <xdr:nvPicPr>
            <xdr:cNvPr id="135" name="Picture 134">
              <a:extLst>
                <a:ext uri="{FF2B5EF4-FFF2-40B4-BE49-F238E27FC236}">
                  <a16:creationId xmlns:a16="http://schemas.microsoft.com/office/drawing/2014/main" id="{00000000-0008-0000-0B00-000087000000}"/>
                </a:ext>
              </a:extLst>
            </xdr:cNvPr>
            <xdr:cNvPicPr>
              <a:picLocks noChangeAspect="1"/>
            </xdr:cNvPicPr>
          </xdr:nvPicPr>
          <xdr:blipFill>
            <a:blip xmlns:r="http://schemas.openxmlformats.org/officeDocument/2006/relationships" r:embed="rId25"/>
            <a:stretch>
              <a:fillRect/>
            </a:stretch>
          </xdr:blipFill>
          <xdr:spPr>
            <a:xfrm>
              <a:off x="3527963" y="15294219"/>
              <a:ext cx="509092" cy="132618"/>
            </a:xfrm>
            <a:prstGeom prst="rect">
              <a:avLst/>
            </a:prstGeom>
          </xdr:spPr>
        </xdr:pic>
      </xdr:grpSp>
      <xdr:pic>
        <xdr:nvPicPr>
          <xdr:cNvPr id="123" name="Picture 122">
            <a:extLst>
              <a:ext uri="{FF2B5EF4-FFF2-40B4-BE49-F238E27FC236}">
                <a16:creationId xmlns:a16="http://schemas.microsoft.com/office/drawing/2014/main" id="{00000000-0008-0000-0B00-00007B000000}"/>
              </a:ext>
            </a:extLst>
          </xdr:cNvPr>
          <xdr:cNvPicPr>
            <a:picLocks noChangeAspect="1"/>
          </xdr:cNvPicPr>
        </xdr:nvPicPr>
        <xdr:blipFill>
          <a:blip xmlns:r="http://schemas.openxmlformats.org/officeDocument/2006/relationships" r:embed="rId19"/>
          <a:stretch>
            <a:fillRect/>
          </a:stretch>
        </xdr:blipFill>
        <xdr:spPr>
          <a:xfrm>
            <a:off x="259283" y="15312538"/>
            <a:ext cx="1450608" cy="127186"/>
          </a:xfrm>
          <a:prstGeom prst="rect">
            <a:avLst/>
          </a:prstGeom>
        </xdr:spPr>
      </xdr:pic>
    </xdr:grpSp>
    <xdr:clientData/>
  </xdr:twoCellAnchor>
  <xdr:oneCellAnchor>
    <xdr:from>
      <xdr:col>13</xdr:col>
      <xdr:colOff>95250</xdr:colOff>
      <xdr:row>0</xdr:row>
      <xdr:rowOff>142875</xdr:rowOff>
    </xdr:from>
    <xdr:ext cx="4179670" cy="264560"/>
    <xdr:sp macro="" textlink="">
      <xdr:nvSpPr>
        <xdr:cNvPr id="44" name="TextBox 43">
          <a:hlinkClick xmlns:r="http://schemas.openxmlformats.org/officeDocument/2006/relationships" r:id="rId26"/>
          <a:extLst>
            <a:ext uri="{FF2B5EF4-FFF2-40B4-BE49-F238E27FC236}">
              <a16:creationId xmlns:a16="http://schemas.microsoft.com/office/drawing/2014/main" id="{00000000-0008-0000-0B00-00002C000000}"/>
            </a:ext>
          </a:extLst>
        </xdr:cNvPr>
        <xdr:cNvSpPr txBox="1"/>
      </xdr:nvSpPr>
      <xdr:spPr>
        <a:xfrm>
          <a:off x="9467850" y="142875"/>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0</xdr:col>
      <xdr:colOff>85725</xdr:colOff>
      <xdr:row>0</xdr:row>
      <xdr:rowOff>152399</xdr:rowOff>
    </xdr:from>
    <xdr:to>
      <xdr:col>1</xdr:col>
      <xdr:colOff>140494</xdr:colOff>
      <xdr:row>2</xdr:row>
      <xdr:rowOff>93344</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75949" cy="276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4357691"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Firmware based Low pass filter</a:t>
          </a:r>
        </a:p>
      </xdr:txBody>
    </xdr:sp>
    <xdr:clientData/>
  </xdr:oneCellAnchor>
  <xdr:twoCellAnchor>
    <xdr:from>
      <xdr:col>3</xdr:col>
      <xdr:colOff>1184909</xdr:colOff>
      <xdr:row>58</xdr:row>
      <xdr:rowOff>137160</xdr:rowOff>
    </xdr:from>
    <xdr:to>
      <xdr:col>13</xdr:col>
      <xdr:colOff>704849</xdr:colOff>
      <xdr:row>85</xdr:row>
      <xdr:rowOff>76200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180975</xdr:colOff>
      <xdr:row>86</xdr:row>
      <xdr:rowOff>133350</xdr:rowOff>
    </xdr:from>
    <xdr:to>
      <xdr:col>9</xdr:col>
      <xdr:colOff>335756</xdr:colOff>
      <xdr:row>93</xdr:row>
      <xdr:rowOff>19048</xdr:rowOff>
    </xdr:to>
    <xdr:sp macro="" textlink="">
      <xdr:nvSpPr>
        <xdr:cNvPr id="5" name="TextBox 4">
          <a:extLst>
            <a:ext uri="{FF2B5EF4-FFF2-40B4-BE49-F238E27FC236}">
              <a16:creationId xmlns:a16="http://schemas.microsoft.com/office/drawing/2014/main" id="{00000000-0008-0000-0C00-000005000000}"/>
            </a:ext>
          </a:extLst>
        </xdr:cNvPr>
        <xdr:cNvSpPr txBox="1"/>
      </xdr:nvSpPr>
      <xdr:spPr>
        <a:xfrm>
          <a:off x="8829675" y="14649450"/>
          <a:ext cx="3134201" cy="1059178"/>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dk1"/>
              </a:solidFill>
              <a:effectLst/>
              <a:latin typeface="+mn-lt"/>
              <a:ea typeface="+mn-ea"/>
              <a:cs typeface="+mn-cs"/>
            </a:rPr>
            <a:t>Examples of the C code are</a:t>
          </a:r>
          <a:r>
            <a:rPr lang="en-US" b="1"/>
            <a:t> below</a:t>
          </a:r>
          <a:r>
            <a:rPr lang="en-US" b="1" baseline="0"/>
            <a:t> </a:t>
          </a:r>
        </a:p>
        <a:p>
          <a:pPr algn="ctr"/>
          <a:r>
            <a:rPr lang="en-US" b="1" baseline="0"/>
            <a:t>These examples are for reference only </a:t>
          </a:r>
        </a:p>
        <a:p>
          <a:pPr algn="ctr"/>
          <a:endParaRPr lang="en-US" b="0" baseline="0"/>
        </a:p>
        <a:p>
          <a:pPr algn="ctr"/>
          <a:r>
            <a:rPr lang="en-US" b="1" i="1" baseline="0"/>
            <a:t>TI does not warranty the use of this code, it's accuracy or reliability</a:t>
          </a:r>
        </a:p>
      </xdr:txBody>
    </xdr:sp>
    <xdr:clientData/>
  </xdr:twoCellAnchor>
  <xdr:oneCellAnchor>
    <xdr:from>
      <xdr:col>10</xdr:col>
      <xdr:colOff>85725</xdr:colOff>
      <xdr:row>0</xdr:row>
      <xdr:rowOff>152400</xdr:rowOff>
    </xdr:from>
    <xdr:ext cx="4179670" cy="264560"/>
    <xdr:sp macro="" textlink="">
      <xdr:nvSpPr>
        <xdr:cNvPr id="6" name="TextBox 5">
          <a:hlinkClick xmlns:r="http://schemas.openxmlformats.org/officeDocument/2006/relationships" r:id="rId4"/>
          <a:extLst>
            <a:ext uri="{FF2B5EF4-FFF2-40B4-BE49-F238E27FC236}">
              <a16:creationId xmlns:a16="http://schemas.microsoft.com/office/drawing/2014/main" id="{00000000-0008-0000-0C00-000006000000}"/>
            </a:ext>
          </a:extLst>
        </xdr:cNvPr>
        <xdr:cNvSpPr txBox="1"/>
      </xdr:nvSpPr>
      <xdr:spPr>
        <a:xfrm>
          <a:off x="13016865" y="15240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twoCellAnchor>
    <xdr:from>
      <xdr:col>0</xdr:col>
      <xdr:colOff>190500</xdr:colOff>
      <xdr:row>5</xdr:row>
      <xdr:rowOff>152401</xdr:rowOff>
    </xdr:from>
    <xdr:to>
      <xdr:col>16</xdr:col>
      <xdr:colOff>57150</xdr:colOff>
      <xdr:row>42</xdr:row>
      <xdr:rowOff>104775</xdr:rowOff>
    </xdr:to>
    <mc:AlternateContent xmlns:mc="http://schemas.openxmlformats.org/markup-compatibility/2006">
      <mc:Choice xmlns:a14="http://schemas.microsoft.com/office/drawing/2010/main" Requires="a14">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190500" y="1000126"/>
              <a:ext cx="17306925" cy="63245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the equation necessary to implement a firmware-based low pass filter with our linear thermistors to filter out noise.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Benefits:</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Noise can cause erroneous temperature measurements which is why many designers choose to add an RC filter in hardware to filter out noise coming from the system. But instead of filtering in hardware, you can use this method to eliminate the need for the extra resistor and capacitor, enabling greater board and cost savings. Implementing your filter in software gives you more control over the filter's response by changing the alpha value in real time. Additionally, having the ability to set the filtered temperature minimizes your start up time.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To demonstrate how this works, we have collected 180 temperature measurements as sample data. Feel free to substitute this data with your own in cells B62 to B241.</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Alpha:</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controls how much noise is filtered out. By changing the alpha value in cell B53, you can alter the filter's response and the equation will calculate new filtered temperature values. With an alpha value of 0.99 most of the noise will be passed through. On the other hand, an alpha value of 0.1 eliminates a lot of noise. Try inputting different alpha values between 0.001 and 1 to see how the filter response changes.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Measured 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is stores your calculated, pre-filtered temperature reading. If you would like to oversample your temperature readings (as seen in the Averaging tab of this tool) and do this low pass filtering technique in software, we recommend doing the oversampling first and then the filtering. The reason for this is because you need a little bit of noise to oversample, and if you were to filter out the noise first then your oversampling won't work. </a:t>
              </a:r>
              <a:endPar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Filtered 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stores the resulting temperature after having passed the measured temperature value through the filter. As seen in the equation below, the new filtered temperature is a function of the previous filtered temperature. To minimize the start up time it takes to settle at the actual temperature, we recommend initializing filtered temp to the first temperature value measured (you can edit this in cell B53). Initializing this variable at 0 still works, it would just take a little longer to settle to the correct temperature initially. Try it out!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Low pass filter equation:</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𝑌</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𝑛</m:t>
                      </m:r>
                    </m:e>
                  </m:d>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 </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1−</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Cambria Math" panose="02040503050406030204" pitchFamily="18" charset="0"/>
                          <a:cs typeface="+mn-cs"/>
                        </a:rPr>
                        <m:t>𝛼</m:t>
                      </m:r>
                    </m:e>
                  </m:d>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𝑌</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𝑛</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−1</m:t>
                      </m:r>
                    </m:e>
                  </m:d>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mn-ea"/>
                          <a:cs typeface="+mn-cs"/>
                        </a:rPr>
                        <m:t>𝛼</m:t>
                      </m:r>
                      <m:r>
                        <a:rPr lang="en-US" sz="1200" b="0" i="1" baseline="0">
                          <a:solidFill>
                            <a:schemeClr val="dk1"/>
                          </a:solidFill>
                          <a:effectLst/>
                          <a:latin typeface="Cambria Math" panose="02040503050406030204" pitchFamily="18" charset="0"/>
                          <a:ea typeface="+mn-ea"/>
                          <a:cs typeface="+mn-cs"/>
                        </a:rPr>
                        <m:t>∗</m:t>
                      </m:r>
                      <m:r>
                        <a:rPr lang="en-US" sz="1200" b="0" i="1" baseline="0">
                          <a:solidFill>
                            <a:schemeClr val="dk1"/>
                          </a:solidFill>
                          <a:effectLst/>
                          <a:latin typeface="Cambria Math" panose="02040503050406030204" pitchFamily="18" charset="0"/>
                          <a:ea typeface="+mn-ea"/>
                          <a:cs typeface="+mn-cs"/>
                        </a:rPr>
                        <m:t>𝑋</m:t>
                      </m:r>
                      <m:d>
                        <m:dPr>
                          <m:ctrlPr>
                            <a:rPr lang="en-US" sz="1200" b="0" i="1" baseline="0">
                              <a:solidFill>
                                <a:schemeClr val="dk1"/>
                              </a:solidFill>
                              <a:effectLst/>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mn-ea"/>
                              <a:cs typeface="+mn-cs"/>
                            </a:rPr>
                            <m:t>𝑛</m:t>
                          </m:r>
                        </m:e>
                      </m:d>
                    </m:e>
                  </m:d>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 = Filtered_Temp</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l-GR"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α =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Alpha</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Simplifying...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X = Meas_Temp</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14:m>
                <m:oMath xmlns:m="http://schemas.openxmlformats.org/officeDocument/2006/math">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𝑌</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𝑛</m:t>
                      </m:r>
                    </m:e>
                  </m:d>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𝑌</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𝑛</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−1</m:t>
                      </m:r>
                    </m:e>
                  </m:d>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𝛼</m:t>
                      </m:r>
                      <m: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t>∗</m:t>
                      </m:r>
                      <m:d>
                        <m:dPr>
                          <m:ctrlPr>
                            <a:rPr kumimoji="0" lang="en-US" sz="1200" b="0" i="1" u="none" strike="noStrike" kern="0" cap="none" spc="0" normalizeH="0" baseline="0" noProof="0">
                              <a:ln>
                                <a:noFill/>
                              </a:ln>
                              <a:solidFill>
                                <a:prstClr val="black"/>
                              </a:solidFill>
                              <a:effectLst/>
                              <a:uLnTx/>
                              <a:uFillTx/>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mn-ea"/>
                              <a:cs typeface="+mn-cs"/>
                            </a:rPr>
                            <m:t>𝑌</m:t>
                          </m:r>
                          <m:d>
                            <m:dPr>
                              <m:ctrlPr>
                                <a:rPr lang="en-US" sz="1200" b="0" i="1" baseline="0">
                                  <a:solidFill>
                                    <a:schemeClr val="dk1"/>
                                  </a:solidFill>
                                  <a:effectLst/>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mn-ea"/>
                                  <a:cs typeface="+mn-cs"/>
                                </a:rPr>
                                <m:t>𝑛</m:t>
                              </m:r>
                              <m:r>
                                <a:rPr lang="en-US" sz="1200" b="0" i="1" baseline="0">
                                  <a:solidFill>
                                    <a:schemeClr val="dk1"/>
                                  </a:solidFill>
                                  <a:effectLst/>
                                  <a:latin typeface="Cambria Math" panose="02040503050406030204" pitchFamily="18" charset="0"/>
                                  <a:ea typeface="+mn-ea"/>
                                  <a:cs typeface="+mn-cs"/>
                                </a:rPr>
                                <m:t>−1</m:t>
                              </m:r>
                            </m:e>
                          </m:d>
                          <m:r>
                            <a:rPr lang="en-US" sz="1200" b="0" i="1" baseline="0">
                              <a:solidFill>
                                <a:schemeClr val="dk1"/>
                              </a:solidFill>
                              <a:effectLst/>
                              <a:latin typeface="Cambria Math" panose="02040503050406030204" pitchFamily="18" charset="0"/>
                              <a:ea typeface="+mn-ea"/>
                              <a:cs typeface="+mn-cs"/>
                            </a:rPr>
                            <m:t>−</m:t>
                          </m:r>
                          <m:r>
                            <a:rPr lang="en-US" sz="1200" b="0" i="1" baseline="0">
                              <a:solidFill>
                                <a:schemeClr val="dk1"/>
                              </a:solidFill>
                              <a:effectLst/>
                              <a:latin typeface="Cambria Math" panose="02040503050406030204" pitchFamily="18" charset="0"/>
                              <a:ea typeface="+mn-ea"/>
                              <a:cs typeface="+mn-cs"/>
                            </a:rPr>
                            <m:t>𝑋</m:t>
                          </m:r>
                          <m:r>
                            <a:rPr lang="en-US" sz="1200" b="0" i="1" baseline="0">
                              <a:solidFill>
                                <a:schemeClr val="dk1"/>
                              </a:solidFill>
                              <a:effectLst/>
                              <a:latin typeface="Cambria Math" panose="02040503050406030204" pitchFamily="18" charset="0"/>
                              <a:ea typeface="+mn-ea"/>
                              <a:cs typeface="+mn-cs"/>
                            </a:rPr>
                            <m:t>(</m:t>
                          </m:r>
                          <m:r>
                            <a:rPr lang="en-US" sz="1200" b="0" i="1" baseline="0">
                              <a:solidFill>
                                <a:schemeClr val="dk1"/>
                              </a:solidFill>
                              <a:effectLst/>
                              <a:latin typeface="Cambria Math" panose="02040503050406030204" pitchFamily="18" charset="0"/>
                              <a:ea typeface="+mn-ea"/>
                              <a:cs typeface="+mn-cs"/>
                            </a:rPr>
                            <m:t>𝑛</m:t>
                          </m:r>
                          <m:r>
                            <a:rPr lang="en-US" sz="1200" b="0" i="1" baseline="0">
                              <a:solidFill>
                                <a:schemeClr val="dk1"/>
                              </a:solidFill>
                              <a:effectLst/>
                              <a:latin typeface="Cambria Math" panose="02040503050406030204" pitchFamily="18" charset="0"/>
                              <a:ea typeface="+mn-ea"/>
                              <a:cs typeface="+mn-cs"/>
                            </a:rPr>
                            <m:t>)</m:t>
                          </m:r>
                        </m:e>
                      </m:d>
                    </m:e>
                  </m:d>
                </m:oMath>
              </a14:m>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Simplifying further...</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Arial" panose="020B0604020202020204" pitchFamily="34" charset="0"/>
                  <a:ea typeface="+mn-ea"/>
                  <a:cs typeface="Arial" panose="020B0604020202020204" pitchFamily="34" charset="0"/>
                </a:rPr>
                <a:t>		</a:t>
              </a:r>
              <a14:m>
                <m:oMath xmlns:m="http://schemas.openxmlformats.org/officeDocument/2006/math">
                  <m:r>
                    <a:rPr lang="en-US" sz="1200" b="0" i="1" baseline="0">
                      <a:solidFill>
                        <a:schemeClr val="dk1"/>
                      </a:solidFill>
                      <a:effectLst/>
                      <a:latin typeface="Cambria Math" panose="02040503050406030204" pitchFamily="18" charset="0"/>
                      <a:ea typeface="+mn-ea"/>
                      <a:cs typeface="+mn-cs"/>
                    </a:rPr>
                    <m:t>𝑌</m:t>
                  </m:r>
                  <m:d>
                    <m:dPr>
                      <m:ctrlPr>
                        <a:rPr lang="en-US" sz="1200" b="0" i="1" baseline="0">
                          <a:solidFill>
                            <a:schemeClr val="dk1"/>
                          </a:solidFill>
                          <a:effectLst/>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mn-ea"/>
                          <a:cs typeface="+mn-cs"/>
                        </a:rPr>
                        <m:t>𝑛</m:t>
                      </m:r>
                    </m:e>
                  </m:d>
                  <m:r>
                    <a:rPr lang="en-US" sz="1200" b="0" i="1" baseline="0">
                      <a:solidFill>
                        <a:schemeClr val="dk1"/>
                      </a:solidFill>
                      <a:effectLst/>
                      <a:latin typeface="Cambria Math" panose="02040503050406030204" pitchFamily="18" charset="0"/>
                      <a:ea typeface="+mn-ea"/>
                      <a:cs typeface="+mn-cs"/>
                    </a:rPr>
                    <m:t>=</m:t>
                  </m:r>
                  <m:r>
                    <a:rPr lang="en-US" sz="1200" b="0" i="1" baseline="0">
                      <a:solidFill>
                        <a:schemeClr val="dk1"/>
                      </a:solidFill>
                      <a:effectLst/>
                      <a:latin typeface="Cambria Math" panose="02040503050406030204" pitchFamily="18" charset="0"/>
                      <a:ea typeface="+mn-ea"/>
                      <a:cs typeface="+mn-cs"/>
                    </a:rPr>
                    <m:t>𝑌</m:t>
                  </m:r>
                  <m:r>
                    <a:rPr lang="en-US" sz="1200" b="0" i="1" baseline="0">
                      <a:solidFill>
                        <a:schemeClr val="dk1"/>
                      </a:solidFill>
                      <a:effectLst/>
                      <a:latin typeface="Cambria Math" panose="02040503050406030204" pitchFamily="18" charset="0"/>
                      <a:ea typeface="+mn-ea"/>
                      <a:cs typeface="+mn-cs"/>
                    </a:rPr>
                    <m:t>−</m:t>
                  </m:r>
                  <m:d>
                    <m:dPr>
                      <m:ctrlPr>
                        <a:rPr lang="en-US" sz="1200" b="0" i="1" baseline="0">
                          <a:solidFill>
                            <a:schemeClr val="dk1"/>
                          </a:solidFill>
                          <a:effectLst/>
                          <a:latin typeface="Cambria Math" panose="02040503050406030204" pitchFamily="18" charset="0"/>
                          <a:ea typeface="+mn-ea"/>
                          <a:cs typeface="+mn-cs"/>
                        </a:rPr>
                      </m:ctrlPr>
                    </m:dPr>
                    <m:e>
                      <m:r>
                        <a:rPr lang="en-US" sz="1200" b="0" i="1" baseline="0">
                          <a:solidFill>
                            <a:schemeClr val="dk1"/>
                          </a:solidFill>
                          <a:effectLst/>
                          <a:latin typeface="Cambria Math" panose="02040503050406030204" pitchFamily="18" charset="0"/>
                          <a:ea typeface="Cambria Math" panose="02040503050406030204" pitchFamily="18" charset="0"/>
                          <a:cs typeface="+mn-cs"/>
                        </a:rPr>
                        <m:t>𝛼</m:t>
                      </m:r>
                      <m:r>
                        <a:rPr lang="en-US" sz="1200" b="0" i="1" baseline="0">
                          <a:solidFill>
                            <a:schemeClr val="dk1"/>
                          </a:solidFill>
                          <a:effectLst/>
                          <a:latin typeface="Cambria Math" panose="02040503050406030204" pitchFamily="18" charset="0"/>
                          <a:ea typeface="Cambria Math" panose="02040503050406030204" pitchFamily="18" charset="0"/>
                          <a:cs typeface="+mn-cs"/>
                        </a:rPr>
                        <m:t>∗(</m:t>
                      </m:r>
                      <m:r>
                        <a:rPr lang="en-US" sz="1200" b="0" i="1" baseline="0">
                          <a:solidFill>
                            <a:schemeClr val="dk1"/>
                          </a:solidFill>
                          <a:effectLst/>
                          <a:latin typeface="Cambria Math" panose="02040503050406030204" pitchFamily="18" charset="0"/>
                          <a:ea typeface="Cambria Math" panose="02040503050406030204" pitchFamily="18" charset="0"/>
                          <a:cs typeface="+mn-cs"/>
                        </a:rPr>
                        <m:t>𝑌</m:t>
                      </m:r>
                      <m:r>
                        <a:rPr lang="en-US" sz="1200" b="0" i="1" baseline="0">
                          <a:solidFill>
                            <a:schemeClr val="dk1"/>
                          </a:solidFill>
                          <a:effectLst/>
                          <a:latin typeface="Cambria Math" panose="02040503050406030204" pitchFamily="18" charset="0"/>
                          <a:ea typeface="Cambria Math" panose="02040503050406030204" pitchFamily="18" charset="0"/>
                          <a:cs typeface="+mn-cs"/>
                        </a:rPr>
                        <m:t>−</m:t>
                      </m:r>
                      <m:r>
                        <a:rPr lang="en-US" sz="1200" b="0" i="1" baseline="0">
                          <a:solidFill>
                            <a:schemeClr val="dk1"/>
                          </a:solidFill>
                          <a:effectLst/>
                          <a:latin typeface="Cambria Math" panose="02040503050406030204" pitchFamily="18" charset="0"/>
                          <a:ea typeface="Cambria Math" panose="02040503050406030204" pitchFamily="18" charset="0"/>
                          <a:cs typeface="+mn-cs"/>
                        </a:rPr>
                        <m:t>𝑋</m:t>
                      </m:r>
                      <m:r>
                        <a:rPr lang="en-US" sz="1200" b="0" i="1" baseline="0">
                          <a:solidFill>
                            <a:schemeClr val="dk1"/>
                          </a:solidFill>
                          <a:effectLst/>
                          <a:latin typeface="Cambria Math" panose="02040503050406030204" pitchFamily="18" charset="0"/>
                          <a:ea typeface="Cambria Math" panose="02040503050406030204" pitchFamily="18" charset="0"/>
                          <a:cs typeface="+mn-cs"/>
                        </a:rPr>
                        <m:t>)</m:t>
                      </m:r>
                    </m:e>
                  </m:d>
                </m:oMath>
              </a14:m>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meaning: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Filtered_Temp = Previous_Filtered_Temp - ( Alpha * (Previous_Filtered_Temp - Meas_Temp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Choice>
      <mc:Fallback>
        <xdr:sp macro="" textlink="">
          <xdr:nvSpPr>
            <xdr:cNvPr id="7" name="TextBox 6">
              <a:extLst>
                <a:ext uri="{FF2B5EF4-FFF2-40B4-BE49-F238E27FC236}">
                  <a16:creationId xmlns:a16="http://schemas.microsoft.com/office/drawing/2014/main" id="{00000000-0008-0000-0C00-000007000000}"/>
                </a:ext>
              </a:extLst>
            </xdr:cNvPr>
            <xdr:cNvSpPr txBox="1"/>
          </xdr:nvSpPr>
          <xdr:spPr>
            <a:xfrm>
              <a:off x="190500" y="1000126"/>
              <a:ext cx="17306925" cy="63245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provides the equation necessary to implement a firmware-based low pass filter with our linear thermistors to filter out noise.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Benefits:</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Noise can cause erroneous temperature measurements which is why many designers choose to add an RC filter in hardware to filter out noise coming from the system. But instead of filtering in hardware, you can use this method to eliminate the need for the extra resistor and capacitor, enabling greater board and cost savings. Implementing your filter in software gives you more control over the filter's response by changing the alpha value in real time. Additionally, having the ability to set the filtered temperature minimizes your start up time.</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To demonstrate how this works, we have collected 180 temperature measurements as sample data. Feel free to substitute this data with your own in cells B62 to B241.</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Alpha:</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controls how much noise is filtered out. By changing the alpha value in cell B53, you can alter the filter's response and the equation will calculate new filtered temperature values. With an alpha value of 0.99 most of the noise will be passed through. On the other hand, an alpha value of 0.1 eliminates a lot of noise. Try inputting different alpha values between 0.001 and 1 to see how the filter response changes.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Measured 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is stores your calculated, pre-filtered temperature reading. If you would like to oversample your temperature readings (as seen in the Averaging tab of this tool) and do this low pass filtering technique in software, we recommend doing the oversampling first and then the filtering. The reason for this is because you need a little bit of noise to oversample, and if you were to filter out the noise first then your oversampling won't work. </a:t>
              </a:r>
              <a:endPar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Filtered Temp:</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This variable stores the resulting temperature after having passed the measured temperature value through the filter. As seen in the equation below, the new filtered temperature is a function of the previous filtered temperature. To minimize the start up time it takes to settle at the actual temperature, we recommend initializing filtered temp to the first temperature value measured (you can edit this in cell B53). Initializing this variable at 0 still works, it would just take a little longer to settle to the correct temperature initially. Try it out!</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Low pass filter equation:</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1" i="0" u="sng"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𝑌(𝑛)= (1−</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Cambria Math" panose="02040503050406030204" pitchFamily="18" charset="0"/>
                  <a:cs typeface="+mn-cs"/>
                </a:rPr>
                <a:t>𝛼)</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∗𝑌(𝑛−1)+(</a:t>
              </a:r>
              <a:r>
                <a:rPr lang="en-US" sz="1200" b="0" i="0" baseline="0">
                  <a:solidFill>
                    <a:schemeClr val="dk1"/>
                  </a:solidFill>
                  <a:effectLst/>
                  <a:latin typeface="Cambria Math" panose="02040503050406030204" pitchFamily="18" charset="0"/>
                  <a:ea typeface="+mn-ea"/>
                  <a:cs typeface="+mn-cs"/>
                </a:rPr>
                <a:t>𝛼∗𝑋(𝑛))</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Y = Filtered_Temp</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l-GR"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α =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Alpha</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Simplifying...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X = Meas_Temp</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a:t>
              </a:r>
              <a:r>
                <a:rPr kumimoji="0" lang="en-US" sz="1200" b="0" i="0" u="none" strike="noStrike" kern="0" cap="none" spc="0" normalizeH="0" baseline="0" noProof="0">
                  <a:ln>
                    <a:noFill/>
                  </a:ln>
                  <a:solidFill>
                    <a:prstClr val="black"/>
                  </a:solidFill>
                  <a:effectLst/>
                  <a:uLnTx/>
                  <a:uFillTx/>
                  <a:latin typeface="Cambria Math" panose="02040503050406030204" pitchFamily="18" charset="0"/>
                  <a:ea typeface="+mn-ea"/>
                  <a:cs typeface="+mn-cs"/>
                </a:rPr>
                <a:t>𝑌(𝑛)=𝑌(𝑛−1)−(𝛼∗(</a:t>
              </a:r>
              <a:r>
                <a:rPr lang="en-US" sz="1200" b="0" i="0" baseline="0">
                  <a:solidFill>
                    <a:schemeClr val="dk1"/>
                  </a:solidFill>
                  <a:effectLst/>
                  <a:latin typeface="Cambria Math" panose="02040503050406030204" pitchFamily="18" charset="0"/>
                  <a:ea typeface="+mn-ea"/>
                  <a:cs typeface="+mn-cs"/>
                </a:rPr>
                <a:t>𝑌(𝑛−1)−𝑋(𝑛)))</a:t>
              </a: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Simplifying further...</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Arial" panose="020B0604020202020204" pitchFamily="34" charset="0"/>
                  <a:ea typeface="+mn-ea"/>
                  <a:cs typeface="Arial" panose="020B0604020202020204" pitchFamily="34" charset="0"/>
                </a:rPr>
                <a:t>		</a:t>
              </a:r>
              <a:r>
                <a:rPr lang="en-US" sz="1200" b="0" i="0" baseline="0">
                  <a:solidFill>
                    <a:schemeClr val="dk1"/>
                  </a:solidFill>
                  <a:effectLst/>
                  <a:latin typeface="Cambria Math" panose="02040503050406030204" pitchFamily="18" charset="0"/>
                  <a:ea typeface="+mn-ea"/>
                  <a:cs typeface="+mn-cs"/>
                </a:rPr>
                <a:t>𝑌(𝑛)=𝑌−(</a:t>
              </a:r>
              <a:r>
                <a:rPr lang="en-US" sz="1200" b="0" i="0" baseline="0">
                  <a:solidFill>
                    <a:schemeClr val="dk1"/>
                  </a:solidFill>
                  <a:effectLst/>
                  <a:latin typeface="Cambria Math" panose="02040503050406030204" pitchFamily="18" charset="0"/>
                  <a:ea typeface="Cambria Math" panose="02040503050406030204" pitchFamily="18" charset="0"/>
                  <a:cs typeface="+mn-cs"/>
                </a:rPr>
                <a:t>𝛼∗(𝑌−𝑋))</a:t>
              </a: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                     meaning:               </a:t>
              </a:r>
              <a:r>
                <a:rPr kumimoji="0" lang="en-US" sz="1200" b="0" i="1"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Filtered_Temp = Previous_Filtered_Temp - ( Alpha * (Previous_Filtered_Temp - Meas_Temp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to the divider circuit. Changing the top resistance or bias voltage will affect the resistance to temperature relationship and may cause temperature errors outside of the specified tolerances in the datasheet.</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85725</xdr:colOff>
      <xdr:row>0</xdr:row>
      <xdr:rowOff>152399</xdr:rowOff>
    </xdr:from>
    <xdr:to>
      <xdr:col>1</xdr:col>
      <xdr:colOff>140494</xdr:colOff>
      <xdr:row>2</xdr:row>
      <xdr:rowOff>93344</xdr:rowOff>
    </xdr:to>
    <xdr:pic>
      <xdr:nvPicPr>
        <xdr:cNvPr id="2" name="Picture 1" descr="ti logo">
          <a:hlinkClick xmlns:r="http://schemas.openxmlformats.org/officeDocument/2006/relationships" r:id="rId1"/>
          <a:extLst>
            <a:ext uri="{FF2B5EF4-FFF2-40B4-BE49-F238E27FC236}">
              <a16:creationId xmlns:a16="http://schemas.microsoft.com/office/drawing/2014/main" id="{00000000-0008-0000-0D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725" y="152399"/>
          <a:ext cx="1828800" cy="2743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52391</xdr:colOff>
      <xdr:row>0</xdr:row>
      <xdr:rowOff>133350</xdr:rowOff>
    </xdr:from>
    <xdr:ext cx="5943600" cy="417807"/>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4176716" y="133350"/>
          <a:ext cx="5943600" cy="41780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noFill/>
              </a:ln>
              <a:solidFill>
                <a:prstClr val="black"/>
              </a:solidFill>
              <a:effectLst/>
              <a:uLnTx/>
              <a:uFillTx/>
              <a:latin typeface="Arial Black" panose="020B0A04020102020204" pitchFamily="34" charset="0"/>
              <a:ea typeface="+mn-ea"/>
              <a:cs typeface="+mn-cs"/>
            </a:rPr>
            <a:t>Basic Formulas</a:t>
          </a:r>
        </a:p>
      </xdr:txBody>
    </xdr:sp>
    <xdr:clientData/>
  </xdr:oneCellAnchor>
  <xdr:twoCellAnchor>
    <xdr:from>
      <xdr:col>0</xdr:col>
      <xdr:colOff>214313</xdr:colOff>
      <xdr:row>5</xdr:row>
      <xdr:rowOff>142874</xdr:rowOff>
    </xdr:from>
    <xdr:to>
      <xdr:col>18</xdr:col>
      <xdr:colOff>511969</xdr:colOff>
      <xdr:row>15</xdr:row>
      <xdr:rowOff>11907</xdr:rowOff>
    </xdr:to>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214313" y="976312"/>
          <a:ext cx="17752219" cy="15716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sheet solves some basic formulas that are helpful when designing our thermistors into your system.  Input your parameters in the red outlined cells below.</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The values calculated below are valid only for the specific device and bias current combination currently on the "Main" sheet.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2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Note: TI thermistors are silicon-based linear PTCs and are affected by the total current and voltage applied. Changing the bias current will affect the resistance to temperature relationship and may cause temperature errors outside of the specified tolerances in the datasheet.</a:t>
          </a:r>
        </a:p>
      </xdr:txBody>
    </xdr:sp>
    <xdr:clientData/>
  </xdr:twoCellAnchor>
  <xdr:oneCellAnchor>
    <xdr:from>
      <xdr:col>9</xdr:col>
      <xdr:colOff>1257300</xdr:colOff>
      <xdr:row>0</xdr:row>
      <xdr:rowOff>152400</xdr:rowOff>
    </xdr:from>
    <xdr:ext cx="4179670" cy="264560"/>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D00-000006000000}"/>
            </a:ext>
          </a:extLst>
        </xdr:cNvPr>
        <xdr:cNvSpPr txBox="1"/>
      </xdr:nvSpPr>
      <xdr:spPr>
        <a:xfrm>
          <a:off x="12868275" y="152400"/>
          <a:ext cx="417967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0" i="0" u="sng" strike="noStrike">
              <a:solidFill>
                <a:srgbClr val="2004C6"/>
              </a:solidFill>
              <a:effectLst/>
              <a:latin typeface="+mn-lt"/>
              <a:ea typeface="+mn-ea"/>
              <a:cs typeface="+mn-cs"/>
            </a:rPr>
            <a:t>© Copyright 2021 </a:t>
          </a:r>
          <a:r>
            <a:rPr lang="en-US" sz="1100" b="0" i="0">
              <a:solidFill>
                <a:schemeClr val="tx1"/>
              </a:solidFill>
              <a:effectLst/>
              <a:latin typeface="+mn-lt"/>
              <a:ea typeface="+mn-ea"/>
              <a:cs typeface="+mn-cs"/>
            </a:rPr>
            <a:t>Texas Instruments Incorporated. All rights reserved.</a:t>
          </a:r>
          <a:endParaRPr lang="en-US" sz="11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hermistor%20Design%20Tool%20VBias%20V1_500%20-%20unlock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Coefficients"/>
      <sheetName val="Device Resistance Tables"/>
      <sheetName val="NTC Thermistor Comparison"/>
      <sheetName val="4th Order Polynomial TMP vs Res"/>
      <sheetName val="4th Order Polynomial TMP vs Vdc"/>
      <sheetName val="Steinhart-Hart"/>
      <sheetName val="Lookup Table"/>
      <sheetName val="Interpolation from Lookup Table"/>
      <sheetName val="Threshold Detection"/>
      <sheetName val="Averaging"/>
      <sheetName val="Low Pass Filter"/>
      <sheetName val="Basic Formulas"/>
      <sheetName val="RBias TCR_PP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2e.ti.com/search?q=faq%20TMP61&amp;category=forum&amp;faq=true"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7.emf"/><Relationship Id="rId4" Type="http://schemas.openxmlformats.org/officeDocument/2006/relationships/package" Target="../embeddings/Microsoft_Visio_Drawing1.vsdx"/></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J166"/>
  <sheetViews>
    <sheetView showGridLines="0" topLeftCell="G28" zoomScale="80" zoomScaleNormal="80" workbookViewId="0">
      <selection activeCell="K51" sqref="K51:M51"/>
    </sheetView>
  </sheetViews>
  <sheetFormatPr defaultColWidth="0" defaultRowHeight="13.2" zeroHeight="1" x14ac:dyDescent="0.25"/>
  <cols>
    <col min="1" max="14" width="13.6640625" style="118" customWidth="1"/>
    <col min="15" max="15" width="16.44140625" style="118" customWidth="1"/>
    <col min="16" max="16" width="3.33203125" style="118" customWidth="1"/>
    <col min="17" max="17" width="16" style="118" customWidth="1"/>
    <col min="18" max="18" width="15.44140625" style="118" customWidth="1"/>
    <col min="19" max="19" width="15" style="118" customWidth="1"/>
    <col min="20" max="25" width="10.6640625" style="118" customWidth="1"/>
    <col min="26" max="36" width="0" style="118" hidden="1" customWidth="1"/>
    <col min="37" max="16384" width="9.109375" style="118" hidden="1"/>
  </cols>
  <sheetData>
    <row r="1" spans="1:36" s="2" customFormat="1" x14ac:dyDescent="0.25">
      <c r="A1" s="760"/>
      <c r="B1" s="760"/>
      <c r="C1" s="760"/>
      <c r="D1" s="760"/>
      <c r="E1" s="760"/>
      <c r="F1" s="760"/>
      <c r="G1" s="760"/>
      <c r="H1" s="760"/>
      <c r="I1" s="760"/>
      <c r="J1" s="760"/>
      <c r="K1" s="760"/>
      <c r="L1" s="760"/>
      <c r="M1" s="760"/>
      <c r="N1" s="760"/>
      <c r="O1" s="760"/>
      <c r="P1" s="760"/>
      <c r="Q1" s="760"/>
      <c r="R1" s="760"/>
      <c r="S1" s="760"/>
      <c r="T1" s="760"/>
      <c r="U1" s="760"/>
      <c r="V1" s="1"/>
      <c r="W1" s="1"/>
      <c r="X1" s="1"/>
      <c r="Y1" s="1"/>
      <c r="Z1" s="1"/>
      <c r="AA1" s="1"/>
      <c r="AB1" s="1"/>
      <c r="AC1" s="1"/>
      <c r="AD1" s="1"/>
      <c r="AE1" s="1"/>
      <c r="AF1" s="1"/>
      <c r="AG1" s="1"/>
      <c r="AH1" s="1"/>
      <c r="AI1" s="1"/>
      <c r="AJ1" s="1"/>
    </row>
    <row r="2" spans="1:36" s="2" customFormat="1" x14ac:dyDescent="0.25">
      <c r="A2" s="760"/>
      <c r="B2" s="760"/>
      <c r="C2" s="760"/>
      <c r="D2" s="760"/>
      <c r="E2" s="760"/>
      <c r="F2" s="760"/>
      <c r="G2" s="760"/>
      <c r="H2" s="760"/>
      <c r="I2" s="760"/>
      <c r="J2" s="760"/>
      <c r="K2" s="760"/>
      <c r="L2" s="760"/>
      <c r="M2" s="760"/>
      <c r="N2" s="760"/>
      <c r="O2" s="760"/>
      <c r="P2" s="760"/>
      <c r="Q2" s="760"/>
      <c r="R2" s="760"/>
      <c r="S2" s="760"/>
      <c r="T2" s="760"/>
      <c r="U2" s="760"/>
      <c r="V2" s="1"/>
      <c r="W2" s="1"/>
      <c r="X2" s="1"/>
      <c r="Y2" s="1"/>
      <c r="Z2" s="1"/>
      <c r="AA2" s="1"/>
      <c r="AB2" s="1"/>
      <c r="AC2" s="1"/>
      <c r="AD2" s="1"/>
      <c r="AE2" s="1"/>
      <c r="AF2" s="1"/>
      <c r="AG2" s="1"/>
      <c r="AH2" s="1"/>
      <c r="AI2" s="1"/>
      <c r="AJ2" s="1"/>
    </row>
    <row r="3" spans="1:36" s="2" customFormat="1" x14ac:dyDescent="0.25">
      <c r="A3" s="760"/>
      <c r="B3" s="760"/>
      <c r="C3" s="760"/>
      <c r="D3" s="760"/>
      <c r="E3" s="760"/>
      <c r="F3" s="760"/>
      <c r="G3" s="760"/>
      <c r="H3" s="760"/>
      <c r="I3" s="760"/>
      <c r="J3" s="760"/>
      <c r="K3" s="760"/>
      <c r="L3" s="760"/>
      <c r="M3" s="760"/>
      <c r="N3" s="760"/>
      <c r="O3" s="760"/>
      <c r="P3" s="760"/>
      <c r="Q3" s="760"/>
      <c r="R3" s="760"/>
      <c r="S3" s="760"/>
      <c r="T3" s="760"/>
      <c r="U3" s="760"/>
      <c r="V3" s="1"/>
      <c r="W3" s="1"/>
      <c r="X3" s="1"/>
      <c r="Y3" s="1"/>
      <c r="Z3" s="1"/>
      <c r="AA3" s="1"/>
      <c r="AB3" s="1"/>
      <c r="AC3" s="1"/>
      <c r="AD3" s="1"/>
      <c r="AE3" s="1"/>
      <c r="AF3" s="1"/>
      <c r="AG3" s="1"/>
      <c r="AH3" s="1"/>
      <c r="AI3" s="1"/>
      <c r="AJ3" s="1"/>
    </row>
    <row r="4" spans="1:36" s="2" customFormat="1" ht="12.75" customHeight="1" x14ac:dyDescent="0.25">
      <c r="A4" s="761"/>
      <c r="B4" s="762"/>
      <c r="C4" s="762"/>
      <c r="D4" s="762"/>
      <c r="E4" s="762"/>
      <c r="F4" s="762"/>
      <c r="G4" s="762"/>
      <c r="H4" s="762"/>
      <c r="I4" s="762"/>
      <c r="J4" s="762"/>
      <c r="K4" s="762"/>
      <c r="L4" s="762"/>
      <c r="M4" s="762"/>
      <c r="N4" s="762"/>
      <c r="O4" s="762"/>
      <c r="P4" s="762"/>
      <c r="Q4" s="762"/>
      <c r="R4" s="762"/>
      <c r="S4" s="762"/>
      <c r="T4" s="762"/>
      <c r="U4" s="762"/>
      <c r="V4" s="762"/>
      <c r="W4" s="762"/>
      <c r="X4" s="762"/>
      <c r="Y4" s="762"/>
      <c r="Z4" s="1"/>
      <c r="AA4" s="1"/>
      <c r="AB4" s="1"/>
      <c r="AC4" s="1"/>
      <c r="AD4" s="1"/>
      <c r="AE4" s="1"/>
      <c r="AF4" s="1"/>
      <c r="AG4" s="1"/>
      <c r="AH4" s="1"/>
      <c r="AI4" s="1"/>
      <c r="AJ4" s="1"/>
    </row>
    <row r="5" spans="1:36" s="1" customFormat="1" ht="17.399999999999999" x14ac:dyDescent="0.3">
      <c r="A5" s="3"/>
      <c r="B5" s="112" t="s">
        <v>66</v>
      </c>
      <c r="C5" s="110"/>
      <c r="D5" s="110"/>
      <c r="E5" s="113" t="s">
        <v>681</v>
      </c>
      <c r="F5" s="648" t="s">
        <v>683</v>
      </c>
      <c r="G5" s="311"/>
      <c r="H5" s="277"/>
      <c r="I5" s="277"/>
      <c r="J5" s="277"/>
      <c r="K5" s="277"/>
      <c r="L5" s="277"/>
      <c r="M5" s="277"/>
      <c r="N5" s="277"/>
      <c r="O5" s="277"/>
      <c r="P5" s="277"/>
      <c r="Q5" s="271"/>
    </row>
    <row r="6" spans="1:36" s="1" customFormat="1" ht="15" x14ac:dyDescent="0.25">
      <c r="A6" s="118"/>
      <c r="B6" s="137"/>
      <c r="C6" s="137"/>
      <c r="D6" s="137"/>
      <c r="E6" s="137"/>
      <c r="F6" s="138"/>
      <c r="G6" s="138"/>
      <c r="H6" s="139"/>
      <c r="I6" s="140"/>
      <c r="J6" s="138"/>
      <c r="K6" s="138"/>
      <c r="L6" s="138"/>
      <c r="M6" s="459" t="s">
        <v>508</v>
      </c>
      <c r="N6" s="367" t="s">
        <v>509</v>
      </c>
      <c r="O6" s="367"/>
      <c r="P6" s="367"/>
      <c r="Q6" s="144"/>
      <c r="R6" s="118"/>
      <c r="S6" s="118"/>
      <c r="T6" s="118"/>
      <c r="U6" s="118"/>
      <c r="V6" s="118"/>
      <c r="W6" s="118"/>
      <c r="X6" s="118"/>
      <c r="Y6" s="118"/>
    </row>
    <row r="7" spans="1:36" s="1" customFormat="1" x14ac:dyDescent="0.25">
      <c r="A7" s="118"/>
      <c r="B7" s="118"/>
      <c r="C7" s="118"/>
      <c r="D7" s="118"/>
      <c r="E7" s="118"/>
      <c r="F7" s="138"/>
      <c r="G7" s="138"/>
      <c r="H7" s="141"/>
      <c r="I7" s="145"/>
      <c r="J7" s="145"/>
      <c r="K7" s="145"/>
      <c r="L7" s="145"/>
      <c r="M7" s="145"/>
      <c r="N7" s="145"/>
      <c r="O7" s="145"/>
      <c r="P7" s="138"/>
      <c r="Q7" s="118"/>
      <c r="R7" s="118"/>
      <c r="S7" s="118"/>
      <c r="T7" s="118"/>
      <c r="U7" s="118"/>
      <c r="V7" s="118"/>
      <c r="W7" s="118"/>
      <c r="X7" s="118"/>
      <c r="Y7" s="118"/>
    </row>
    <row r="8" spans="1:36" s="1" customFormat="1" x14ac:dyDescent="0.25">
      <c r="A8" s="118"/>
      <c r="B8" s="118"/>
      <c r="C8" s="118"/>
      <c r="D8" s="118"/>
      <c r="E8" s="118"/>
      <c r="F8" s="138"/>
      <c r="G8" s="138"/>
      <c r="H8" s="142"/>
      <c r="I8" s="146"/>
      <c r="J8" s="146"/>
      <c r="K8" s="146"/>
      <c r="L8" s="146"/>
      <c r="M8" s="146"/>
      <c r="N8" s="146"/>
      <c r="O8" s="146"/>
      <c r="P8" s="138"/>
      <c r="Q8" s="118"/>
      <c r="R8" s="118"/>
      <c r="S8" s="118"/>
      <c r="T8" s="118"/>
      <c r="U8" s="118"/>
      <c r="V8" s="118"/>
      <c r="W8" s="118"/>
      <c r="X8" s="118"/>
      <c r="Y8" s="118"/>
    </row>
    <row r="9" spans="1:36" s="1" customFormat="1" x14ac:dyDescent="0.25">
      <c r="A9" s="118"/>
      <c r="B9" s="118"/>
      <c r="C9" s="118"/>
      <c r="D9" s="118"/>
      <c r="E9" s="118"/>
      <c r="F9" s="138"/>
      <c r="G9" s="138"/>
      <c r="H9" s="138"/>
      <c r="I9" s="138"/>
      <c r="J9" s="138"/>
      <c r="K9" s="138"/>
      <c r="L9" s="138"/>
      <c r="M9" s="138"/>
      <c r="N9" s="138"/>
      <c r="O9" s="138"/>
      <c r="P9" s="138"/>
      <c r="Q9" s="118"/>
      <c r="R9" s="118"/>
      <c r="S9" s="118"/>
      <c r="T9" s="118"/>
      <c r="U9" s="118"/>
      <c r="V9" s="118"/>
      <c r="W9" s="118"/>
      <c r="X9" s="118"/>
      <c r="Y9" s="118"/>
    </row>
    <row r="10" spans="1:36" s="1" customFormat="1" x14ac:dyDescent="0.25">
      <c r="A10" s="118"/>
      <c r="B10" s="118"/>
      <c r="C10" s="118"/>
      <c r="D10" s="118"/>
      <c r="E10" s="118"/>
      <c r="F10" s="138"/>
      <c r="G10" s="138"/>
      <c r="H10" s="138"/>
      <c r="I10" s="138"/>
      <c r="J10" s="138"/>
      <c r="K10" s="138"/>
      <c r="L10" s="138"/>
      <c r="M10" s="138"/>
      <c r="N10" s="138"/>
      <c r="O10" s="138"/>
      <c r="P10" s="118"/>
      <c r="Q10" s="118"/>
      <c r="R10" s="118"/>
      <c r="S10" s="118"/>
      <c r="T10" s="118"/>
      <c r="U10" s="118"/>
      <c r="V10" s="118"/>
      <c r="W10" s="118"/>
      <c r="X10" s="118"/>
      <c r="Y10" s="118"/>
    </row>
    <row r="11" spans="1:36" s="1" customFormat="1" x14ac:dyDescent="0.25">
      <c r="A11" s="118"/>
      <c r="B11" s="118"/>
      <c r="C11" s="118"/>
      <c r="D11" s="118"/>
      <c r="E11" s="118"/>
      <c r="F11" s="118"/>
      <c r="G11" s="118"/>
      <c r="H11" s="118"/>
      <c r="I11" s="118"/>
      <c r="J11" s="118"/>
      <c r="K11" s="118"/>
      <c r="L11" s="118"/>
      <c r="M11" s="118"/>
      <c r="N11" s="118"/>
      <c r="O11" s="118"/>
      <c r="P11" s="118"/>
      <c r="Q11" s="118"/>
      <c r="R11" s="118"/>
      <c r="S11" s="118"/>
      <c r="T11" s="118"/>
      <c r="U11" s="118"/>
      <c r="V11" s="118"/>
      <c r="W11" s="118"/>
      <c r="X11" s="118"/>
      <c r="Y11" s="118"/>
    </row>
    <row r="12" spans="1:36" s="1" customFormat="1" ht="25.2" x14ac:dyDescent="0.25">
      <c r="A12" s="118"/>
      <c r="B12" s="118"/>
      <c r="C12" s="118"/>
      <c r="D12" s="118"/>
      <c r="E12" s="118"/>
      <c r="F12" s="118"/>
      <c r="G12" s="118"/>
      <c r="H12" s="118"/>
      <c r="I12" s="118"/>
      <c r="J12" s="118"/>
      <c r="K12" s="118"/>
      <c r="L12" s="118"/>
      <c r="M12" s="118"/>
      <c r="N12" s="118"/>
      <c r="O12" s="118"/>
      <c r="P12" s="118"/>
      <c r="Q12" s="118"/>
      <c r="R12" s="118"/>
      <c r="S12" s="118"/>
      <c r="T12" s="118"/>
      <c r="U12" s="118"/>
      <c r="V12" s="118"/>
      <c r="W12" s="118"/>
      <c r="X12" s="118"/>
      <c r="Y12" s="118"/>
      <c r="AE12" s="9"/>
      <c r="AF12" s="10"/>
    </row>
    <row r="13" spans="1:36" s="1" customFormat="1" x14ac:dyDescent="0.25">
      <c r="A13" s="118"/>
      <c r="B13" s="118"/>
      <c r="C13" s="118"/>
      <c r="D13" s="118"/>
      <c r="E13" s="118"/>
      <c r="F13" s="118"/>
      <c r="G13" s="118"/>
      <c r="H13" s="118"/>
      <c r="I13" s="118"/>
      <c r="J13" s="118"/>
      <c r="K13" s="118"/>
      <c r="L13" s="118"/>
      <c r="M13" s="118"/>
      <c r="N13" s="118"/>
      <c r="O13" s="118"/>
      <c r="P13" s="118"/>
      <c r="Q13" s="118"/>
      <c r="R13" s="118"/>
      <c r="S13" s="118"/>
      <c r="T13" s="118"/>
      <c r="U13" s="118"/>
      <c r="V13" s="118"/>
      <c r="W13" s="118"/>
      <c r="X13" s="118"/>
      <c r="Y13" s="118"/>
    </row>
    <row r="14" spans="1:36" s="1" customFormat="1" x14ac:dyDescent="0.25">
      <c r="A14" s="118"/>
      <c r="B14" s="118"/>
      <c r="C14" s="118"/>
      <c r="D14" s="118"/>
      <c r="E14" s="118"/>
      <c r="F14" s="118"/>
      <c r="G14" s="118"/>
      <c r="H14" s="118"/>
      <c r="I14" s="118"/>
      <c r="J14" s="118"/>
      <c r="K14" s="118"/>
      <c r="L14" s="118"/>
      <c r="M14" s="118"/>
      <c r="N14" s="118"/>
      <c r="O14" s="118"/>
      <c r="P14" s="118"/>
      <c r="Q14" s="118"/>
      <c r="R14" s="118"/>
      <c r="S14" s="118"/>
      <c r="T14" s="118"/>
      <c r="U14" s="118"/>
      <c r="V14" s="118"/>
      <c r="W14" s="118"/>
      <c r="X14" s="118"/>
      <c r="Y14" s="118"/>
    </row>
    <row r="15" spans="1:36" s="1" customFormat="1" x14ac:dyDescent="0.25">
      <c r="A15" s="118"/>
      <c r="B15" s="118"/>
      <c r="C15" s="118"/>
      <c r="D15" s="118"/>
      <c r="E15" s="118"/>
      <c r="F15" s="118"/>
      <c r="G15" s="118"/>
      <c r="H15" s="118"/>
      <c r="I15" s="118"/>
      <c r="J15" s="118"/>
      <c r="K15" s="118"/>
      <c r="L15" s="118"/>
      <c r="M15" s="118"/>
      <c r="N15" s="118"/>
      <c r="O15" s="118"/>
      <c r="P15" s="118"/>
      <c r="Q15" s="118"/>
      <c r="R15" s="118"/>
      <c r="S15" s="118"/>
      <c r="T15" s="118"/>
      <c r="U15" s="118"/>
      <c r="V15" s="118"/>
      <c r="W15" s="118"/>
      <c r="X15" s="118"/>
      <c r="Y15" s="118"/>
    </row>
    <row r="16" spans="1:36" s="1" customFormat="1" x14ac:dyDescent="0.25">
      <c r="A16" s="118"/>
      <c r="B16" s="118"/>
      <c r="C16" s="118"/>
      <c r="D16" s="118"/>
      <c r="E16" s="118"/>
      <c r="F16" s="118"/>
      <c r="G16" s="118"/>
      <c r="H16" s="118"/>
      <c r="I16" s="118"/>
      <c r="J16" s="207"/>
      <c r="K16" s="207"/>
      <c r="L16" s="207"/>
      <c r="M16" s="207"/>
      <c r="N16" s="118"/>
      <c r="O16" s="118"/>
      <c r="P16" s="118"/>
      <c r="Q16" s="118"/>
      <c r="R16" s="118"/>
      <c r="S16" s="118"/>
      <c r="T16" s="118"/>
      <c r="U16" s="118"/>
      <c r="V16" s="118"/>
      <c r="W16" s="118"/>
      <c r="X16" s="118"/>
      <c r="Y16" s="118"/>
    </row>
    <row r="17" spans="1:25" s="1" customFormat="1" x14ac:dyDescent="0.25">
      <c r="A17" s="118"/>
      <c r="B17" s="118"/>
      <c r="C17" s="118"/>
      <c r="D17" s="118"/>
      <c r="E17" s="118"/>
      <c r="F17" s="118"/>
      <c r="G17" s="118"/>
      <c r="H17" s="118"/>
      <c r="I17" s="118"/>
      <c r="J17" s="207"/>
      <c r="K17" s="207"/>
      <c r="L17" s="207"/>
      <c r="M17" s="207"/>
      <c r="N17" s="118"/>
      <c r="O17" s="118"/>
      <c r="P17" s="118"/>
      <c r="Q17" s="118"/>
      <c r="R17" s="118"/>
      <c r="S17" s="118"/>
      <c r="T17" s="118"/>
      <c r="U17" s="118"/>
      <c r="V17" s="118"/>
      <c r="W17" s="118"/>
      <c r="X17" s="118"/>
      <c r="Y17" s="118"/>
    </row>
    <row r="18" spans="1:25" s="1" customFormat="1" x14ac:dyDescent="0.25">
      <c r="A18" s="118"/>
      <c r="B18" s="118"/>
      <c r="C18" s="118"/>
      <c r="D18" s="118"/>
      <c r="E18" s="118"/>
      <c r="F18" s="118"/>
      <c r="G18" s="118"/>
      <c r="H18" s="118"/>
      <c r="I18" s="118"/>
      <c r="J18" s="207"/>
      <c r="K18" s="207"/>
      <c r="L18" s="207"/>
      <c r="M18" s="207"/>
      <c r="N18" s="118"/>
      <c r="O18" s="118"/>
      <c r="P18" s="118"/>
      <c r="Q18" s="118"/>
      <c r="R18" s="271"/>
      <c r="S18" s="271"/>
      <c r="T18" s="271"/>
      <c r="U18" s="118"/>
      <c r="V18" s="118"/>
      <c r="W18" s="118"/>
      <c r="X18" s="118"/>
      <c r="Y18" s="118"/>
    </row>
    <row r="19" spans="1:25" s="1" customFormat="1" x14ac:dyDescent="0.25">
      <c r="A19" s="118"/>
      <c r="B19" s="118"/>
      <c r="C19" s="118"/>
      <c r="D19" s="118"/>
      <c r="E19" s="118"/>
      <c r="F19" s="118"/>
      <c r="G19" s="118"/>
      <c r="H19" s="118"/>
      <c r="I19" s="118"/>
      <c r="J19" s="207"/>
      <c r="K19" s="207"/>
      <c r="L19" s="207"/>
      <c r="M19" s="207"/>
      <c r="N19" s="118"/>
      <c r="O19" s="118"/>
      <c r="P19" s="118"/>
      <c r="Q19" s="118"/>
      <c r="R19" s="271"/>
      <c r="S19" s="271"/>
      <c r="T19" s="271"/>
      <c r="U19" s="118"/>
      <c r="V19" s="118"/>
      <c r="W19" s="118"/>
      <c r="X19" s="118"/>
      <c r="Y19" s="118"/>
    </row>
    <row r="20" spans="1:25" s="1" customFormat="1" x14ac:dyDescent="0.25">
      <c r="A20" s="143" t="s">
        <v>67</v>
      </c>
      <c r="B20" s="143" t="s">
        <v>68</v>
      </c>
      <c r="C20" s="143" t="s">
        <v>69</v>
      </c>
      <c r="D20" s="118"/>
      <c r="E20" s="118"/>
      <c r="F20" s="118"/>
      <c r="G20" s="118"/>
      <c r="H20" s="118"/>
      <c r="I20" s="118"/>
      <c r="J20" s="207"/>
      <c r="K20" s="207"/>
      <c r="L20" s="207"/>
      <c r="M20" s="207"/>
      <c r="N20" s="118"/>
      <c r="O20" s="118"/>
      <c r="P20" s="118"/>
      <c r="Q20" s="118"/>
      <c r="R20" s="118"/>
      <c r="S20" s="118"/>
      <c r="T20" s="118"/>
      <c r="U20" s="118"/>
      <c r="V20" s="118"/>
      <c r="W20" s="118"/>
      <c r="X20" s="118"/>
      <c r="Y20" s="118"/>
    </row>
    <row r="21" spans="1:25" s="1" customFormat="1" ht="15.6" thickBot="1" x14ac:dyDescent="0.3">
      <c r="A21" s="118"/>
      <c r="B21" s="118"/>
      <c r="C21" s="118"/>
      <c r="D21" s="118"/>
      <c r="E21" s="118"/>
      <c r="F21" s="118"/>
      <c r="G21" s="118"/>
      <c r="H21" s="118"/>
      <c r="I21" s="118"/>
      <c r="J21" s="207"/>
      <c r="K21" s="207"/>
      <c r="L21" s="207"/>
      <c r="M21" s="207"/>
      <c r="N21" s="765" t="s">
        <v>246</v>
      </c>
      <c r="O21" s="765"/>
      <c r="P21" s="271"/>
      <c r="Q21" s="772" t="s">
        <v>669</v>
      </c>
      <c r="R21" s="772"/>
      <c r="S21" s="118"/>
      <c r="T21" s="118"/>
      <c r="U21" s="118"/>
      <c r="V21" s="118"/>
      <c r="W21" s="118"/>
      <c r="X21" s="118"/>
      <c r="Y21" s="118"/>
    </row>
    <row r="22" spans="1:25" s="1" customFormat="1" ht="18" thickBot="1" x14ac:dyDescent="0.35">
      <c r="A22" s="118"/>
      <c r="B22" s="118"/>
      <c r="C22" s="118"/>
      <c r="D22" s="118"/>
      <c r="E22" s="118"/>
      <c r="F22" s="118"/>
      <c r="G22" s="118"/>
      <c r="H22" s="118"/>
      <c r="I22" s="118"/>
      <c r="J22" s="207"/>
      <c r="K22" s="304"/>
      <c r="L22" s="304"/>
      <c r="M22" s="304" t="s">
        <v>247</v>
      </c>
      <c r="N22" s="766" t="s">
        <v>290</v>
      </c>
      <c r="O22" s="767"/>
      <c r="P22" s="276" t="s">
        <v>205</v>
      </c>
      <c r="Q22" s="453">
        <f>VLOOKUP('NTC Thermistor Comparison'!$B$29,Coefficients!$E$2:$H$28,4,FALSE)</f>
        <v>125</v>
      </c>
      <c r="R22" s="454" t="s">
        <v>670</v>
      </c>
      <c r="S22" s="118"/>
      <c r="T22" s="118"/>
      <c r="U22" s="118"/>
      <c r="V22" s="118"/>
      <c r="W22" s="118"/>
      <c r="X22" s="118"/>
      <c r="Y22" s="118"/>
    </row>
    <row r="23" spans="1:25" s="1" customFormat="1" x14ac:dyDescent="0.25">
      <c r="A23" s="118"/>
      <c r="B23" s="118"/>
      <c r="C23" s="118"/>
      <c r="D23" s="118"/>
      <c r="E23" s="118"/>
      <c r="F23" s="118"/>
      <c r="G23" s="118"/>
      <c r="H23" s="118"/>
      <c r="I23" s="118"/>
      <c r="J23" s="207"/>
      <c r="K23" s="207"/>
      <c r="L23" s="207"/>
      <c r="M23" s="207"/>
      <c r="N23" s="271"/>
      <c r="O23" s="271"/>
      <c r="P23" s="277"/>
      <c r="Q23" s="271"/>
      <c r="R23" s="118"/>
      <c r="S23" s="118"/>
      <c r="T23" s="118"/>
      <c r="U23" s="118"/>
      <c r="V23" s="118"/>
      <c r="W23" s="118"/>
      <c r="X23" s="118"/>
      <c r="Y23" s="118"/>
    </row>
    <row r="24" spans="1:25" s="1" customFormat="1" ht="15.6" thickBot="1" x14ac:dyDescent="0.3">
      <c r="A24" s="118"/>
      <c r="B24" s="118"/>
      <c r="C24" s="118"/>
      <c r="D24" s="118"/>
      <c r="E24" s="118"/>
      <c r="F24" s="118"/>
      <c r="G24" s="118"/>
      <c r="H24" s="118"/>
      <c r="I24" s="118"/>
      <c r="J24" s="207"/>
      <c r="K24" s="207"/>
      <c r="L24" s="207"/>
      <c r="M24" s="207"/>
      <c r="N24" s="765" t="s">
        <v>627</v>
      </c>
      <c r="O24" s="765"/>
      <c r="P24" s="277"/>
      <c r="Q24" s="271"/>
      <c r="R24" s="118"/>
      <c r="S24" s="118"/>
      <c r="T24" s="118"/>
      <c r="U24" s="118"/>
      <c r="V24" s="118"/>
      <c r="W24" s="118"/>
      <c r="X24" s="118"/>
      <c r="Y24" s="118"/>
    </row>
    <row r="25" spans="1:25" s="1" customFormat="1" ht="18" thickBot="1" x14ac:dyDescent="0.35">
      <c r="A25" s="118"/>
      <c r="B25" s="118"/>
      <c r="C25" s="118"/>
      <c r="D25" s="118"/>
      <c r="E25" s="118"/>
      <c r="F25" s="118"/>
      <c r="G25" s="118"/>
      <c r="H25" s="118"/>
      <c r="I25" s="118"/>
      <c r="J25" s="207"/>
      <c r="K25" s="207"/>
      <c r="L25" s="279"/>
      <c r="M25" s="279" t="s">
        <v>440</v>
      </c>
      <c r="N25" s="763">
        <v>140</v>
      </c>
      <c r="O25" s="764"/>
      <c r="P25" s="278" t="s">
        <v>441</v>
      </c>
      <c r="Q25" s="271"/>
      <c r="S25" s="118"/>
      <c r="T25" s="118"/>
      <c r="U25" s="118"/>
      <c r="V25" s="118"/>
      <c r="W25" s="118"/>
      <c r="X25" s="118"/>
      <c r="Y25" s="118"/>
    </row>
    <row r="26" spans="1:25" s="1" customFormat="1" ht="15.6" x14ac:dyDescent="0.3">
      <c r="A26" s="118"/>
      <c r="B26" s="118"/>
      <c r="C26" s="118"/>
      <c r="D26" s="118"/>
      <c r="E26" s="118"/>
      <c r="F26" s="118"/>
      <c r="G26" s="118"/>
      <c r="H26" s="118"/>
      <c r="I26" s="118"/>
      <c r="J26" s="207"/>
      <c r="K26" s="207"/>
      <c r="L26" s="352" t="s">
        <v>445</v>
      </c>
      <c r="M26" s="207"/>
      <c r="N26" s="271"/>
      <c r="O26" s="271"/>
      <c r="P26" s="271"/>
      <c r="Q26" s="271"/>
      <c r="R26" s="118"/>
      <c r="S26" s="118"/>
      <c r="T26" s="118"/>
      <c r="U26" s="118"/>
      <c r="V26" s="118"/>
      <c r="W26" s="118"/>
      <c r="X26" s="118"/>
      <c r="Y26" s="118"/>
    </row>
    <row r="27" spans="1:25" s="1" customFormat="1" ht="15.6" thickBot="1" x14ac:dyDescent="0.3">
      <c r="A27" s="118"/>
      <c r="B27" s="118"/>
      <c r="C27" s="118"/>
      <c r="D27" s="118"/>
      <c r="E27" s="118"/>
      <c r="F27" s="118"/>
      <c r="G27" s="118"/>
      <c r="H27" s="118"/>
      <c r="I27" s="118"/>
      <c r="J27" s="207"/>
      <c r="K27" s="207"/>
      <c r="L27" s="207"/>
      <c r="M27" s="207"/>
      <c r="N27" s="765" t="s">
        <v>245</v>
      </c>
      <c r="O27" s="765"/>
      <c r="P27" s="277"/>
      <c r="Q27" s="271"/>
      <c r="R27" s="118"/>
      <c r="S27" s="118"/>
      <c r="T27" s="118"/>
      <c r="U27" s="118"/>
      <c r="V27" s="118"/>
      <c r="W27" s="118"/>
      <c r="X27" s="118"/>
      <c r="Y27" s="118"/>
    </row>
    <row r="28" spans="1:25" s="1" customFormat="1" ht="18" thickBot="1" x14ac:dyDescent="0.35">
      <c r="A28" s="118"/>
      <c r="B28" s="118"/>
      <c r="C28" s="118"/>
      <c r="D28" s="118"/>
      <c r="E28" s="118"/>
      <c r="F28" s="118"/>
      <c r="G28" s="118"/>
      <c r="H28" s="118"/>
      <c r="I28" s="118"/>
      <c r="J28" s="207"/>
      <c r="K28" s="207"/>
      <c r="L28" s="279"/>
      <c r="M28" s="279" t="s">
        <v>254</v>
      </c>
      <c r="N28" s="768">
        <v>12</v>
      </c>
      <c r="O28" s="769"/>
      <c r="P28" s="278" t="s">
        <v>238</v>
      </c>
      <c r="Q28" s="271"/>
      <c r="R28" s="118"/>
      <c r="S28" s="160"/>
      <c r="T28" s="118"/>
      <c r="U28" s="118"/>
      <c r="V28" s="118"/>
      <c r="W28" s="118"/>
      <c r="X28" s="118"/>
      <c r="Y28" s="118"/>
    </row>
    <row r="29" spans="1:25" s="1" customFormat="1" x14ac:dyDescent="0.25">
      <c r="A29" s="118"/>
      <c r="B29" s="118"/>
      <c r="C29" s="118"/>
      <c r="D29" s="118"/>
      <c r="E29" s="118"/>
      <c r="F29" s="118"/>
      <c r="G29" s="118"/>
      <c r="H29" s="118"/>
      <c r="I29" s="118"/>
      <c r="J29" s="207"/>
      <c r="K29" s="207"/>
      <c r="L29" s="207"/>
      <c r="M29" s="303"/>
      <c r="S29" s="118"/>
      <c r="T29" s="118"/>
      <c r="U29" s="118"/>
      <c r="V29" s="118"/>
      <c r="W29" s="118"/>
      <c r="X29" s="118"/>
      <c r="Y29" s="118"/>
    </row>
    <row r="30" spans="1:25" s="1" customFormat="1" ht="13.5" customHeight="1" thickBot="1" x14ac:dyDescent="0.3">
      <c r="A30" s="118"/>
      <c r="B30" s="118"/>
      <c r="C30" s="118"/>
      <c r="D30" s="118"/>
      <c r="E30" s="118"/>
      <c r="F30" s="118"/>
      <c r="G30" s="118"/>
      <c r="H30" s="118"/>
      <c r="I30" s="118"/>
      <c r="J30" s="207"/>
      <c r="K30" s="207"/>
      <c r="L30" s="356"/>
      <c r="N30" s="765" t="s">
        <v>453</v>
      </c>
      <c r="O30" s="765"/>
      <c r="P30" s="277"/>
      <c r="Q30" s="271"/>
      <c r="R30" s="207"/>
      <c r="S30" s="271"/>
      <c r="T30" s="118"/>
      <c r="U30" s="118"/>
      <c r="V30" s="118"/>
      <c r="W30" s="118"/>
      <c r="X30" s="118"/>
      <c r="Y30" s="118"/>
    </row>
    <row r="31" spans="1:25" s="1" customFormat="1" ht="18" thickBot="1" x14ac:dyDescent="0.35">
      <c r="A31" s="118"/>
      <c r="B31" s="118"/>
      <c r="C31" s="118"/>
      <c r="D31" s="118"/>
      <c r="E31" s="118"/>
      <c r="F31" s="118"/>
      <c r="G31" s="118"/>
      <c r="H31" s="118"/>
      <c r="I31" s="118"/>
      <c r="J31" s="254"/>
      <c r="K31" s="207"/>
      <c r="L31" s="279"/>
      <c r="M31" s="279" t="s">
        <v>454</v>
      </c>
      <c r="N31" s="770">
        <v>3</v>
      </c>
      <c r="O31" s="771"/>
      <c r="P31" s="278" t="s">
        <v>2</v>
      </c>
      <c r="Q31" s="271"/>
      <c r="R31" s="271"/>
      <c r="S31" s="118"/>
      <c r="T31" s="118"/>
      <c r="U31" s="118"/>
      <c r="V31" s="118"/>
      <c r="W31" s="118"/>
      <c r="X31" s="118"/>
      <c r="Y31" s="118"/>
    </row>
    <row r="32" spans="1:25" s="1" customFormat="1" ht="17.399999999999999" x14ac:dyDescent="0.3">
      <c r="A32" s="118"/>
      <c r="B32" s="118"/>
      <c r="C32" s="118"/>
      <c r="D32" s="118"/>
      <c r="E32" s="118"/>
      <c r="F32" s="118"/>
      <c r="G32" s="118"/>
      <c r="H32" s="118"/>
      <c r="I32" s="118"/>
      <c r="J32" s="207"/>
      <c r="R32" s="271"/>
      <c r="S32" s="147"/>
      <c r="T32" s="118"/>
      <c r="U32" s="118"/>
      <c r="V32" s="118"/>
      <c r="W32" s="118"/>
      <c r="X32" s="118"/>
      <c r="Y32" s="118"/>
    </row>
    <row r="33" spans="1:25" s="1" customFormat="1" x14ac:dyDescent="0.25">
      <c r="A33" s="118"/>
      <c r="B33" s="118"/>
      <c r="C33" s="118"/>
      <c r="D33" s="118"/>
      <c r="E33" s="118"/>
      <c r="F33" s="118"/>
      <c r="G33" s="118"/>
      <c r="H33" s="118"/>
      <c r="I33" s="118"/>
      <c r="J33" s="207"/>
      <c r="K33" s="207"/>
      <c r="L33" s="303"/>
      <c r="M33" s="269"/>
      <c r="N33" s="269"/>
      <c r="O33" s="269"/>
      <c r="P33" s="269"/>
      <c r="Q33" s="269"/>
      <c r="R33" s="207"/>
      <c r="S33" s="118"/>
      <c r="T33" s="118"/>
      <c r="U33" s="118"/>
      <c r="V33" s="118"/>
      <c r="W33" s="118"/>
      <c r="X33" s="118"/>
      <c r="Y33" s="118"/>
    </row>
    <row r="34" spans="1:25" s="1" customFormat="1" x14ac:dyDescent="0.25">
      <c r="A34" s="118"/>
      <c r="B34" s="118"/>
      <c r="C34" s="118"/>
      <c r="D34" s="118"/>
      <c r="E34" s="118"/>
      <c r="F34" s="118"/>
      <c r="G34" s="118"/>
      <c r="H34" s="118"/>
      <c r="I34" s="118"/>
      <c r="J34" s="118"/>
      <c r="M34" s="118"/>
      <c r="N34" s="118"/>
      <c r="O34" s="118"/>
      <c r="P34" s="118"/>
      <c r="Q34" s="118"/>
      <c r="R34" s="118"/>
      <c r="S34" s="118"/>
      <c r="T34" s="118"/>
      <c r="U34" s="118"/>
      <c r="V34" s="118"/>
      <c r="W34" s="118"/>
      <c r="X34" s="118"/>
      <c r="Y34" s="118"/>
    </row>
    <row r="35" spans="1:25" s="1" customFormat="1" x14ac:dyDescent="0.25">
      <c r="A35" s="118"/>
      <c r="B35" s="118"/>
      <c r="C35" s="118"/>
      <c r="D35" s="118"/>
      <c r="E35" s="118"/>
      <c r="F35" s="118"/>
      <c r="G35" s="118"/>
      <c r="H35" s="118"/>
      <c r="I35" s="118"/>
      <c r="J35" s="118"/>
      <c r="K35" s="118"/>
      <c r="L35" s="118"/>
      <c r="M35" s="118"/>
      <c r="N35" s="118"/>
      <c r="O35" s="118"/>
      <c r="P35" s="118"/>
      <c r="Q35" s="118"/>
      <c r="R35" s="118"/>
      <c r="S35" s="118"/>
      <c r="T35" s="118"/>
      <c r="U35" s="118"/>
      <c r="V35" s="118"/>
      <c r="W35" s="118"/>
      <c r="X35" s="118"/>
      <c r="Y35" s="118"/>
    </row>
    <row r="36" spans="1:25" s="1" customFormat="1" ht="15.6" x14ac:dyDescent="0.3">
      <c r="A36" s="118"/>
      <c r="B36" s="118"/>
      <c r="C36" s="118"/>
      <c r="D36" s="118"/>
      <c r="E36" s="118"/>
      <c r="F36" s="118"/>
      <c r="G36" s="118"/>
      <c r="H36" s="118"/>
      <c r="I36" s="118"/>
      <c r="J36" s="118"/>
      <c r="K36" s="155" t="s">
        <v>212</v>
      </c>
      <c r="L36" s="118"/>
      <c r="M36" s="118"/>
      <c r="N36" s="138"/>
      <c r="O36" s="118"/>
      <c r="P36" s="118"/>
      <c r="Q36" s="118"/>
      <c r="R36" s="118"/>
      <c r="S36" s="118"/>
      <c r="T36" s="118"/>
      <c r="U36" s="118"/>
      <c r="V36" s="118"/>
      <c r="W36" s="118"/>
      <c r="X36" s="118"/>
      <c r="Y36" s="118"/>
    </row>
    <row r="37" spans="1:25" s="1" customFormat="1" ht="15.6" x14ac:dyDescent="0.3">
      <c r="A37" s="118"/>
      <c r="B37" s="118"/>
      <c r="C37" s="118"/>
      <c r="D37" s="118"/>
      <c r="E37" s="118"/>
      <c r="F37" s="118"/>
      <c r="G37" s="118"/>
      <c r="H37" s="118"/>
      <c r="I37" s="118"/>
      <c r="J37" s="155"/>
      <c r="K37" s="754" t="s">
        <v>207</v>
      </c>
      <c r="L37" s="755"/>
      <c r="M37" s="756"/>
      <c r="N37" s="210" t="s">
        <v>220</v>
      </c>
      <c r="O37" s="118"/>
      <c r="P37" s="118"/>
      <c r="Q37" s="118"/>
      <c r="R37" s="118"/>
      <c r="S37" s="118"/>
      <c r="T37" s="118"/>
      <c r="U37" s="118"/>
      <c r="V37" s="118"/>
      <c r="W37" s="118"/>
      <c r="X37" s="118"/>
      <c r="Y37" s="118"/>
    </row>
    <row r="38" spans="1:25" s="1" customFormat="1" ht="15.6" x14ac:dyDescent="0.3">
      <c r="A38" s="118"/>
      <c r="B38" s="118"/>
      <c r="C38" s="118"/>
      <c r="D38" s="118"/>
      <c r="E38" s="118"/>
      <c r="F38" s="118"/>
      <c r="G38" s="118"/>
      <c r="H38" s="118"/>
      <c r="I38" s="118"/>
      <c r="J38" s="155"/>
      <c r="K38" s="754" t="s">
        <v>206</v>
      </c>
      <c r="L38" s="755"/>
      <c r="M38" s="756"/>
      <c r="N38" s="210" t="s">
        <v>221</v>
      </c>
      <c r="O38" s="118"/>
      <c r="P38" s="118"/>
      <c r="Q38" s="118"/>
      <c r="R38" s="118"/>
      <c r="S38" s="118"/>
      <c r="T38" s="118"/>
      <c r="U38" s="118"/>
      <c r="V38" s="118"/>
      <c r="W38" s="118"/>
      <c r="X38" s="118"/>
      <c r="Y38" s="118"/>
    </row>
    <row r="39" spans="1:25" s="1" customFormat="1" ht="15" x14ac:dyDescent="0.25">
      <c r="A39" s="118"/>
      <c r="B39" s="118"/>
      <c r="C39" s="118"/>
      <c r="D39" s="118"/>
      <c r="E39" s="118"/>
      <c r="F39" s="118"/>
      <c r="G39" s="118"/>
      <c r="H39" s="118"/>
      <c r="I39" s="118"/>
      <c r="J39" s="137"/>
      <c r="K39" s="137"/>
      <c r="L39" s="137"/>
      <c r="M39" s="137"/>
      <c r="N39" s="118"/>
      <c r="O39" s="118"/>
      <c r="P39" s="118"/>
      <c r="Q39" s="118"/>
      <c r="R39" s="118"/>
      <c r="S39" s="118"/>
      <c r="T39" s="118"/>
      <c r="U39" s="118"/>
      <c r="V39" s="118"/>
      <c r="W39" s="118"/>
      <c r="X39" s="118"/>
      <c r="Y39" s="118"/>
    </row>
    <row r="40" spans="1:25" s="1" customFormat="1" ht="15.6" x14ac:dyDescent="0.3">
      <c r="A40" s="118"/>
      <c r="B40" s="118"/>
      <c r="C40" s="118"/>
      <c r="D40" s="118"/>
      <c r="E40" s="118"/>
      <c r="F40" s="118"/>
      <c r="G40" s="118"/>
      <c r="H40" s="118"/>
      <c r="I40" s="118"/>
      <c r="J40" s="137"/>
      <c r="K40" s="155" t="s">
        <v>248</v>
      </c>
      <c r="L40" s="137"/>
      <c r="M40" s="137"/>
      <c r="N40" s="118"/>
      <c r="O40" s="118"/>
      <c r="P40" s="118"/>
      <c r="Q40" s="118"/>
      <c r="R40" s="118"/>
      <c r="S40" s="118"/>
      <c r="T40" s="118"/>
      <c r="U40" s="118"/>
      <c r="V40" s="118"/>
      <c r="W40" s="118"/>
      <c r="X40" s="118"/>
      <c r="Y40" s="118"/>
    </row>
    <row r="41" spans="1:25" s="1" customFormat="1" ht="15.6" x14ac:dyDescent="0.3">
      <c r="A41" s="118"/>
      <c r="B41" s="118"/>
      <c r="C41" s="118"/>
      <c r="D41" s="118"/>
      <c r="E41" s="118"/>
      <c r="F41" s="118"/>
      <c r="G41" s="118"/>
      <c r="H41" s="118"/>
      <c r="I41" s="118"/>
      <c r="J41" s="155"/>
      <c r="K41" s="754" t="s">
        <v>630</v>
      </c>
      <c r="L41" s="755"/>
      <c r="M41" s="756"/>
      <c r="N41" s="194" t="s">
        <v>632</v>
      </c>
      <c r="O41" s="118"/>
      <c r="P41" s="118"/>
      <c r="Q41" s="118"/>
      <c r="R41" s="118"/>
      <c r="S41" s="118"/>
      <c r="T41" s="118"/>
      <c r="U41" s="118"/>
      <c r="V41" s="118"/>
      <c r="W41" s="118"/>
      <c r="X41" s="118"/>
      <c r="Y41" s="118"/>
    </row>
    <row r="42" spans="1:25" s="1" customFormat="1" ht="16.2" x14ac:dyDescent="0.35">
      <c r="A42" s="271"/>
      <c r="B42" s="271"/>
      <c r="C42" s="271"/>
      <c r="D42" s="271"/>
      <c r="E42" s="271"/>
      <c r="F42" s="271"/>
      <c r="G42" s="271"/>
      <c r="H42" s="271"/>
      <c r="I42" s="271"/>
      <c r="J42" s="155"/>
      <c r="K42" s="754" t="s">
        <v>631</v>
      </c>
      <c r="L42" s="755"/>
      <c r="M42" s="756"/>
      <c r="N42" s="271" t="s">
        <v>633</v>
      </c>
      <c r="O42" s="271"/>
      <c r="P42" s="271"/>
      <c r="Q42" s="271"/>
      <c r="R42" s="271"/>
      <c r="S42" s="271"/>
      <c r="T42" s="271"/>
      <c r="U42" s="271"/>
      <c r="V42" s="271"/>
      <c r="W42" s="271"/>
      <c r="X42" s="271"/>
      <c r="Y42" s="271"/>
    </row>
    <row r="43" spans="1:25" s="1" customFormat="1" ht="15.6" x14ac:dyDescent="0.3">
      <c r="A43" s="118"/>
      <c r="B43" s="118"/>
      <c r="C43" s="118"/>
      <c r="D43" s="118"/>
      <c r="E43" s="118"/>
      <c r="F43" s="118"/>
      <c r="G43" s="118"/>
      <c r="H43" s="118"/>
      <c r="I43" s="118"/>
      <c r="J43" s="155"/>
      <c r="K43" s="754" t="s">
        <v>249</v>
      </c>
      <c r="L43" s="755"/>
      <c r="M43" s="756"/>
      <c r="N43" s="194" t="s">
        <v>218</v>
      </c>
      <c r="O43" s="118"/>
      <c r="P43" s="118"/>
      <c r="Q43" s="118"/>
      <c r="R43" s="118"/>
      <c r="S43" s="118"/>
    </row>
    <row r="44" spans="1:25" s="1" customFormat="1" ht="15.6" x14ac:dyDescent="0.3">
      <c r="A44" s="118"/>
      <c r="B44" s="118"/>
      <c r="C44" s="118"/>
      <c r="D44" s="118"/>
      <c r="E44" s="118"/>
      <c r="F44" s="118"/>
      <c r="G44" s="118"/>
      <c r="H44" s="118"/>
      <c r="I44" s="118"/>
      <c r="J44" s="155"/>
      <c r="K44" s="456" t="s">
        <v>578</v>
      </c>
      <c r="L44" s="457"/>
      <c r="M44" s="458"/>
      <c r="N44" s="271" t="s">
        <v>579</v>
      </c>
      <c r="O44" s="271"/>
      <c r="P44" s="271"/>
      <c r="Q44" s="271"/>
      <c r="R44" s="271"/>
      <c r="S44" s="118"/>
    </row>
    <row r="45" spans="1:25" s="1" customFormat="1" ht="15.6" x14ac:dyDescent="0.3">
      <c r="A45" s="118"/>
      <c r="B45" s="118"/>
      <c r="C45" s="118"/>
      <c r="D45" s="118"/>
      <c r="E45" s="118"/>
      <c r="F45" s="118"/>
      <c r="G45" s="118"/>
      <c r="H45" s="118"/>
      <c r="I45" s="118"/>
      <c r="J45" s="155"/>
      <c r="K45" s="754" t="s">
        <v>94</v>
      </c>
      <c r="L45" s="755"/>
      <c r="M45" s="756"/>
      <c r="N45" s="194" t="s">
        <v>368</v>
      </c>
      <c r="O45" s="118"/>
      <c r="P45" s="118"/>
      <c r="Q45" s="118"/>
      <c r="R45" s="118"/>
      <c r="S45" s="118"/>
    </row>
    <row r="46" spans="1:25" s="1" customFormat="1" ht="15.6" x14ac:dyDescent="0.3">
      <c r="A46" s="118"/>
      <c r="B46" s="118"/>
      <c r="C46" s="118"/>
      <c r="D46" s="118"/>
      <c r="E46" s="118"/>
      <c r="F46" s="118"/>
      <c r="G46" s="118"/>
      <c r="H46" s="118"/>
      <c r="I46" s="118"/>
      <c r="J46" s="155"/>
      <c r="K46" s="754" t="s">
        <v>240</v>
      </c>
      <c r="L46" s="755"/>
      <c r="M46" s="756"/>
      <c r="N46" s="194" t="s">
        <v>219</v>
      </c>
      <c r="O46" s="118"/>
      <c r="P46" s="118"/>
      <c r="Q46" s="118"/>
      <c r="R46" s="118"/>
      <c r="S46" s="118"/>
    </row>
    <row r="47" spans="1:25" s="1" customFormat="1" ht="15" x14ac:dyDescent="0.25">
      <c r="A47" s="118"/>
      <c r="B47" s="118"/>
      <c r="C47" s="118"/>
      <c r="D47" s="118"/>
      <c r="E47" s="118"/>
      <c r="F47" s="118"/>
      <c r="G47" s="118"/>
      <c r="H47" s="118"/>
      <c r="I47" s="118"/>
      <c r="J47" s="137"/>
      <c r="K47" s="754" t="s">
        <v>244</v>
      </c>
      <c r="L47" s="755"/>
      <c r="M47" s="756"/>
      <c r="N47" s="271" t="s">
        <v>250</v>
      </c>
      <c r="O47" s="118"/>
      <c r="P47" s="118"/>
      <c r="Q47" s="118"/>
      <c r="R47" s="118"/>
      <c r="S47" s="118"/>
    </row>
    <row r="48" spans="1:25" s="1" customFormat="1" ht="15" x14ac:dyDescent="0.25">
      <c r="A48" s="118"/>
      <c r="B48" s="118"/>
      <c r="C48" s="118"/>
      <c r="D48" s="118"/>
      <c r="E48" s="118"/>
      <c r="F48" s="118"/>
      <c r="G48" s="118"/>
      <c r="H48" s="118"/>
      <c r="I48" s="118"/>
      <c r="J48" s="110"/>
      <c r="K48" s="110"/>
      <c r="L48" s="137"/>
      <c r="M48" s="137"/>
      <c r="N48" s="118"/>
      <c r="O48" s="118"/>
      <c r="P48" s="118"/>
      <c r="Q48" s="118"/>
      <c r="R48" s="118"/>
      <c r="S48" s="118"/>
      <c r="T48" s="118"/>
      <c r="U48" s="118"/>
      <c r="V48" s="118"/>
      <c r="W48" s="118"/>
      <c r="X48" s="118"/>
      <c r="Y48" s="118"/>
    </row>
    <row r="49" spans="1:25" s="1" customFormat="1" ht="15.6" x14ac:dyDescent="0.3">
      <c r="A49" s="118"/>
      <c r="B49" s="118"/>
      <c r="C49" s="118"/>
      <c r="D49" s="118"/>
      <c r="E49" s="118"/>
      <c r="F49" s="118"/>
      <c r="G49" s="118"/>
      <c r="H49" s="118"/>
      <c r="I49" s="118"/>
      <c r="J49" s="110"/>
      <c r="K49" s="155" t="s">
        <v>95</v>
      </c>
      <c r="L49" s="110"/>
      <c r="M49" s="110"/>
      <c r="S49" s="118"/>
      <c r="T49" s="118"/>
      <c r="U49" s="118"/>
      <c r="V49" s="118"/>
      <c r="W49" s="118"/>
      <c r="X49" s="118"/>
      <c r="Y49" s="118"/>
    </row>
    <row r="50" spans="1:25" s="1" customFormat="1" ht="15.6" x14ac:dyDescent="0.3">
      <c r="A50" s="118"/>
      <c r="B50" s="118"/>
      <c r="C50" s="118"/>
      <c r="D50" s="118"/>
      <c r="E50" s="118"/>
      <c r="F50" s="118"/>
      <c r="G50" s="118"/>
      <c r="H50" s="118"/>
      <c r="I50" s="118"/>
      <c r="J50" s="155"/>
      <c r="K50" s="757" t="s">
        <v>372</v>
      </c>
      <c r="L50" s="758"/>
      <c r="M50" s="759"/>
      <c r="N50" s="1" t="s">
        <v>373</v>
      </c>
      <c r="S50" s="118"/>
      <c r="T50" s="118"/>
      <c r="U50" s="118"/>
      <c r="V50" s="118"/>
      <c r="W50" s="118"/>
      <c r="X50" s="118"/>
      <c r="Y50" s="118"/>
    </row>
    <row r="51" spans="1:25" s="1" customFormat="1" ht="15.6" x14ac:dyDescent="0.3">
      <c r="A51" s="118"/>
      <c r="B51" s="118"/>
      <c r="C51" s="118"/>
      <c r="D51" s="118"/>
      <c r="E51" s="118"/>
      <c r="F51" s="118"/>
      <c r="G51" s="118"/>
      <c r="H51" s="118"/>
      <c r="I51" s="118"/>
      <c r="J51" s="155"/>
      <c r="K51" s="754" t="s">
        <v>667</v>
      </c>
      <c r="L51" s="755"/>
      <c r="M51" s="756"/>
      <c r="N51" s="271" t="s">
        <v>672</v>
      </c>
      <c r="O51" s="118"/>
      <c r="P51" s="118"/>
      <c r="Q51" s="118"/>
      <c r="R51" s="118"/>
      <c r="X51" s="118"/>
      <c r="Y51" s="118"/>
    </row>
    <row r="52" spans="1:25" s="1" customFormat="1" ht="15" x14ac:dyDescent="0.25">
      <c r="A52" s="118"/>
      <c r="B52" s="118"/>
      <c r="C52" s="118"/>
      <c r="D52" s="118"/>
      <c r="E52" s="118"/>
      <c r="F52" s="118"/>
      <c r="G52" s="118"/>
      <c r="H52" s="118"/>
      <c r="I52" s="118"/>
      <c r="J52" s="110"/>
      <c r="K52" s="754" t="s">
        <v>239</v>
      </c>
      <c r="L52" s="755"/>
      <c r="M52" s="756"/>
      <c r="N52" s="271" t="s">
        <v>251</v>
      </c>
      <c r="O52" s="271"/>
      <c r="P52" s="271"/>
      <c r="Q52" s="271"/>
      <c r="R52" s="271"/>
      <c r="X52" s="118"/>
      <c r="Y52" s="118"/>
    </row>
    <row r="53" spans="1:25" s="1" customFormat="1" ht="15" x14ac:dyDescent="0.25">
      <c r="A53" s="118"/>
      <c r="B53" s="118"/>
      <c r="C53" s="118"/>
      <c r="D53" s="118"/>
      <c r="E53" s="118"/>
      <c r="F53" s="118"/>
      <c r="G53" s="118"/>
      <c r="H53" s="118"/>
      <c r="I53" s="118"/>
      <c r="J53" s="118"/>
      <c r="K53" s="110"/>
      <c r="L53" s="110"/>
      <c r="M53" s="110"/>
      <c r="S53" s="118"/>
      <c r="T53" s="118"/>
      <c r="U53" s="118"/>
      <c r="V53" s="118"/>
      <c r="W53" s="118"/>
      <c r="X53" s="118"/>
      <c r="Y53" s="118"/>
    </row>
    <row r="54" spans="1:25" s="1" customFormat="1" x14ac:dyDescent="0.25">
      <c r="A54" s="118"/>
      <c r="B54" s="118"/>
      <c r="C54" s="118"/>
      <c r="D54" s="118"/>
      <c r="E54" s="118"/>
      <c r="F54" s="118"/>
      <c r="G54" s="118"/>
      <c r="H54" s="118"/>
      <c r="I54" s="118"/>
      <c r="J54" s="118"/>
      <c r="K54" s="118"/>
      <c r="L54" s="118"/>
      <c r="M54" s="118"/>
      <c r="N54" s="118"/>
      <c r="O54" s="118"/>
      <c r="P54" s="118"/>
      <c r="Q54" s="118"/>
      <c r="R54" s="118"/>
      <c r="S54" s="118"/>
      <c r="T54" s="118"/>
      <c r="U54" s="118"/>
      <c r="V54" s="118"/>
      <c r="W54" s="118"/>
      <c r="X54" s="118"/>
      <c r="Y54" s="118"/>
    </row>
    <row r="55" spans="1:25" s="1" customFormat="1" x14ac:dyDescent="0.25">
      <c r="A55" s="118"/>
      <c r="B55" s="118"/>
      <c r="C55" s="118"/>
      <c r="D55" s="118"/>
      <c r="E55" s="118"/>
      <c r="F55" s="118"/>
      <c r="G55" s="118"/>
      <c r="H55" s="118"/>
      <c r="I55" s="118"/>
      <c r="J55" s="118"/>
      <c r="K55" s="144" t="s">
        <v>216</v>
      </c>
      <c r="L55" s="118"/>
      <c r="M55" s="118"/>
      <c r="N55" s="118"/>
      <c r="O55" s="118"/>
      <c r="P55" s="118"/>
      <c r="Q55" s="118"/>
      <c r="R55" s="144" t="s">
        <v>217</v>
      </c>
      <c r="S55" s="118"/>
      <c r="T55" s="118"/>
      <c r="U55" s="118"/>
      <c r="V55" s="118"/>
      <c r="W55" s="118"/>
      <c r="X55" s="118"/>
      <c r="Y55" s="118"/>
    </row>
    <row r="56" spans="1:25" s="1" customFormat="1" x14ac:dyDescent="0.25">
      <c r="A56" s="118"/>
      <c r="B56" s="118"/>
      <c r="C56" s="118"/>
      <c r="D56" s="118"/>
      <c r="E56" s="118"/>
      <c r="F56" s="118"/>
      <c r="G56" s="118"/>
      <c r="H56" s="118"/>
      <c r="I56" s="118"/>
      <c r="J56" s="118"/>
      <c r="K56" s="118"/>
      <c r="L56" s="118"/>
      <c r="M56" s="118"/>
      <c r="N56" s="118"/>
      <c r="O56" s="118"/>
      <c r="P56" s="118"/>
      <c r="Q56" s="118"/>
      <c r="R56" s="118"/>
      <c r="S56" s="118"/>
      <c r="T56" s="118"/>
      <c r="U56" s="118"/>
      <c r="V56" s="118"/>
      <c r="W56" s="118"/>
      <c r="X56" s="118"/>
      <c r="Y56" s="118"/>
    </row>
    <row r="57" spans="1:25" s="1" customFormat="1" x14ac:dyDescent="0.25">
      <c r="A57" s="118"/>
      <c r="B57" s="118"/>
      <c r="C57" s="118"/>
      <c r="D57" s="118"/>
      <c r="E57" s="118"/>
      <c r="F57" s="118"/>
      <c r="G57" s="118"/>
      <c r="H57" s="118"/>
      <c r="I57" s="118"/>
      <c r="J57" s="118"/>
      <c r="L57" s="118"/>
      <c r="M57" s="118"/>
      <c r="N57" s="118"/>
      <c r="O57" s="118"/>
      <c r="P57" s="118"/>
      <c r="Q57" s="118"/>
      <c r="R57" s="118"/>
      <c r="S57" s="118"/>
      <c r="T57" s="118"/>
      <c r="U57" s="118"/>
      <c r="V57" s="118"/>
      <c r="W57" s="118"/>
      <c r="X57" s="118"/>
      <c r="Y57" s="118"/>
    </row>
    <row r="58" spans="1:25" s="1" customFormat="1" x14ac:dyDescent="0.25">
      <c r="A58" s="118"/>
      <c r="B58" s="118"/>
      <c r="C58" s="118"/>
      <c r="D58" s="118"/>
      <c r="E58" s="118"/>
      <c r="F58" s="118"/>
      <c r="G58" s="118"/>
      <c r="H58" s="118"/>
      <c r="I58" s="118"/>
      <c r="J58" s="118"/>
      <c r="K58" s="118"/>
      <c r="L58" s="118"/>
      <c r="M58" s="118"/>
      <c r="N58" s="118"/>
      <c r="O58" s="118"/>
      <c r="P58" s="118"/>
      <c r="Q58" s="118"/>
      <c r="R58" s="118"/>
      <c r="S58" s="118"/>
      <c r="T58" s="118"/>
      <c r="U58" s="118"/>
      <c r="V58" s="118"/>
      <c r="W58" s="118"/>
      <c r="X58" s="118"/>
      <c r="Y58" s="118"/>
    </row>
    <row r="59" spans="1:25" x14ac:dyDescent="0.25"/>
    <row r="60" spans="1:25" x14ac:dyDescent="0.25"/>
    <row r="61" spans="1:25" x14ac:dyDescent="0.25"/>
    <row r="62" spans="1:25" x14ac:dyDescent="0.25"/>
    <row r="63" spans="1:25" x14ac:dyDescent="0.25"/>
    <row r="64" spans="1:25" x14ac:dyDescent="0.25"/>
    <row r="65" spans="11:18" x14ac:dyDescent="0.25"/>
    <row r="66" spans="11:18" s="271" customFormat="1" x14ac:dyDescent="0.25">
      <c r="K66" s="118"/>
      <c r="L66" s="118"/>
      <c r="M66" s="118"/>
      <c r="N66" s="118"/>
      <c r="O66" s="118"/>
      <c r="P66" s="118"/>
      <c r="Q66" s="118"/>
      <c r="R66" s="118"/>
    </row>
    <row r="67" spans="11:18" s="271" customFormat="1" x14ac:dyDescent="0.25"/>
    <row r="68" spans="11:18" s="271" customFormat="1" x14ac:dyDescent="0.25"/>
    <row r="69" spans="11:18" x14ac:dyDescent="0.25">
      <c r="K69" s="271"/>
      <c r="L69" s="271"/>
      <c r="M69" s="271"/>
      <c r="N69" s="271"/>
      <c r="O69" s="271"/>
      <c r="P69" s="271"/>
      <c r="Q69" s="271"/>
      <c r="R69" s="271"/>
    </row>
    <row r="70" spans="11:18" x14ac:dyDescent="0.25"/>
    <row r="71" spans="11:18" x14ac:dyDescent="0.25"/>
    <row r="72" spans="11:18" x14ac:dyDescent="0.25"/>
    <row r="73" spans="11:18" x14ac:dyDescent="0.25"/>
    <row r="74" spans="11:18" hidden="1" x14ac:dyDescent="0.25"/>
    <row r="75" spans="11:18" hidden="1" x14ac:dyDescent="0.25"/>
    <row r="76" spans="11:18" hidden="1" x14ac:dyDescent="0.25"/>
    <row r="77" spans="11:18" hidden="1" x14ac:dyDescent="0.25"/>
    <row r="78" spans="11:18" hidden="1" x14ac:dyDescent="0.25"/>
    <row r="79" spans="11:18" hidden="1" x14ac:dyDescent="0.25"/>
    <row r="80" spans="11:18"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sheetData>
  <sheetProtection algorithmName="SHA-512" hashValue="BviDgAyEThQvnMTT6JAvAJQ58++j8Ok495hmSPNu4mIDVYrFYbE86k5fHaq3So+QAeYQcSdE5QZNhhS8CyHrJw==" saltValue="WwKXuWq1mhCnSyPnfGPmag==" spinCount="100000" sheet="1" objects="1" scenarios="1"/>
  <mergeCells count="22">
    <mergeCell ref="A1:U3"/>
    <mergeCell ref="A4:Y4"/>
    <mergeCell ref="K37:M37"/>
    <mergeCell ref="K38:M38"/>
    <mergeCell ref="N25:O25"/>
    <mergeCell ref="N21:O21"/>
    <mergeCell ref="N22:O22"/>
    <mergeCell ref="N24:O24"/>
    <mergeCell ref="N27:O27"/>
    <mergeCell ref="N28:O28"/>
    <mergeCell ref="N30:O30"/>
    <mergeCell ref="N31:O31"/>
    <mergeCell ref="Q21:R21"/>
    <mergeCell ref="K52:M52"/>
    <mergeCell ref="K46:M46"/>
    <mergeCell ref="K47:M47"/>
    <mergeCell ref="K51:M51"/>
    <mergeCell ref="K41:M41"/>
    <mergeCell ref="K43:M43"/>
    <mergeCell ref="K45:M45"/>
    <mergeCell ref="K50:M50"/>
    <mergeCell ref="K42:M42"/>
  </mergeCells>
  <dataValidations count="3">
    <dataValidation type="decimal" allowBlank="1" showInputMessage="1" showErrorMessage="1" errorTitle="Enter IBias current" error="Enter a IBias current between 5uA and 400uA" promptTitle="IBias" prompt="Enter a IBias current between 5uA and 400uA" sqref="N25:O25" xr:uid="{00000000-0002-0000-0000-000000000000}">
      <formula1>1</formula1>
      <formula2>400</formula2>
    </dataValidation>
    <dataValidation type="whole" allowBlank="1" showInputMessage="1" showErrorMessage="1" errorTitle="ADC" error="Enter the ADC Bit value between 8 bits and 32 bits." promptTitle="ADC" prompt="Enter the ADC Bit value between 8 bits and 32 bits" sqref="N28:O28" xr:uid="{00000000-0002-0000-0000-000001000000}">
      <formula1>8</formula1>
      <formula2>32</formula2>
    </dataValidation>
    <dataValidation type="decimal" allowBlank="1" showInputMessage="1" showErrorMessage="1" errorTitle="Enter VREF Voltage" error="Enter aVREF voltage between 0.800 and 5.50." promptTitle="VREF" prompt="Enter a VREF voltage between 0.800 and 5.50." sqref="N31:O31" xr:uid="{00000000-0002-0000-0000-000002000000}">
      <formula1>0.8</formula1>
      <formula2>5.5</formula2>
    </dataValidation>
  </dataValidations>
  <hyperlinks>
    <hyperlink ref="K37" location="'Device Resistance Tables'!A1" display="Device Resistance Tables" xr:uid="{00000000-0004-0000-0000-000001000000}"/>
    <hyperlink ref="K41" location="'4th order poly regression'!A1" display="4th order poly regression" xr:uid="{00000000-0004-0000-0000-000002000000}"/>
    <hyperlink ref="K43" location="'Steinhart-Hart (PTC)'!A1" display="Steinhart-Hart (PTC)" xr:uid="{00000000-0004-0000-0000-000003000000}"/>
    <hyperlink ref="K45" location="'Lookup table'!A1" display="Lookup table" xr:uid="{00000000-0004-0000-0000-000004000000}"/>
    <hyperlink ref="K47" location="'2 point temperture calcs'!A1" display="2 point temperature calcs" xr:uid="{00000000-0004-0000-0000-000005000000}"/>
    <hyperlink ref="K38" location="'NTC Thermistor Comparison'!A1" display="NTC Thermistor Comparison" xr:uid="{00000000-0004-0000-0000-000006000000}"/>
    <hyperlink ref="K46:M46" location="'Interpolation From Lookup Table'!A5" display="Interpolation From Lookup Table" xr:uid="{00000000-0004-0000-0000-000007000000}"/>
    <hyperlink ref="K47:M47" location="'Threshold Detection'!A5" display="Threshold Detection" xr:uid="{00000000-0004-0000-0000-000009000000}"/>
    <hyperlink ref="K43:M43" location="'Steinhart-Hart'!A5" display="Steinhart-Hart" xr:uid="{00000000-0004-0000-0000-00000A000000}"/>
    <hyperlink ref="K41:M41" location="'4th Order Polynomial Tmp vs Res'!A1" display="4th Order Polynomial Tmp vs Res" xr:uid="{00000000-0004-0000-0000-00000B000000}"/>
    <hyperlink ref="K50:M50" location="Averaging!A5" display="Averaging" xr:uid="{00000000-0004-0000-0000-00000C000000}"/>
    <hyperlink ref="K45:M45" location="'Lookup table'!A5" display="Lookup table" xr:uid="{00000000-0004-0000-0000-00000D000000}"/>
    <hyperlink ref="K38:M38" location="'NTC Thermistor Comparison'!A5" display="NTC Thermistor Comparison" xr:uid="{00000000-0004-0000-0000-00000E000000}"/>
    <hyperlink ref="K37:M37" location="'Device Resistance Tables'!A5" display="Device Resistance Tables" xr:uid="{00000000-0004-0000-0000-00000F000000}"/>
    <hyperlink ref="M6" r:id="rId1" xr:uid="{00000000-0004-0000-0000-000010000000}"/>
    <hyperlink ref="K44" location="'Constant Current Source'!A5" display="Constant Current Source" xr:uid="{00000000-0004-0000-0000-000011000000}"/>
    <hyperlink ref="K42" location="'4th order poly regression'!A1" display="4th order poly regression" xr:uid="{00000000-0004-0000-0000-000012000000}"/>
    <hyperlink ref="K42:M42" location="'4th Order Polynomial Tmp vs Vdc'!A1" display="4th Order Polynomial Tmp vs Vdc" xr:uid="{00000000-0004-0000-0000-000013000000}"/>
    <hyperlink ref="K52:L52" location="'Misc Formulas'!A1" display="Misc Formulas" xr:uid="{C59DC2E5-2457-420F-88C4-07333A3DCFF1}"/>
    <hyperlink ref="K52:M52" location="'Basic Formulas'!A5" display="Basic Formulas" xr:uid="{2A4D81A8-86A8-4CC0-B193-545BFA6BE915}"/>
    <hyperlink ref="K51:L51" location="'Misc Formulas'!A1" display="Misc Formulas" xr:uid="{C505D319-D81C-4EDF-B023-8591CFF36BDB}"/>
    <hyperlink ref="K51:M51" location="'Low Pass Filter'!A1" display="Low Pass Filter" xr:uid="{29195902-3B11-4A83-ABF6-A960B10B1ECE}"/>
  </hyperlinks>
  <pageMargins left="0.25" right="0.25" top="0.25" bottom="0.25" header="0.3" footer="0.3"/>
  <pageSetup orientation="portrait" r:id="rId2"/>
  <drawing r:id="rId3"/>
  <legacyDrawing r:id="rId4"/>
  <oleObjects>
    <mc:AlternateContent xmlns:mc="http://schemas.openxmlformats.org/markup-compatibility/2006">
      <mc:Choice Requires="x14">
        <oleObject progId="Visio.Drawing.15" shapeId="1025" r:id="rId5">
          <objectPr defaultSize="0" autoPict="0" r:id="rId6">
            <anchor moveWithCells="1">
              <from>
                <xdr:col>18</xdr:col>
                <xdr:colOff>198120</xdr:colOff>
                <xdr:row>13</xdr:row>
                <xdr:rowOff>114300</xdr:rowOff>
              </from>
              <to>
                <xdr:col>21</xdr:col>
                <xdr:colOff>342900</xdr:colOff>
                <xdr:row>36</xdr:row>
                <xdr:rowOff>60960</xdr:rowOff>
              </to>
            </anchor>
          </objectPr>
        </oleObject>
      </mc:Choice>
      <mc:Fallback>
        <oleObject progId="Visio.Drawing.15" shapeId="1025" r:id="rId5"/>
      </mc:Fallback>
    </mc:AlternateContent>
  </oleObjec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3000000}">
          <x14:formula1>
            <xm:f>Coefficients!$E$2:$E$28</xm:f>
          </x14:formula1>
          <xm:sqref>N22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S216"/>
  <sheetViews>
    <sheetView topLeftCell="D1" zoomScale="80" zoomScaleNormal="80" workbookViewId="0">
      <selection activeCell="O1" sqref="O1"/>
    </sheetView>
  </sheetViews>
  <sheetFormatPr defaultRowHeight="13.2" x14ac:dyDescent="0.25"/>
  <cols>
    <col min="1" max="1" width="16.6640625" style="314" customWidth="1"/>
    <col min="2" max="2" width="20.109375" style="314" customWidth="1"/>
    <col min="3" max="3" width="23.33203125" style="314" customWidth="1"/>
    <col min="4" max="4" width="17.33203125" customWidth="1"/>
    <col min="5" max="5" width="22.88671875" bestFit="1" customWidth="1"/>
    <col min="6" max="11" width="17.6640625" customWidth="1"/>
    <col min="12" max="12" width="13.6640625" bestFit="1" customWidth="1"/>
    <col min="13" max="13" width="13.109375" bestFit="1" customWidth="1"/>
    <col min="14" max="14" width="15.77734375" style="314" customWidth="1"/>
    <col min="15" max="15" width="15.77734375" customWidth="1"/>
    <col min="16" max="16" width="15.77734375" style="314" customWidth="1"/>
    <col min="17" max="18" width="15.77734375" customWidth="1"/>
    <col min="19" max="19" width="13.88671875" customWidth="1"/>
  </cols>
  <sheetData>
    <row r="1" spans="1:17" ht="15.6" x14ac:dyDescent="0.3">
      <c r="A1" s="351" t="s">
        <v>10</v>
      </c>
      <c r="B1" s="351"/>
      <c r="C1" s="351"/>
      <c r="D1" s="127"/>
      <c r="E1" s="5" t="s">
        <v>201</v>
      </c>
      <c r="F1" s="5" t="s">
        <v>203</v>
      </c>
      <c r="G1" s="5"/>
      <c r="H1" s="5" t="s">
        <v>202</v>
      </c>
      <c r="I1" s="5" t="s">
        <v>438</v>
      </c>
      <c r="J1" s="307" t="s">
        <v>367</v>
      </c>
      <c r="K1" s="308"/>
      <c r="L1" s="308"/>
      <c r="M1" s="308"/>
      <c r="N1" s="380" t="s">
        <v>528</v>
      </c>
      <c r="O1" s="381" t="s">
        <v>529</v>
      </c>
      <c r="P1" s="382" t="s">
        <v>530</v>
      </c>
    </row>
    <row r="2" spans="1:17" ht="15" x14ac:dyDescent="0.25">
      <c r="A2" s="314">
        <v>1</v>
      </c>
      <c r="E2" s="117" t="s">
        <v>290</v>
      </c>
      <c r="F2" s="114">
        <v>10000</v>
      </c>
      <c r="G2" t="s">
        <v>1</v>
      </c>
      <c r="H2">
        <v>125</v>
      </c>
      <c r="I2">
        <v>-40</v>
      </c>
      <c r="N2" s="5" t="s">
        <v>68</v>
      </c>
      <c r="O2" s="5" t="s">
        <v>369</v>
      </c>
      <c r="P2" s="5" t="s">
        <v>370</v>
      </c>
      <c r="Q2" s="5" t="s">
        <v>371</v>
      </c>
    </row>
    <row r="3" spans="1:17" ht="15" x14ac:dyDescent="0.25">
      <c r="A3" s="314">
        <v>2</v>
      </c>
      <c r="E3" s="117" t="s">
        <v>291</v>
      </c>
      <c r="F3" s="114">
        <v>10000</v>
      </c>
      <c r="G3" t="s">
        <v>1</v>
      </c>
      <c r="H3">
        <v>125</v>
      </c>
      <c r="I3">
        <v>-40</v>
      </c>
      <c r="N3" s="364">
        <v>0.9</v>
      </c>
      <c r="O3" s="313">
        <v>43872</v>
      </c>
      <c r="P3" s="314">
        <v>1</v>
      </c>
      <c r="Q3" t="s">
        <v>470</v>
      </c>
    </row>
    <row r="4" spans="1:17" ht="15" x14ac:dyDescent="0.25">
      <c r="A4" s="314">
        <v>3</v>
      </c>
      <c r="E4" s="117" t="s">
        <v>292</v>
      </c>
      <c r="F4" s="114">
        <v>10000</v>
      </c>
      <c r="G4" t="s">
        <v>1</v>
      </c>
      <c r="H4">
        <v>125</v>
      </c>
      <c r="I4">
        <v>-40</v>
      </c>
      <c r="N4" s="364">
        <v>1</v>
      </c>
      <c r="O4" s="313">
        <v>43873</v>
      </c>
      <c r="P4" s="314">
        <v>1</v>
      </c>
      <c r="Q4" t="s">
        <v>443</v>
      </c>
    </row>
    <row r="5" spans="1:17" ht="15" x14ac:dyDescent="0.25">
      <c r="A5" s="314">
        <v>4</v>
      </c>
      <c r="E5" s="117" t="s">
        <v>293</v>
      </c>
      <c r="F5" s="114">
        <v>10000</v>
      </c>
      <c r="G5" t="s">
        <v>1</v>
      </c>
      <c r="H5">
        <v>125</v>
      </c>
      <c r="I5">
        <v>-40</v>
      </c>
      <c r="N5" s="364"/>
      <c r="P5" s="314">
        <v>2</v>
      </c>
      <c r="Q5" t="s">
        <v>506</v>
      </c>
    </row>
    <row r="6" spans="1:17" ht="15" x14ac:dyDescent="0.25">
      <c r="A6" s="314">
        <v>5</v>
      </c>
      <c r="E6" s="117" t="s">
        <v>288</v>
      </c>
      <c r="F6" s="114">
        <v>10000</v>
      </c>
      <c r="G6" t="s">
        <v>1</v>
      </c>
      <c r="H6">
        <v>150</v>
      </c>
      <c r="I6">
        <v>-40</v>
      </c>
      <c r="N6" s="364"/>
      <c r="P6" s="314">
        <v>3</v>
      </c>
      <c r="Q6" s="347" t="s">
        <v>507</v>
      </c>
    </row>
    <row r="7" spans="1:17" ht="15" x14ac:dyDescent="0.25">
      <c r="A7" s="314">
        <v>6</v>
      </c>
      <c r="E7" s="117" t="s">
        <v>414</v>
      </c>
      <c r="F7" s="114">
        <v>10000</v>
      </c>
      <c r="G7" t="s">
        <v>1</v>
      </c>
      <c r="H7">
        <v>150</v>
      </c>
      <c r="I7">
        <v>-40</v>
      </c>
      <c r="N7" s="364">
        <v>1.1000000000000001</v>
      </c>
      <c r="O7" s="313">
        <v>43931</v>
      </c>
      <c r="P7" s="314">
        <v>1</v>
      </c>
      <c r="Q7" t="s">
        <v>510</v>
      </c>
    </row>
    <row r="8" spans="1:17" ht="15" x14ac:dyDescent="0.25">
      <c r="A8" s="314">
        <v>7</v>
      </c>
      <c r="E8" s="117" t="s">
        <v>289</v>
      </c>
      <c r="F8" s="114">
        <v>10000</v>
      </c>
      <c r="G8" t="s">
        <v>1</v>
      </c>
      <c r="H8">
        <v>150</v>
      </c>
      <c r="I8">
        <v>-40</v>
      </c>
      <c r="N8" s="364">
        <v>1.2</v>
      </c>
      <c r="O8" s="313">
        <v>44145</v>
      </c>
      <c r="P8" s="314">
        <v>1</v>
      </c>
      <c r="Q8" s="347" t="s">
        <v>527</v>
      </c>
    </row>
    <row r="9" spans="1:17" ht="15" customHeight="1" x14ac:dyDescent="0.25">
      <c r="A9" s="314">
        <v>8</v>
      </c>
      <c r="E9" s="117" t="s">
        <v>415</v>
      </c>
      <c r="F9" s="114">
        <v>10000</v>
      </c>
      <c r="G9" t="s">
        <v>1</v>
      </c>
      <c r="H9">
        <v>150</v>
      </c>
      <c r="I9">
        <v>-40</v>
      </c>
      <c r="N9" s="364"/>
      <c r="P9" s="314">
        <v>2</v>
      </c>
      <c r="Q9" s="347" t="s">
        <v>616</v>
      </c>
    </row>
    <row r="10" spans="1:17" ht="15" x14ac:dyDescent="0.25">
      <c r="A10" s="314">
        <v>9</v>
      </c>
      <c r="E10" s="117" t="s">
        <v>285</v>
      </c>
      <c r="F10" s="114">
        <v>10000</v>
      </c>
      <c r="G10" t="s">
        <v>1</v>
      </c>
      <c r="H10">
        <v>150</v>
      </c>
      <c r="I10">
        <v>-40</v>
      </c>
      <c r="N10" s="364">
        <v>1.21</v>
      </c>
      <c r="O10" s="313">
        <v>44206</v>
      </c>
      <c r="P10" s="314">
        <v>1</v>
      </c>
      <c r="Q10" s="347" t="s">
        <v>629</v>
      </c>
    </row>
    <row r="11" spans="1:17" ht="15" x14ac:dyDescent="0.25">
      <c r="A11" s="314">
        <v>10</v>
      </c>
      <c r="E11" s="117" t="s">
        <v>286</v>
      </c>
      <c r="F11" s="114">
        <v>10000</v>
      </c>
      <c r="G11" t="s">
        <v>1</v>
      </c>
      <c r="H11">
        <v>150</v>
      </c>
      <c r="I11">
        <v>-40</v>
      </c>
      <c r="N11" s="364">
        <v>1.3</v>
      </c>
      <c r="O11" s="313">
        <v>44251</v>
      </c>
      <c r="P11" s="314">
        <v>1</v>
      </c>
      <c r="Q11" s="347" t="s">
        <v>628</v>
      </c>
    </row>
    <row r="12" spans="1:17" ht="15" x14ac:dyDescent="0.25">
      <c r="A12" s="314">
        <v>11</v>
      </c>
      <c r="E12" s="117" t="s">
        <v>287</v>
      </c>
      <c r="F12" s="114">
        <v>10000</v>
      </c>
      <c r="G12" t="s">
        <v>1</v>
      </c>
      <c r="H12">
        <v>170</v>
      </c>
      <c r="I12">
        <v>-40</v>
      </c>
      <c r="N12" s="364"/>
      <c r="O12" s="313"/>
      <c r="P12" s="314">
        <v>2</v>
      </c>
      <c r="Q12" s="347" t="s">
        <v>640</v>
      </c>
    </row>
    <row r="13" spans="1:17" ht="15" x14ac:dyDescent="0.25">
      <c r="A13" s="314">
        <v>12</v>
      </c>
      <c r="E13" s="117" t="s">
        <v>283</v>
      </c>
      <c r="F13" s="114">
        <v>100000</v>
      </c>
      <c r="G13" t="s">
        <v>1</v>
      </c>
      <c r="H13">
        <v>125</v>
      </c>
      <c r="I13">
        <v>-40</v>
      </c>
      <c r="N13" s="364"/>
      <c r="O13" s="313"/>
      <c r="P13" s="314">
        <v>3</v>
      </c>
      <c r="Q13" s="347" t="s">
        <v>641</v>
      </c>
    </row>
    <row r="14" spans="1:17" ht="15" x14ac:dyDescent="0.25">
      <c r="A14" s="314">
        <v>13</v>
      </c>
      <c r="E14" s="117" t="s">
        <v>416</v>
      </c>
      <c r="F14" s="114">
        <v>100000</v>
      </c>
      <c r="G14" t="s">
        <v>1</v>
      </c>
      <c r="H14">
        <v>125</v>
      </c>
      <c r="I14">
        <v>-40</v>
      </c>
      <c r="N14" s="364"/>
      <c r="O14" s="313"/>
      <c r="P14" s="314">
        <v>4</v>
      </c>
      <c r="Q14" s="347" t="s">
        <v>642</v>
      </c>
    </row>
    <row r="15" spans="1:17" ht="15" x14ac:dyDescent="0.25">
      <c r="A15" s="314">
        <v>14</v>
      </c>
      <c r="E15" s="117" t="s">
        <v>284</v>
      </c>
      <c r="F15" s="114">
        <v>100000</v>
      </c>
      <c r="G15" t="s">
        <v>1</v>
      </c>
      <c r="H15">
        <v>125</v>
      </c>
      <c r="I15">
        <v>-40</v>
      </c>
      <c r="N15" s="364"/>
      <c r="O15" s="313"/>
      <c r="P15" s="314">
        <v>5</v>
      </c>
      <c r="Q15" s="347" t="s">
        <v>668</v>
      </c>
    </row>
    <row r="16" spans="1:17" ht="15" x14ac:dyDescent="0.25">
      <c r="A16" s="314">
        <v>15</v>
      </c>
      <c r="E16" s="117" t="s">
        <v>417</v>
      </c>
      <c r="F16" s="114">
        <v>100000</v>
      </c>
      <c r="G16" t="s">
        <v>1</v>
      </c>
      <c r="H16">
        <v>125</v>
      </c>
      <c r="I16">
        <v>-40</v>
      </c>
      <c r="N16" s="364"/>
      <c r="O16" s="313"/>
      <c r="P16" s="314">
        <v>6</v>
      </c>
      <c r="Q16" s="347" t="s">
        <v>671</v>
      </c>
    </row>
    <row r="17" spans="1:18" ht="15" x14ac:dyDescent="0.25">
      <c r="A17" s="314">
        <v>16</v>
      </c>
      <c r="E17" s="117" t="s">
        <v>514</v>
      </c>
      <c r="F17" s="114">
        <v>100000</v>
      </c>
      <c r="G17" t="s">
        <v>1</v>
      </c>
      <c r="H17">
        <v>150</v>
      </c>
      <c r="I17">
        <v>-40</v>
      </c>
      <c r="N17" s="364">
        <v>1.31</v>
      </c>
      <c r="O17" s="455">
        <v>44313</v>
      </c>
      <c r="P17" s="314">
        <v>1</v>
      </c>
      <c r="Q17" s="347" t="s">
        <v>682</v>
      </c>
    </row>
    <row r="18" spans="1:18" ht="15" x14ac:dyDescent="0.25">
      <c r="A18" s="314">
        <v>17</v>
      </c>
      <c r="E18" s="117" t="s">
        <v>515</v>
      </c>
      <c r="F18" s="114">
        <v>100000</v>
      </c>
      <c r="G18" t="s">
        <v>1</v>
      </c>
      <c r="H18">
        <v>150</v>
      </c>
      <c r="I18">
        <v>-40</v>
      </c>
      <c r="N18" s="364"/>
      <c r="O18" s="313"/>
      <c r="Q18" s="347"/>
    </row>
    <row r="19" spans="1:18" ht="15" x14ac:dyDescent="0.25">
      <c r="A19" s="314">
        <v>18</v>
      </c>
      <c r="E19" s="117" t="s">
        <v>516</v>
      </c>
      <c r="F19" s="114">
        <v>100000</v>
      </c>
      <c r="G19" t="s">
        <v>1</v>
      </c>
      <c r="H19">
        <v>150</v>
      </c>
      <c r="I19">
        <v>-40</v>
      </c>
      <c r="N19" s="364"/>
      <c r="O19" s="313"/>
      <c r="Q19" s="347"/>
    </row>
    <row r="20" spans="1:18" ht="15" x14ac:dyDescent="0.25">
      <c r="A20" s="314">
        <v>19</v>
      </c>
      <c r="E20" s="117" t="s">
        <v>517</v>
      </c>
      <c r="F20" s="114">
        <v>100000</v>
      </c>
      <c r="G20" t="s">
        <v>1</v>
      </c>
      <c r="H20">
        <v>150</v>
      </c>
      <c r="I20">
        <v>-40</v>
      </c>
      <c r="N20" s="364"/>
      <c r="O20" s="313"/>
      <c r="Q20" s="347"/>
    </row>
    <row r="21" spans="1:18" ht="15" x14ac:dyDescent="0.25">
      <c r="A21" s="314">
        <v>20</v>
      </c>
      <c r="E21" s="117" t="s">
        <v>351</v>
      </c>
      <c r="F21" s="114">
        <v>47000</v>
      </c>
      <c r="G21" t="s">
        <v>1</v>
      </c>
      <c r="H21">
        <v>125</v>
      </c>
      <c r="I21">
        <v>-40</v>
      </c>
      <c r="N21" s="364"/>
      <c r="O21" s="313"/>
      <c r="Q21" s="347"/>
    </row>
    <row r="22" spans="1:18" ht="15" x14ac:dyDescent="0.25">
      <c r="A22" s="314">
        <v>21</v>
      </c>
      <c r="E22" s="117" t="s">
        <v>352</v>
      </c>
      <c r="F22" s="114">
        <v>47000</v>
      </c>
      <c r="G22" t="s">
        <v>1</v>
      </c>
      <c r="H22">
        <v>125</v>
      </c>
      <c r="I22">
        <v>-40</v>
      </c>
      <c r="N22" s="364"/>
      <c r="Q22" s="347"/>
    </row>
    <row r="23" spans="1:18" ht="15" x14ac:dyDescent="0.25">
      <c r="A23" s="314">
        <v>22</v>
      </c>
      <c r="E23" s="117" t="s">
        <v>518</v>
      </c>
      <c r="F23" s="114">
        <v>47000</v>
      </c>
      <c r="G23" t="s">
        <v>1</v>
      </c>
      <c r="H23">
        <v>150</v>
      </c>
      <c r="I23">
        <v>-40</v>
      </c>
      <c r="N23" s="364"/>
      <c r="O23" s="313"/>
      <c r="Q23" s="347"/>
    </row>
    <row r="24" spans="1:18" ht="15" x14ac:dyDescent="0.25">
      <c r="A24" s="314">
        <v>23</v>
      </c>
      <c r="E24" s="117" t="s">
        <v>519</v>
      </c>
      <c r="F24" s="114">
        <v>47000</v>
      </c>
      <c r="G24" t="s">
        <v>1</v>
      </c>
      <c r="H24">
        <v>150</v>
      </c>
      <c r="I24">
        <v>-40</v>
      </c>
      <c r="N24" s="364"/>
      <c r="O24" s="313"/>
      <c r="Q24" s="347"/>
    </row>
    <row r="25" spans="1:18" ht="15" x14ac:dyDescent="0.25">
      <c r="A25" s="314">
        <v>24</v>
      </c>
      <c r="E25" s="117" t="s">
        <v>520</v>
      </c>
      <c r="F25" s="114">
        <v>47000</v>
      </c>
      <c r="G25" t="s">
        <v>1</v>
      </c>
      <c r="H25">
        <v>150</v>
      </c>
      <c r="I25">
        <v>-40</v>
      </c>
      <c r="N25" s="364"/>
      <c r="O25" s="313"/>
      <c r="Q25" s="347"/>
    </row>
    <row r="26" spans="1:18" ht="15" x14ac:dyDescent="0.25">
      <c r="A26" s="314">
        <v>25</v>
      </c>
      <c r="E26" s="117" t="s">
        <v>521</v>
      </c>
      <c r="F26" s="114">
        <v>47000</v>
      </c>
      <c r="G26" t="s">
        <v>1</v>
      </c>
      <c r="H26">
        <v>150</v>
      </c>
      <c r="I26">
        <v>-40</v>
      </c>
      <c r="N26" s="364"/>
      <c r="O26" s="313"/>
      <c r="Q26" s="347"/>
    </row>
    <row r="27" spans="1:18" ht="15.6" thickBot="1" x14ac:dyDescent="0.3">
      <c r="A27" s="314">
        <v>26</v>
      </c>
      <c r="E27" s="117" t="s">
        <v>522</v>
      </c>
      <c r="F27" s="114">
        <v>47000</v>
      </c>
      <c r="G27" t="s">
        <v>1</v>
      </c>
      <c r="H27">
        <v>125</v>
      </c>
      <c r="I27">
        <v>-40</v>
      </c>
      <c r="N27" s="364"/>
      <c r="O27" s="313"/>
      <c r="Q27" s="347"/>
    </row>
    <row r="28" spans="1:18" ht="15" x14ac:dyDescent="0.25">
      <c r="A28" s="368">
        <v>27</v>
      </c>
      <c r="B28" s="368"/>
      <c r="C28" s="368"/>
      <c r="D28" s="369"/>
      <c r="E28" s="370" t="s">
        <v>523</v>
      </c>
      <c r="F28" s="371">
        <v>47000</v>
      </c>
      <c r="G28" s="369" t="s">
        <v>1</v>
      </c>
      <c r="H28" s="369">
        <v>125</v>
      </c>
      <c r="I28" s="369">
        <v>-40</v>
      </c>
      <c r="J28" s="372" t="s">
        <v>363</v>
      </c>
      <c r="K28" s="369"/>
      <c r="L28" s="369"/>
      <c r="M28" s="369"/>
      <c r="Q28" s="347"/>
    </row>
    <row r="29" spans="1:18" ht="14.4" x14ac:dyDescent="0.25">
      <c r="J29" s="376" t="s">
        <v>511</v>
      </c>
      <c r="Q29" s="347"/>
    </row>
    <row r="30" spans="1:18" ht="14.4" x14ac:dyDescent="0.25">
      <c r="J30" s="376" t="s">
        <v>512</v>
      </c>
      <c r="N30" s="364"/>
      <c r="Q30" s="347"/>
    </row>
    <row r="31" spans="1:18" x14ac:dyDescent="0.25">
      <c r="J31" s="376" t="s">
        <v>513</v>
      </c>
      <c r="K31" s="291"/>
      <c r="N31" s="364"/>
    </row>
    <row r="32" spans="1:18" x14ac:dyDescent="0.25">
      <c r="K32" s="291"/>
      <c r="P32" s="364"/>
      <c r="R32" s="314"/>
    </row>
    <row r="33" spans="1:18" x14ac:dyDescent="0.25">
      <c r="K33" s="291"/>
      <c r="P33" s="364"/>
      <c r="R33" s="314"/>
    </row>
    <row r="34" spans="1:18" x14ac:dyDescent="0.25">
      <c r="I34" s="119"/>
      <c r="J34" s="119"/>
      <c r="K34" s="291"/>
      <c r="L34" s="119"/>
      <c r="M34" s="119"/>
      <c r="P34" s="364"/>
      <c r="R34" s="115"/>
    </row>
    <row r="35" spans="1:18" ht="15" x14ac:dyDescent="0.25">
      <c r="E35" s="117"/>
      <c r="F35" s="114"/>
      <c r="I35" s="119"/>
      <c r="J35" s="119"/>
      <c r="K35" s="291"/>
      <c r="L35" s="119"/>
      <c r="M35" s="119"/>
      <c r="P35" s="364"/>
      <c r="R35" s="115"/>
    </row>
    <row r="36" spans="1:18" ht="15" x14ac:dyDescent="0.25">
      <c r="E36" s="117"/>
      <c r="F36" s="114"/>
      <c r="I36" s="119"/>
      <c r="J36" s="119"/>
      <c r="K36" s="291"/>
      <c r="L36" s="119"/>
      <c r="M36" s="119"/>
      <c r="P36" s="364"/>
      <c r="R36" s="115"/>
    </row>
    <row r="37" spans="1:18" x14ac:dyDescent="0.25">
      <c r="I37" s="119"/>
      <c r="J37" s="119"/>
      <c r="K37" s="291"/>
      <c r="L37" s="119"/>
      <c r="M37" s="119"/>
      <c r="P37" s="364"/>
      <c r="R37" s="115"/>
    </row>
    <row r="38" spans="1:18" x14ac:dyDescent="0.25">
      <c r="I38" s="119"/>
      <c r="J38" s="119"/>
      <c r="K38" s="291"/>
      <c r="L38" s="119"/>
      <c r="M38" s="119"/>
      <c r="P38" s="364"/>
      <c r="R38" s="115"/>
    </row>
    <row r="39" spans="1:18" x14ac:dyDescent="0.25">
      <c r="I39" s="119"/>
      <c r="J39" s="119"/>
      <c r="K39" s="119"/>
      <c r="L39" s="119"/>
      <c r="M39" s="119"/>
      <c r="P39" s="364"/>
      <c r="R39" s="115"/>
    </row>
    <row r="40" spans="1:18" x14ac:dyDescent="0.25">
      <c r="I40" s="119"/>
      <c r="J40" s="119"/>
      <c r="K40" s="119"/>
      <c r="L40" s="119"/>
      <c r="M40" s="119"/>
      <c r="P40" s="364"/>
      <c r="R40" s="115"/>
    </row>
    <row r="41" spans="1:18" x14ac:dyDescent="0.25">
      <c r="I41" s="119"/>
      <c r="J41" s="119"/>
      <c r="K41" s="119"/>
      <c r="L41" s="119"/>
      <c r="M41" s="119"/>
      <c r="P41" s="364"/>
      <c r="R41" s="115"/>
    </row>
    <row r="42" spans="1:18" x14ac:dyDescent="0.25">
      <c r="G42" s="306" t="s">
        <v>366</v>
      </c>
      <c r="I42" s="119"/>
      <c r="J42" s="119"/>
      <c r="K42" s="119"/>
      <c r="L42" s="119"/>
      <c r="M42" s="119"/>
      <c r="P42" s="364"/>
      <c r="R42" s="115"/>
    </row>
    <row r="43" spans="1:18" x14ac:dyDescent="0.25">
      <c r="B43" s="314" t="s">
        <v>524</v>
      </c>
      <c r="F43" s="4" t="s">
        <v>204</v>
      </c>
      <c r="I43" s="119"/>
      <c r="J43" s="119"/>
      <c r="K43" s="119"/>
      <c r="L43" s="119"/>
      <c r="M43" s="119"/>
      <c r="P43" s="364"/>
      <c r="R43" s="115"/>
    </row>
    <row r="44" spans="1:18" x14ac:dyDescent="0.25">
      <c r="B44" s="314" t="s">
        <v>525</v>
      </c>
      <c r="D44" s="306" t="s">
        <v>365</v>
      </c>
      <c r="E44" s="306"/>
      <c r="I44" s="119"/>
      <c r="J44" s="119"/>
      <c r="K44" s="119"/>
      <c r="L44" s="119"/>
      <c r="M44" s="119"/>
      <c r="P44" s="364"/>
      <c r="R44" s="115"/>
    </row>
    <row r="45" spans="1:18" x14ac:dyDescent="0.25">
      <c r="A45" s="5" t="s">
        <v>531</v>
      </c>
      <c r="B45" s="5" t="s">
        <v>526</v>
      </c>
      <c r="C45" s="5" t="s">
        <v>532</v>
      </c>
      <c r="D45" s="306" t="s">
        <v>466</v>
      </c>
      <c r="E45" s="306"/>
      <c r="F45" s="125" t="s">
        <v>73</v>
      </c>
      <c r="G45" s="125" t="s">
        <v>74</v>
      </c>
      <c r="H45" s="125" t="s">
        <v>48</v>
      </c>
      <c r="I45" s="125" t="s">
        <v>46</v>
      </c>
      <c r="J45" s="125" t="s">
        <v>75</v>
      </c>
      <c r="K45" s="125" t="s">
        <v>76</v>
      </c>
      <c r="L45" s="119"/>
      <c r="M45" s="119"/>
      <c r="N45" s="419" t="s">
        <v>620</v>
      </c>
      <c r="O45" s="420"/>
      <c r="P45" s="414"/>
      <c r="Q45" s="413"/>
      <c r="R45" s="415"/>
    </row>
    <row r="46" spans="1:18" x14ac:dyDescent="0.25">
      <c r="A46" s="314">
        <v>1</v>
      </c>
      <c r="B46" s="314">
        <f>INDEX($A$2:$A$28,MATCH(C46,$E$2:$E$28,0))</f>
        <v>1</v>
      </c>
      <c r="C46" s="115" t="s">
        <v>290</v>
      </c>
      <c r="D46" s="394"/>
      <c r="E46" s="115" t="s">
        <v>294</v>
      </c>
      <c r="F46" s="125" t="s">
        <v>77</v>
      </c>
      <c r="G46" s="383">
        <v>8336.1922979999999</v>
      </c>
      <c r="H46" s="383">
        <v>0.85087721900000002</v>
      </c>
      <c r="I46" s="383">
        <v>7.4177200000000003E-4</v>
      </c>
      <c r="J46" s="383">
        <v>-4.5154400000000003E-6</v>
      </c>
      <c r="K46" s="383">
        <v>6.1129499999999997E-9</v>
      </c>
      <c r="L46" s="119"/>
      <c r="M46" s="119"/>
      <c r="N46" s="438" t="s">
        <v>608</v>
      </c>
      <c r="O46" s="423"/>
      <c r="P46" s="423"/>
      <c r="Q46" s="423"/>
      <c r="R46" s="423"/>
    </row>
    <row r="47" spans="1:18" x14ac:dyDescent="0.25">
      <c r="B47" s="427">
        <f>INDEX($F$2:$F$28,MATCH(C46,$E$2:$E$28,0))</f>
        <v>10000</v>
      </c>
      <c r="C47" s="314" t="s">
        <v>624</v>
      </c>
      <c r="E47" s="115" t="s">
        <v>295</v>
      </c>
      <c r="F47" s="125" t="s">
        <v>78</v>
      </c>
      <c r="G47" s="383">
        <v>53.621426710000001</v>
      </c>
      <c r="H47" s="383">
        <v>1.3152947999999999E-2</v>
      </c>
      <c r="I47" s="383">
        <v>-2.1774399999999999E-5</v>
      </c>
      <c r="J47" s="383">
        <v>6.2481399999999997E-8</v>
      </c>
      <c r="K47" s="383">
        <v>-7.1623299999999999E-11</v>
      </c>
      <c r="L47" s="119"/>
      <c r="M47" s="119"/>
      <c r="N47" s="422">
        <v>8336.1922979999999</v>
      </c>
      <c r="O47" s="422">
        <v>0.85087721900000002</v>
      </c>
      <c r="P47" s="422">
        <v>7.4177200000000003E-4</v>
      </c>
      <c r="Q47" s="422">
        <v>-4.5154400000000003E-6</v>
      </c>
      <c r="R47" s="422">
        <v>6.1129499999999997E-9</v>
      </c>
    </row>
    <row r="48" spans="1:18" x14ac:dyDescent="0.25">
      <c r="B48" s="427">
        <f>INDEX($H$2:$H$28,MATCH(C46,$E$2:$E$28,0))</f>
        <v>125</v>
      </c>
      <c r="C48" s="314" t="s">
        <v>625</v>
      </c>
      <c r="E48" s="115" t="s">
        <v>296</v>
      </c>
      <c r="F48" s="125" t="s">
        <v>79</v>
      </c>
      <c r="G48" s="383">
        <v>0.14621231500000001</v>
      </c>
      <c r="H48" s="383">
        <v>4.7622099999999999E-5</v>
      </c>
      <c r="I48" s="383">
        <v>1.5429099999999999E-7</v>
      </c>
      <c r="J48" s="383">
        <v>-8.7079700000000001E-10</v>
      </c>
      <c r="K48" s="383">
        <v>1.2658699999999999E-12</v>
      </c>
      <c r="L48" s="119"/>
      <c r="M48" s="119"/>
      <c r="N48" s="422">
        <v>53.621426710000001</v>
      </c>
      <c r="O48" s="422">
        <v>1.3152947999999999E-2</v>
      </c>
      <c r="P48" s="422">
        <v>-2.1774399999999999E-5</v>
      </c>
      <c r="Q48" s="422">
        <v>6.2481399999999997E-8</v>
      </c>
      <c r="R48" s="422">
        <v>-7.1623299999999999E-11</v>
      </c>
    </row>
    <row r="49" spans="1:18" x14ac:dyDescent="0.25">
      <c r="B49" s="427">
        <f>INDEX($I$2:$I$28,MATCH(C46,$E$2:$E$28,0))</f>
        <v>-40</v>
      </c>
      <c r="C49" s="314" t="s">
        <v>626</v>
      </c>
      <c r="E49" s="115" t="s">
        <v>297</v>
      </c>
      <c r="F49" s="125" t="s">
        <v>80</v>
      </c>
      <c r="G49" s="383">
        <v>-1.75921E-4</v>
      </c>
      <c r="H49" s="383">
        <v>5.6821200000000003E-7</v>
      </c>
      <c r="I49" s="383">
        <v>-6.1127000000000002E-9</v>
      </c>
      <c r="J49" s="383">
        <v>2.37788E-11</v>
      </c>
      <c r="K49" s="383">
        <v>-3.0692499999999998E-14</v>
      </c>
      <c r="L49" s="119"/>
      <c r="M49" s="119"/>
      <c r="N49" s="422">
        <v>0.14621231500000001</v>
      </c>
      <c r="O49" s="422">
        <v>4.7622099999999999E-5</v>
      </c>
      <c r="P49" s="422">
        <v>1.5429099999999999E-7</v>
      </c>
      <c r="Q49" s="422">
        <v>-8.7079700000000001E-10</v>
      </c>
      <c r="R49" s="422">
        <v>1.2658699999999999E-12</v>
      </c>
    </row>
    <row r="50" spans="1:18" x14ac:dyDescent="0.25">
      <c r="E50" s="115" t="s">
        <v>298</v>
      </c>
      <c r="F50" s="125" t="s">
        <v>81</v>
      </c>
      <c r="G50" s="383">
        <v>1.53386E-6</v>
      </c>
      <c r="H50" s="383">
        <v>2.5814800000000001E-9</v>
      </c>
      <c r="I50" s="383">
        <v>-9.6063899999999998E-12</v>
      </c>
      <c r="J50" s="383">
        <v>4.2224800000000002E-14</v>
      </c>
      <c r="K50" s="383">
        <v>-5.38927E-17</v>
      </c>
      <c r="L50" s="119"/>
      <c r="M50" s="119"/>
      <c r="N50" s="422">
        <v>-1.75921E-4</v>
      </c>
      <c r="O50" s="422">
        <v>5.6821200000000003E-7</v>
      </c>
      <c r="P50" s="422">
        <v>-6.1127000000000002E-9</v>
      </c>
      <c r="Q50" s="422">
        <v>2.37788E-11</v>
      </c>
      <c r="R50" s="422">
        <v>-3.0692499999999998E-14</v>
      </c>
    </row>
    <row r="51" spans="1:18" x14ac:dyDescent="0.25">
      <c r="E51" s="115"/>
      <c r="F51" s="126"/>
      <c r="G51" s="121"/>
      <c r="H51" s="121"/>
      <c r="I51" s="121"/>
      <c r="J51" s="121"/>
      <c r="K51" s="121"/>
      <c r="L51" s="119"/>
      <c r="M51" s="119"/>
      <c r="N51" s="422">
        <v>1.53386E-6</v>
      </c>
      <c r="O51" s="422">
        <v>2.5814800000000001E-9</v>
      </c>
      <c r="P51" s="422">
        <v>-9.6063899999999998E-12</v>
      </c>
      <c r="Q51" s="422">
        <v>4.2224800000000002E-14</v>
      </c>
      <c r="R51" s="422">
        <v>-5.38927E-17</v>
      </c>
    </row>
    <row r="52" spans="1:18" x14ac:dyDescent="0.25">
      <c r="A52" s="314">
        <v>2</v>
      </c>
      <c r="B52" s="314">
        <f>INDEX($A$2:$A$28,MATCH(C52,$E$2:$E$28,0))</f>
        <v>2</v>
      </c>
      <c r="C52" s="115" t="s">
        <v>291</v>
      </c>
      <c r="D52" s="394"/>
      <c r="E52" s="115" t="s">
        <v>299</v>
      </c>
      <c r="F52" s="125" t="s">
        <v>77</v>
      </c>
      <c r="G52" s="383">
        <v>8336.1922979999999</v>
      </c>
      <c r="H52" s="383">
        <v>0.85087721900000002</v>
      </c>
      <c r="I52" s="383">
        <v>7.4177200000000003E-4</v>
      </c>
      <c r="J52" s="383">
        <v>-4.5154400000000003E-6</v>
      </c>
      <c r="K52" s="383">
        <v>6.1129499999999997E-9</v>
      </c>
      <c r="L52" s="119"/>
      <c r="M52" s="119"/>
      <c r="N52" s="423"/>
      <c r="O52" s="423"/>
      <c r="P52" s="423"/>
      <c r="Q52" s="423"/>
      <c r="R52" s="423"/>
    </row>
    <row r="53" spans="1:18" x14ac:dyDescent="0.25">
      <c r="B53" s="427">
        <f>INDEX($F$2:$F$28,MATCH(C52,$E$2:$E$28,0))</f>
        <v>10000</v>
      </c>
      <c r="E53" s="115" t="s">
        <v>300</v>
      </c>
      <c r="F53" s="125" t="s">
        <v>78</v>
      </c>
      <c r="G53" s="383">
        <v>53.621426710000001</v>
      </c>
      <c r="H53" s="383">
        <v>1.3152947999999999E-2</v>
      </c>
      <c r="I53" s="383">
        <v>-2.1774399999999999E-5</v>
      </c>
      <c r="J53" s="383">
        <v>6.2481399999999997E-8</v>
      </c>
      <c r="K53" s="383">
        <v>-7.1623299999999999E-11</v>
      </c>
      <c r="L53" s="119"/>
      <c r="M53" s="119"/>
      <c r="N53" s="438" t="s">
        <v>617</v>
      </c>
      <c r="O53" s="423"/>
      <c r="P53" s="423"/>
      <c r="Q53" s="423"/>
      <c r="R53" s="423"/>
    </row>
    <row r="54" spans="1:18" x14ac:dyDescent="0.25">
      <c r="B54" s="427">
        <f>INDEX($H$2:$H$28,MATCH(C52,$E$2:$E$28,0))</f>
        <v>125</v>
      </c>
      <c r="E54" s="115" t="s">
        <v>301</v>
      </c>
      <c r="F54" s="125" t="s">
        <v>79</v>
      </c>
      <c r="G54" s="383">
        <v>0.14621231500000001</v>
      </c>
      <c r="H54" s="383">
        <v>4.7622099999999999E-5</v>
      </c>
      <c r="I54" s="383">
        <v>1.5429099999999999E-7</v>
      </c>
      <c r="J54" s="383">
        <v>-8.7079700000000001E-10</v>
      </c>
      <c r="K54" s="383">
        <v>1.2658699999999999E-12</v>
      </c>
      <c r="L54" s="119"/>
      <c r="M54" s="119"/>
      <c r="N54" s="422">
        <v>8370.8421481277692</v>
      </c>
      <c r="O54" s="422">
        <v>0.80221776201334305</v>
      </c>
      <c r="P54" s="422">
        <v>8.5816837400341296E-4</v>
      </c>
      <c r="Q54" s="422">
        <v>-3.8512270934012704E-6</v>
      </c>
      <c r="R54" s="422">
        <v>4.7499979402421901E-9</v>
      </c>
    </row>
    <row r="55" spans="1:18" x14ac:dyDescent="0.25">
      <c r="B55" s="427">
        <f>INDEX($I$2:$I$28,MATCH(C52,$E$2:$E$28,0))</f>
        <v>-40</v>
      </c>
      <c r="E55" s="115" t="s">
        <v>302</v>
      </c>
      <c r="F55" s="125" t="s">
        <v>80</v>
      </c>
      <c r="G55" s="383">
        <v>-1.75921E-4</v>
      </c>
      <c r="H55" s="383">
        <v>5.6821200000000003E-7</v>
      </c>
      <c r="I55" s="383">
        <v>-6.1127000000000002E-9</v>
      </c>
      <c r="J55" s="383">
        <v>2.37788E-11</v>
      </c>
      <c r="K55" s="383">
        <v>-3.0692499999999998E-14</v>
      </c>
      <c r="L55" s="119"/>
      <c r="M55" s="119"/>
      <c r="N55" s="422">
        <v>52.190142104105497</v>
      </c>
      <c r="O55" s="422">
        <v>1.56138585101805E-2</v>
      </c>
      <c r="P55" s="422">
        <v>-5.1299016798119297E-5</v>
      </c>
      <c r="Q55" s="422">
        <v>1.92911264077943E-7</v>
      </c>
      <c r="R55" s="422">
        <v>-2.4473374798958198E-10</v>
      </c>
    </row>
    <row r="56" spans="1:18" x14ac:dyDescent="0.25">
      <c r="E56" s="115" t="s">
        <v>303</v>
      </c>
      <c r="F56" s="125" t="s">
        <v>81</v>
      </c>
      <c r="G56" s="383">
        <v>1.53386E-6</v>
      </c>
      <c r="H56" s="383">
        <v>2.5814800000000001E-9</v>
      </c>
      <c r="I56" s="383">
        <v>-9.6063899999999998E-12</v>
      </c>
      <c r="J56" s="383">
        <v>4.2224800000000002E-14</v>
      </c>
      <c r="K56" s="383">
        <v>-5.38927E-17</v>
      </c>
      <c r="L56" s="119"/>
      <c r="M56" s="119"/>
      <c r="N56" s="422">
        <v>0.141259718152555</v>
      </c>
      <c r="O56" s="422">
        <v>1.02376773832773E-4</v>
      </c>
      <c r="P56" s="422">
        <v>-4.4269286236165999E-7</v>
      </c>
      <c r="Q56" s="422">
        <v>1.65411305212397E-9</v>
      </c>
      <c r="R56" s="422">
        <v>-2.0779929075959699E-12</v>
      </c>
    </row>
    <row r="57" spans="1:18" x14ac:dyDescent="0.25">
      <c r="E57" s="115"/>
      <c r="F57" s="126"/>
      <c r="G57" s="121"/>
      <c r="H57" s="121"/>
      <c r="I57" s="121"/>
      <c r="J57" s="121"/>
      <c r="K57" s="121"/>
      <c r="L57" s="119"/>
      <c r="M57" s="119"/>
      <c r="N57" s="422">
        <v>8.9806972255266097E-5</v>
      </c>
      <c r="O57" s="422">
        <v>-1.73234141530999E-6</v>
      </c>
      <c r="P57" s="422">
        <v>1.7887377906626501E-8</v>
      </c>
      <c r="Q57" s="422">
        <v>-7.6207073824610405E-11</v>
      </c>
      <c r="R57" s="422">
        <v>1.00502077707223E-13</v>
      </c>
    </row>
    <row r="58" spans="1:18" x14ac:dyDescent="0.25">
      <c r="A58" s="314">
        <v>3</v>
      </c>
      <c r="B58" s="314">
        <f>INDEX($A$2:$A$28,MATCH(C58,$E$2:$E$28,0))</f>
        <v>3</v>
      </c>
      <c r="C58" s="115" t="s">
        <v>292</v>
      </c>
      <c r="D58" s="394"/>
      <c r="E58" s="115" t="s">
        <v>304</v>
      </c>
      <c r="F58" s="125" t="s">
        <v>77</v>
      </c>
      <c r="G58" s="383">
        <v>8336.1922980078543</v>
      </c>
      <c r="H58" s="383">
        <v>0.85087721851655407</v>
      </c>
      <c r="I58" s="383">
        <v>7.4177198801111737E-4</v>
      </c>
      <c r="J58" s="383">
        <v>-4.5154399614897998E-6</v>
      </c>
      <c r="K58" s="383">
        <v>6.112950860286488E-9</v>
      </c>
      <c r="L58" s="119"/>
      <c r="M58" s="119"/>
      <c r="N58" s="422">
        <v>-2.5247950412806301E-7</v>
      </c>
      <c r="O58" s="422">
        <v>1.5774837332025101E-8</v>
      </c>
      <c r="P58" s="422">
        <v>-1.49298901142439E-10</v>
      </c>
      <c r="Q58" s="422">
        <v>6.2492384645064799E-13</v>
      </c>
      <c r="R58" s="422">
        <v>-8.1819144581791201E-16</v>
      </c>
    </row>
    <row r="59" spans="1:18" x14ac:dyDescent="0.25">
      <c r="B59" s="427">
        <f>INDEX($F$2:$F$28,MATCH(C58,$E$2:$E$28,0))</f>
        <v>10000</v>
      </c>
      <c r="E59" s="115" t="s">
        <v>305</v>
      </c>
      <c r="F59" s="125" t="s">
        <v>78</v>
      </c>
      <c r="G59" s="383">
        <v>53.621426712887661</v>
      </c>
      <c r="H59" s="383">
        <v>1.3152947647517546E-2</v>
      </c>
      <c r="I59" s="383">
        <v>-2.1774397055879863E-5</v>
      </c>
      <c r="J59" s="383">
        <v>6.2481406716708808E-8</v>
      </c>
      <c r="K59" s="383">
        <v>-7.1623325604342105E-11</v>
      </c>
      <c r="L59" s="119"/>
      <c r="M59" s="119"/>
      <c r="N59" s="423"/>
      <c r="O59" s="423"/>
      <c r="P59" s="423"/>
      <c r="Q59" s="423"/>
      <c r="R59" s="423"/>
    </row>
    <row r="60" spans="1:18" ht="14.4" x14ac:dyDescent="0.3">
      <c r="B60" s="427">
        <f>INDEX($H$2:$H$28,MATCH(C58,$E$2:$E$28,0))</f>
        <v>125</v>
      </c>
      <c r="E60" s="115" t="s">
        <v>306</v>
      </c>
      <c r="F60" s="125" t="s">
        <v>79</v>
      </c>
      <c r="G60" s="383">
        <v>0.14621231547744962</v>
      </c>
      <c r="H60" s="383">
        <v>4.762209649938626E-5</v>
      </c>
      <c r="I60" s="383">
        <v>1.5429102922605762E-7</v>
      </c>
      <c r="J60" s="383">
        <v>-8.707969169035092E-10</v>
      </c>
      <c r="K60" s="383">
        <v>1.2658745839768067E-12</v>
      </c>
      <c r="L60" s="119"/>
      <c r="M60" s="119"/>
      <c r="N60" s="439" t="s">
        <v>621</v>
      </c>
      <c r="O60" s="424"/>
      <c r="P60" s="424"/>
      <c r="Q60" s="423"/>
      <c r="R60" s="423"/>
    </row>
    <row r="61" spans="1:18" x14ac:dyDescent="0.25">
      <c r="B61" s="427">
        <f>INDEX($I$2:$I$28,MATCH(C58,$E$2:$E$28,0))</f>
        <v>-40</v>
      </c>
      <c r="E61" s="115" t="s">
        <v>307</v>
      </c>
      <c r="F61" s="125" t="s">
        <v>80</v>
      </c>
      <c r="G61" s="383">
        <v>-1.7592077636759823E-4</v>
      </c>
      <c r="H61" s="383">
        <v>5.6821167185299807E-7</v>
      </c>
      <c r="I61" s="383">
        <v>-6.1127008273874617E-9</v>
      </c>
      <c r="J61" s="383">
        <v>2.3778763028897672E-11</v>
      </c>
      <c r="K61" s="383">
        <v>-3.0692450292986456E-14</v>
      </c>
      <c r="L61" s="119"/>
      <c r="M61" s="119"/>
      <c r="N61" s="422">
        <v>8382.9308579999997</v>
      </c>
      <c r="O61" s="422">
        <v>0.81119102799999998</v>
      </c>
      <c r="P61" s="422">
        <v>1.121068E-3</v>
      </c>
      <c r="Q61" s="422">
        <v>-5.9671699999999998E-6</v>
      </c>
      <c r="R61" s="422">
        <v>7.61533E-9</v>
      </c>
    </row>
    <row r="62" spans="1:18" x14ac:dyDescent="0.25">
      <c r="E62" s="115" t="s">
        <v>308</v>
      </c>
      <c r="F62" s="125" t="s">
        <v>81</v>
      </c>
      <c r="G62" s="383">
        <v>1.5338577212240416E-6</v>
      </c>
      <c r="H62" s="383">
        <v>2.5814826176979276E-9</v>
      </c>
      <c r="I62" s="383">
        <v>-9.6063944479086265E-12</v>
      </c>
      <c r="J62" s="383">
        <v>4.2224753968079108E-14</v>
      </c>
      <c r="K62" s="383">
        <v>-5.3892743794571687E-17</v>
      </c>
      <c r="L62" s="119"/>
      <c r="M62" s="119"/>
      <c r="N62" s="422">
        <v>51.837095410000003</v>
      </c>
      <c r="O62" s="422">
        <v>1.7955209E-2</v>
      </c>
      <c r="P62" s="422">
        <v>-7.9243800000000002E-5</v>
      </c>
      <c r="Q62" s="422">
        <v>3.0053899999999999E-7</v>
      </c>
      <c r="R62" s="422">
        <v>-3.8756200000000002E-10</v>
      </c>
    </row>
    <row r="63" spans="1:18" x14ac:dyDescent="0.25">
      <c r="E63" s="115"/>
      <c r="F63" s="126"/>
      <c r="G63" s="121"/>
      <c r="H63" s="121"/>
      <c r="I63" s="121"/>
      <c r="J63" s="121"/>
      <c r="K63" s="121"/>
      <c r="L63" s="119"/>
      <c r="M63" s="119"/>
      <c r="N63" s="422">
        <v>0.132718157</v>
      </c>
      <c r="O63" s="422">
        <v>1.0804200000000001E-4</v>
      </c>
      <c r="P63" s="422">
        <v>-5.2087100000000001E-7</v>
      </c>
      <c r="Q63" s="422">
        <v>1.8815599999999999E-9</v>
      </c>
      <c r="R63" s="422">
        <v>-2.3426799999999999E-12</v>
      </c>
    </row>
    <row r="64" spans="1:18" x14ac:dyDescent="0.25">
      <c r="A64" s="314">
        <v>4</v>
      </c>
      <c r="B64" s="314">
        <f>INDEX($A$2:$A$28,MATCH(C64,$E$2:$E$28,0))</f>
        <v>4</v>
      </c>
      <c r="C64" s="115" t="s">
        <v>293</v>
      </c>
      <c r="D64" s="394"/>
      <c r="E64" s="115" t="s">
        <v>309</v>
      </c>
      <c r="F64" s="125" t="s">
        <v>77</v>
      </c>
      <c r="G64" s="383">
        <v>8336.1922980078543</v>
      </c>
      <c r="H64" s="383">
        <v>0.85087721851655407</v>
      </c>
      <c r="I64" s="383">
        <v>7.4177198801111737E-4</v>
      </c>
      <c r="J64" s="383">
        <v>-4.5154399614897998E-6</v>
      </c>
      <c r="K64" s="383">
        <v>6.112950860286488E-9</v>
      </c>
      <c r="L64" s="119"/>
      <c r="M64" s="119"/>
      <c r="N64" s="422">
        <v>2.9894600000000002E-4</v>
      </c>
      <c r="O64" s="422">
        <v>-2.3467899999999999E-6</v>
      </c>
      <c r="P64" s="422">
        <v>2.7552199999999998E-8</v>
      </c>
      <c r="Q64" s="422">
        <v>-1.1607600000000001E-10</v>
      </c>
      <c r="R64" s="422">
        <v>1.53326E-13</v>
      </c>
    </row>
    <row r="65" spans="1:18" x14ac:dyDescent="0.25">
      <c r="B65" s="427">
        <f>INDEX($F$2:$F$28,MATCH(C64,$E$2:$E$28,0))</f>
        <v>10000</v>
      </c>
      <c r="E65" s="115" t="s">
        <v>310</v>
      </c>
      <c r="F65" s="125" t="s">
        <v>78</v>
      </c>
      <c r="G65" s="383">
        <v>53.621426712887661</v>
      </c>
      <c r="H65" s="383">
        <v>1.3152947647517546E-2</v>
      </c>
      <c r="I65" s="383">
        <v>-2.1774397055879863E-5</v>
      </c>
      <c r="J65" s="383">
        <v>6.2481406716708808E-8</v>
      </c>
      <c r="K65" s="383">
        <v>-7.1623325604342105E-11</v>
      </c>
      <c r="L65" s="119"/>
      <c r="M65" s="119"/>
      <c r="N65" s="422">
        <v>-9.72776E-7</v>
      </c>
      <c r="O65" s="422">
        <v>1.8782299999999999E-8</v>
      </c>
      <c r="P65" s="422">
        <v>-1.9996499999999999E-10</v>
      </c>
      <c r="Q65" s="422">
        <v>8.3400200000000002E-13</v>
      </c>
      <c r="R65" s="422">
        <v>-1.09709E-15</v>
      </c>
    </row>
    <row r="66" spans="1:18" x14ac:dyDescent="0.25">
      <c r="B66" s="427">
        <f>INDEX($H$2:$H$28,MATCH(C64,$E$2:$E$28,0))</f>
        <v>125</v>
      </c>
      <c r="E66" s="115" t="s">
        <v>311</v>
      </c>
      <c r="F66" s="125" t="s">
        <v>79</v>
      </c>
      <c r="G66" s="383">
        <v>0.14621231547744962</v>
      </c>
      <c r="H66" s="383">
        <v>4.762209649938626E-5</v>
      </c>
      <c r="I66" s="383">
        <v>1.5429102922605762E-7</v>
      </c>
      <c r="J66" s="383">
        <v>-8.707969169035092E-10</v>
      </c>
      <c r="K66" s="383">
        <v>1.2658745839768067E-12</v>
      </c>
      <c r="L66" s="119"/>
      <c r="M66" s="119"/>
      <c r="N66" s="425"/>
      <c r="O66" s="425"/>
      <c r="P66" s="425"/>
      <c r="Q66" s="425"/>
      <c r="R66" s="425"/>
    </row>
    <row r="67" spans="1:18" ht="14.4" x14ac:dyDescent="0.3">
      <c r="B67" s="427">
        <f>INDEX($I$2:$I$28,MATCH(C64,$E$2:$E$28,0))</f>
        <v>-40</v>
      </c>
      <c r="E67" s="115" t="s">
        <v>312</v>
      </c>
      <c r="F67" s="125" t="s">
        <v>80</v>
      </c>
      <c r="G67" s="383">
        <v>-1.7592077636759823E-4</v>
      </c>
      <c r="H67" s="383">
        <v>5.6821167185299807E-7</v>
      </c>
      <c r="I67" s="383">
        <v>-6.1127008273874617E-9</v>
      </c>
      <c r="J67" s="383">
        <v>2.3778763028897672E-11</v>
      </c>
      <c r="K67" s="383">
        <v>-3.0692450292986456E-14</v>
      </c>
      <c r="L67" s="119"/>
      <c r="M67" s="119"/>
      <c r="N67" s="439" t="s">
        <v>622</v>
      </c>
      <c r="O67" s="424"/>
      <c r="P67" s="424"/>
      <c r="Q67" s="423"/>
      <c r="R67" s="423"/>
    </row>
    <row r="68" spans="1:18" ht="14.4" x14ac:dyDescent="0.3">
      <c r="E68" s="115" t="s">
        <v>313</v>
      </c>
      <c r="F68" s="125" t="s">
        <v>81</v>
      </c>
      <c r="G68" s="383">
        <v>1.5338577212240416E-6</v>
      </c>
      <c r="H68" s="383">
        <v>2.5814826176979276E-9</v>
      </c>
      <c r="I68" s="383">
        <v>-9.6063944479086265E-12</v>
      </c>
      <c r="J68" s="383">
        <v>4.2224753968079108E-14</v>
      </c>
      <c r="K68" s="383">
        <v>-5.3892743794571687E-17</v>
      </c>
      <c r="L68" s="119"/>
      <c r="M68" s="119"/>
      <c r="N68" s="426">
        <v>8396.0734400395704</v>
      </c>
      <c r="O68" s="426">
        <v>0.764065213460701</v>
      </c>
      <c r="P68" s="422">
        <v>7.6599740379270796E-4</v>
      </c>
      <c r="Q68" s="422">
        <v>-5.3110468762188799E-6</v>
      </c>
      <c r="R68" s="422">
        <v>9.7679136438624307E-9</v>
      </c>
    </row>
    <row r="69" spans="1:18" ht="14.4" x14ac:dyDescent="0.3">
      <c r="E69" s="120"/>
      <c r="F69" s="126"/>
      <c r="G69" s="121"/>
      <c r="H69" s="121"/>
      <c r="I69" s="121"/>
      <c r="J69" s="121"/>
      <c r="K69" s="121"/>
      <c r="L69" s="119"/>
      <c r="M69" s="119"/>
      <c r="N69" s="426">
        <v>51.917679090312603</v>
      </c>
      <c r="O69" s="422">
        <v>1.56265542107559E-2</v>
      </c>
      <c r="P69" s="422">
        <v>-4.32762815716043E-5</v>
      </c>
      <c r="Q69" s="422">
        <v>1.5314354874540701E-7</v>
      </c>
      <c r="R69" s="422">
        <v>-2.40049673008108E-10</v>
      </c>
    </row>
    <row r="70" spans="1:18" ht="14.4" x14ac:dyDescent="0.3">
      <c r="A70" s="314">
        <v>5</v>
      </c>
      <c r="B70" s="314">
        <f>INDEX($A$2:$A$28,MATCH(C70,$E$2:$E$28,0))</f>
        <v>5</v>
      </c>
      <c r="C70" s="116" t="s">
        <v>288</v>
      </c>
      <c r="D70" s="394"/>
      <c r="E70" s="116" t="s">
        <v>314</v>
      </c>
      <c r="F70" s="125" t="s">
        <v>77</v>
      </c>
      <c r="G70" s="383">
        <v>8370.8421481277692</v>
      </c>
      <c r="H70" s="383">
        <v>0.80221776201334305</v>
      </c>
      <c r="I70" s="383">
        <v>8.5816837400341296E-4</v>
      </c>
      <c r="J70" s="383">
        <v>-3.8512270934012704E-6</v>
      </c>
      <c r="K70" s="383">
        <v>4.7499979402421901E-9</v>
      </c>
      <c r="L70" s="119"/>
      <c r="M70" s="119"/>
      <c r="N70" s="426">
        <v>0.12827095806917499</v>
      </c>
      <c r="O70" s="422">
        <v>1.42722663421849E-4</v>
      </c>
      <c r="P70" s="422">
        <v>-7.6518618746845599E-7</v>
      </c>
      <c r="Q70" s="422">
        <v>3.16812458035125E-9</v>
      </c>
      <c r="R70" s="422">
        <v>-5.2807194015950702E-12</v>
      </c>
    </row>
    <row r="71" spans="1:18" x14ac:dyDescent="0.25">
      <c r="B71" s="427">
        <f>INDEX($F$2:$F$28,MATCH(C70,$E$2:$E$28,0))</f>
        <v>10000</v>
      </c>
      <c r="E71" s="116" t="s">
        <v>315</v>
      </c>
      <c r="F71" s="125" t="s">
        <v>78</v>
      </c>
      <c r="G71" s="383">
        <v>52.190142104105497</v>
      </c>
      <c r="H71" s="383">
        <v>1.56138585101805E-2</v>
      </c>
      <c r="I71" s="383">
        <v>-5.1299016798119297E-5</v>
      </c>
      <c r="J71" s="383">
        <v>1.92911264077943E-7</v>
      </c>
      <c r="K71" s="383">
        <v>-2.4473374798958198E-10</v>
      </c>
      <c r="L71" s="119"/>
      <c r="M71" s="119"/>
      <c r="N71" s="422">
        <v>3.8984310179597E-4</v>
      </c>
      <c r="O71" s="422">
        <v>-1.9492112158573299E-6</v>
      </c>
      <c r="P71" s="422">
        <v>1.5951572056666701E-8</v>
      </c>
      <c r="Q71" s="422">
        <v>-7.42019225736082E-11</v>
      </c>
      <c r="R71" s="422">
        <v>1.3371143929269801E-13</v>
      </c>
    </row>
    <row r="72" spans="1:18" x14ac:dyDescent="0.25">
      <c r="B72" s="427">
        <f>INDEX($H$2:$H$28,MATCH(C70,$E$2:$E$28,0))</f>
        <v>150</v>
      </c>
      <c r="E72" s="116" t="s">
        <v>316</v>
      </c>
      <c r="F72" s="125" t="s">
        <v>79</v>
      </c>
      <c r="G72" s="383">
        <v>0.141259718152555</v>
      </c>
      <c r="H72" s="383">
        <v>1.02376773832773E-4</v>
      </c>
      <c r="I72" s="383">
        <v>-4.4269286236165999E-7</v>
      </c>
      <c r="J72" s="383">
        <v>1.65411305212397E-9</v>
      </c>
      <c r="K72" s="383">
        <v>-2.0779929075959699E-12</v>
      </c>
      <c r="N72" s="422">
        <v>-1.1490749875055501E-6</v>
      </c>
      <c r="O72" s="422">
        <v>1.28675096020461E-8</v>
      </c>
      <c r="P72" s="422">
        <v>-9.68320203796483E-11</v>
      </c>
      <c r="Q72" s="422">
        <v>4.5329437688313198E-13</v>
      </c>
      <c r="R72" s="422">
        <v>-8.1883567036275601E-16</v>
      </c>
    </row>
    <row r="73" spans="1:18" x14ac:dyDescent="0.25">
      <c r="B73" s="427">
        <f>INDEX($I$2:$I$28,MATCH(C70,$E$2:$E$28,0))</f>
        <v>-40</v>
      </c>
      <c r="E73" s="116" t="s">
        <v>317</v>
      </c>
      <c r="F73" s="125" t="s">
        <v>80</v>
      </c>
      <c r="G73" s="383">
        <v>8.9806972255266097E-5</v>
      </c>
      <c r="H73" s="383">
        <v>-1.73234141530999E-6</v>
      </c>
      <c r="I73" s="383">
        <v>1.7887377906626501E-8</v>
      </c>
      <c r="J73" s="383">
        <v>-7.6207073824610405E-11</v>
      </c>
      <c r="K73" s="383">
        <v>1.00502077707223E-13</v>
      </c>
      <c r="N73" s="423"/>
      <c r="O73" s="423"/>
      <c r="P73" s="423"/>
      <c r="Q73" s="423"/>
      <c r="R73" s="423"/>
    </row>
    <row r="74" spans="1:18" x14ac:dyDescent="0.25">
      <c r="E74" s="116" t="s">
        <v>318</v>
      </c>
      <c r="F74" s="125" t="s">
        <v>81</v>
      </c>
      <c r="G74" s="383">
        <v>-2.5247950412806301E-7</v>
      </c>
      <c r="H74" s="383">
        <v>1.5774837332025101E-8</v>
      </c>
      <c r="I74" s="383">
        <v>-1.49298901142439E-10</v>
      </c>
      <c r="J74" s="383">
        <v>6.2492384645064799E-13</v>
      </c>
      <c r="K74" s="383">
        <v>-8.1819144581791201E-16</v>
      </c>
      <c r="N74" s="438" t="s">
        <v>619</v>
      </c>
      <c r="O74" s="423"/>
      <c r="P74" s="423"/>
      <c r="Q74" s="423"/>
      <c r="R74" s="423"/>
    </row>
    <row r="75" spans="1:18" x14ac:dyDescent="0.25">
      <c r="B75" s="366"/>
      <c r="E75" s="122"/>
      <c r="F75" s="126"/>
      <c r="G75" s="384"/>
      <c r="H75" s="384"/>
      <c r="I75" s="384"/>
      <c r="J75" s="384"/>
      <c r="K75" s="384"/>
      <c r="L75" s="124"/>
      <c r="N75" s="422">
        <v>82911.345299816807</v>
      </c>
      <c r="O75" s="422">
        <v>96.139298499423504</v>
      </c>
      <c r="P75" s="422">
        <v>1.8250987047027201</v>
      </c>
      <c r="Q75" s="422">
        <v>-5.7753291103041601E-2</v>
      </c>
      <c r="R75" s="422">
        <v>4.9966735165054698E-4</v>
      </c>
    </row>
    <row r="76" spans="1:18" x14ac:dyDescent="0.25">
      <c r="A76" s="314">
        <v>6</v>
      </c>
      <c r="B76" s="314">
        <f>INDEX($A$2:$A$28,MATCH(C76,$E$2:$E$28,0))</f>
        <v>6</v>
      </c>
      <c r="C76" s="116" t="s">
        <v>414</v>
      </c>
      <c r="D76" s="394"/>
      <c r="E76" s="116" t="s">
        <v>418</v>
      </c>
      <c r="F76" s="125" t="s">
        <v>77</v>
      </c>
      <c r="G76" s="383">
        <v>8370.8421481277692</v>
      </c>
      <c r="H76" s="383">
        <v>0.80221776201334305</v>
      </c>
      <c r="I76" s="383">
        <v>8.5816837400341296E-4</v>
      </c>
      <c r="J76" s="383">
        <v>-3.8512270934012704E-6</v>
      </c>
      <c r="K76" s="383">
        <v>4.7499979402421901E-9</v>
      </c>
      <c r="L76" s="119"/>
      <c r="M76" s="119"/>
      <c r="N76" s="422">
        <v>518.15238185319299</v>
      </c>
      <c r="O76" s="422">
        <v>3.01676780749357</v>
      </c>
      <c r="P76" s="422">
        <v>-0.110593593948733</v>
      </c>
      <c r="Q76" s="422">
        <v>2.8470200644412301E-3</v>
      </c>
      <c r="R76" s="422">
        <v>-2.56150909633412E-5</v>
      </c>
    </row>
    <row r="77" spans="1:18" x14ac:dyDescent="0.25">
      <c r="B77" s="427">
        <f>INDEX($F$2:$F$28,MATCH(C76,$E$2:$E$28,0))</f>
        <v>10000</v>
      </c>
      <c r="E77" s="116" t="s">
        <v>419</v>
      </c>
      <c r="F77" s="125" t="s">
        <v>78</v>
      </c>
      <c r="G77" s="383">
        <v>52.190142104105497</v>
      </c>
      <c r="H77" s="383">
        <v>1.56138585101805E-2</v>
      </c>
      <c r="I77" s="383">
        <v>-5.1299016798119297E-5</v>
      </c>
      <c r="J77" s="383">
        <v>1.92911264077943E-7</v>
      </c>
      <c r="K77" s="383">
        <v>-2.4473374798958198E-10</v>
      </c>
      <c r="L77" s="119"/>
      <c r="M77" s="119"/>
      <c r="N77" s="422">
        <v>1.37053584417915</v>
      </c>
      <c r="O77" s="422">
        <v>1.7150981903600999E-2</v>
      </c>
      <c r="P77" s="422">
        <v>-5.6667495834201401E-4</v>
      </c>
      <c r="Q77" s="422">
        <v>1.06921291338662E-5</v>
      </c>
      <c r="R77" s="422">
        <v>-6.4579846804597705E-8</v>
      </c>
    </row>
    <row r="78" spans="1:18" x14ac:dyDescent="0.25">
      <c r="B78" s="427">
        <f>INDEX($H$2:$H$28,MATCH(C76,$E$2:$E$28,0))</f>
        <v>150</v>
      </c>
      <c r="E78" s="116" t="s">
        <v>420</v>
      </c>
      <c r="F78" s="125" t="s">
        <v>79</v>
      </c>
      <c r="G78" s="383">
        <v>0.141259718152555</v>
      </c>
      <c r="H78" s="383">
        <v>1.02376773832773E-4</v>
      </c>
      <c r="I78" s="383">
        <v>-4.4269286236165999E-7</v>
      </c>
      <c r="J78" s="383">
        <v>1.65411305212397E-9</v>
      </c>
      <c r="K78" s="383">
        <v>-2.0779929075959699E-12</v>
      </c>
      <c r="N78" s="422">
        <v>4.44790246039468E-3</v>
      </c>
      <c r="O78" s="422">
        <v>-8.1879224990067301E-4</v>
      </c>
      <c r="P78" s="422">
        <v>5.86106910959623E-5</v>
      </c>
      <c r="Q78" s="422">
        <v>-1.5895895706461299E-6</v>
      </c>
      <c r="R78" s="422">
        <v>1.4349311488949501E-8</v>
      </c>
    </row>
    <row r="79" spans="1:18" x14ac:dyDescent="0.25">
      <c r="B79" s="427">
        <f>INDEX($I$2:$I$28,MATCH(C76,$E$2:$E$28,0))</f>
        <v>-40</v>
      </c>
      <c r="E79" s="116" t="s">
        <v>421</v>
      </c>
      <c r="F79" s="125" t="s">
        <v>80</v>
      </c>
      <c r="G79" s="383">
        <v>8.9806972255266097E-5</v>
      </c>
      <c r="H79" s="383">
        <v>-1.73234141530999E-6</v>
      </c>
      <c r="I79" s="383">
        <v>1.7887377906626501E-8</v>
      </c>
      <c r="J79" s="383">
        <v>-7.6207073824610405E-11</v>
      </c>
      <c r="K79" s="383">
        <v>1.00502077707223E-13</v>
      </c>
      <c r="N79" s="422">
        <v>-2.5237320931187E-5</v>
      </c>
      <c r="O79" s="422">
        <v>6.3525479490608601E-6</v>
      </c>
      <c r="P79" s="422">
        <v>-4.3631341381405998E-7</v>
      </c>
      <c r="Q79" s="422">
        <v>1.1806182811113801E-8</v>
      </c>
      <c r="R79" s="422">
        <v>-1.06401480341685E-10</v>
      </c>
    </row>
    <row r="80" spans="1:18" x14ac:dyDescent="0.25">
      <c r="E80" s="116" t="s">
        <v>422</v>
      </c>
      <c r="F80" s="125" t="s">
        <v>81</v>
      </c>
      <c r="G80" s="383">
        <v>-2.5247950412806301E-7</v>
      </c>
      <c r="H80" s="383">
        <v>1.5774837332025101E-8</v>
      </c>
      <c r="I80" s="383">
        <v>-1.49298901142439E-10</v>
      </c>
      <c r="J80" s="383">
        <v>6.2492384645064799E-13</v>
      </c>
      <c r="K80" s="383">
        <v>-8.1819144581791201E-16</v>
      </c>
      <c r="N80" s="423"/>
      <c r="O80" s="423"/>
      <c r="P80" s="423"/>
      <c r="Q80" s="423"/>
      <c r="R80" s="423"/>
    </row>
    <row r="81" spans="1:18" x14ac:dyDescent="0.25">
      <c r="E81" s="116"/>
      <c r="F81" s="126"/>
      <c r="G81" s="384"/>
      <c r="H81" s="384"/>
      <c r="I81" s="384"/>
      <c r="J81" s="384"/>
      <c r="K81" s="384"/>
      <c r="N81" s="438" t="s">
        <v>618</v>
      </c>
      <c r="O81" s="423"/>
      <c r="P81" s="423"/>
      <c r="Q81" s="423"/>
      <c r="R81" s="423"/>
    </row>
    <row r="82" spans="1:18" x14ac:dyDescent="0.25">
      <c r="A82" s="314">
        <v>7</v>
      </c>
      <c r="B82" s="314">
        <f>INDEX($A$2:$A$28,MATCH(C82,$E$2:$E$28,0))</f>
        <v>7</v>
      </c>
      <c r="C82" s="116" t="s">
        <v>289</v>
      </c>
      <c r="D82" s="394"/>
      <c r="E82" s="116" t="s">
        <v>319</v>
      </c>
      <c r="F82" s="125" t="s">
        <v>77</v>
      </c>
      <c r="G82" s="383">
        <v>8370.8421481277692</v>
      </c>
      <c r="H82" s="383">
        <v>0.80221776201334305</v>
      </c>
      <c r="I82" s="383">
        <v>8.5816837400341296E-4</v>
      </c>
      <c r="J82" s="383">
        <v>-3.8512270934012704E-6</v>
      </c>
      <c r="K82" s="383">
        <v>4.7499979402421901E-9</v>
      </c>
      <c r="N82" s="422">
        <v>82945.5047944822</v>
      </c>
      <c r="O82" s="422">
        <v>124.508584879011</v>
      </c>
      <c r="P82" s="422">
        <v>2.6990705362410099E-2</v>
      </c>
      <c r="Q82" s="422">
        <v>-1.7754074231045702E-2</v>
      </c>
      <c r="R82" s="422">
        <v>1.8609938680759199E-4</v>
      </c>
    </row>
    <row r="83" spans="1:18" x14ac:dyDescent="0.25">
      <c r="B83" s="427">
        <f>INDEX($F$2:$F$28,MATCH(C82,$E$2:$E$28,0))</f>
        <v>10000</v>
      </c>
      <c r="E83" s="116" t="s">
        <v>320</v>
      </c>
      <c r="F83" s="125" t="s">
        <v>78</v>
      </c>
      <c r="G83" s="383">
        <v>52.190142104105497</v>
      </c>
      <c r="H83" s="383">
        <v>1.56138585101805E-2</v>
      </c>
      <c r="I83" s="383">
        <v>-5.1299016798119297E-5</v>
      </c>
      <c r="J83" s="383">
        <v>1.92911264077943E-7</v>
      </c>
      <c r="K83" s="383">
        <v>-2.4473374798958198E-10</v>
      </c>
      <c r="N83" s="422">
        <v>517.89332034048698</v>
      </c>
      <c r="O83" s="422">
        <v>1.95806624642147</v>
      </c>
      <c r="P83" s="422">
        <v>-4.9611766893240601E-2</v>
      </c>
      <c r="Q83" s="422">
        <v>1.64191368724392E-3</v>
      </c>
      <c r="R83" s="422">
        <v>-2.0449884481401999E-5</v>
      </c>
    </row>
    <row r="84" spans="1:18" x14ac:dyDescent="0.25">
      <c r="B84" s="427">
        <f>INDEX($H$2:$H$28,MATCH(C82,$E$2:$E$28,0))</f>
        <v>150</v>
      </c>
      <c r="E84" s="116" t="s">
        <v>321</v>
      </c>
      <c r="F84" s="125" t="s">
        <v>79</v>
      </c>
      <c r="G84" s="383">
        <v>0.141259718152555</v>
      </c>
      <c r="H84" s="383">
        <v>1.02376773832773E-4</v>
      </c>
      <c r="I84" s="383">
        <v>-4.4269286236165999E-7</v>
      </c>
      <c r="J84" s="383">
        <v>1.65411305212397E-9</v>
      </c>
      <c r="K84" s="383">
        <v>-2.0779929075959699E-12</v>
      </c>
      <c r="N84" s="422">
        <v>1.4086784736815501</v>
      </c>
      <c r="O84" s="422">
        <v>5.7871707802533796E-3</v>
      </c>
      <c r="P84" s="422">
        <v>3.43880973764746E-4</v>
      </c>
      <c r="Q84" s="422">
        <v>-1.89870308268434E-5</v>
      </c>
      <c r="R84" s="422">
        <v>2.7382412884786801E-7</v>
      </c>
    </row>
    <row r="85" spans="1:18" x14ac:dyDescent="0.25">
      <c r="B85" s="427">
        <f>INDEX($I$2:$I$28,MATCH(C82,$E$2:$E$28,0))</f>
        <v>-40</v>
      </c>
      <c r="E85" s="116" t="s">
        <v>322</v>
      </c>
      <c r="F85" s="125" t="s">
        <v>80</v>
      </c>
      <c r="G85" s="383">
        <v>8.9806972255266097E-5</v>
      </c>
      <c r="H85" s="383">
        <v>-1.73234141530999E-6</v>
      </c>
      <c r="I85" s="383">
        <v>1.7887377906626501E-8</v>
      </c>
      <c r="J85" s="383">
        <v>-7.6207073824610405E-11</v>
      </c>
      <c r="K85" s="383">
        <v>1.00502077707223E-13</v>
      </c>
      <c r="N85" s="422">
        <v>1.21600063621562E-3</v>
      </c>
      <c r="O85" s="422">
        <v>-1.35849946461377E-4</v>
      </c>
      <c r="P85" s="422">
        <v>1.7876259983794099E-5</v>
      </c>
      <c r="Q85" s="422">
        <v>-7.6677674242241102E-7</v>
      </c>
      <c r="R85" s="422">
        <v>1.02257545635034E-8</v>
      </c>
    </row>
    <row r="86" spans="1:18" x14ac:dyDescent="0.25">
      <c r="E86" s="116" t="s">
        <v>323</v>
      </c>
      <c r="F86" s="125" t="s">
        <v>81</v>
      </c>
      <c r="G86" s="383">
        <v>-2.5247950412806301E-7</v>
      </c>
      <c r="H86" s="383">
        <v>1.5774837332025101E-8</v>
      </c>
      <c r="I86" s="383">
        <v>-1.49298901142439E-10</v>
      </c>
      <c r="J86" s="383">
        <v>6.2492384645064799E-13</v>
      </c>
      <c r="K86" s="383">
        <v>-8.1819144581791201E-16</v>
      </c>
      <c r="N86" s="422">
        <v>-1.27985294111301E-5</v>
      </c>
      <c r="O86" s="422">
        <v>3.2428222578558898E-6</v>
      </c>
      <c r="P86" s="422">
        <v>-3.5696593508955698E-7</v>
      </c>
      <c r="Q86" s="422">
        <v>1.5096529258938099E-8</v>
      </c>
      <c r="R86" s="422">
        <v>-2.00389650449346E-10</v>
      </c>
    </row>
    <row r="87" spans="1:18" x14ac:dyDescent="0.25">
      <c r="B87" s="366"/>
      <c r="E87" s="122"/>
      <c r="F87" s="126"/>
      <c r="G87" s="384"/>
      <c r="H87" s="384"/>
      <c r="I87" s="384"/>
      <c r="J87" s="384"/>
      <c r="K87" s="384"/>
      <c r="L87" s="124"/>
      <c r="N87" s="423"/>
      <c r="O87" s="423"/>
      <c r="P87" s="423"/>
      <c r="Q87" s="423"/>
      <c r="R87" s="423"/>
    </row>
    <row r="88" spans="1:18" ht="14.4" x14ac:dyDescent="0.3">
      <c r="A88" s="314">
        <v>8</v>
      </c>
      <c r="B88" s="314">
        <f>INDEX($A$2:$A$28,MATCH(C88,$E$2:$E$28,0))</f>
        <v>8</v>
      </c>
      <c r="C88" s="116" t="s">
        <v>415</v>
      </c>
      <c r="D88" s="394"/>
      <c r="E88" s="116" t="s">
        <v>423</v>
      </c>
      <c r="F88" s="125" t="s">
        <v>77</v>
      </c>
      <c r="G88" s="383">
        <v>8370.8421481277692</v>
      </c>
      <c r="H88" s="383">
        <v>0.80221776201334305</v>
      </c>
      <c r="I88" s="383">
        <v>8.5816837400341296E-4</v>
      </c>
      <c r="J88" s="383">
        <v>-3.8512270934012704E-6</v>
      </c>
      <c r="K88" s="383">
        <v>4.7499979402421901E-9</v>
      </c>
      <c r="M88" s="397"/>
      <c r="N88" s="438" t="s">
        <v>609</v>
      </c>
      <c r="O88" s="423"/>
      <c r="P88" s="423"/>
      <c r="Q88" s="423"/>
      <c r="R88" s="423"/>
    </row>
    <row r="89" spans="1:18" ht="14.4" x14ac:dyDescent="0.3">
      <c r="B89" s="427">
        <f>INDEX($F$2:$F$28,MATCH(C88,$E$2:$E$28,0))</f>
        <v>10000</v>
      </c>
      <c r="E89" s="116" t="s">
        <v>424</v>
      </c>
      <c r="F89" s="125" t="s">
        <v>78</v>
      </c>
      <c r="G89" s="383">
        <v>52.190142104105497</v>
      </c>
      <c r="H89" s="383">
        <v>1.56138585101805E-2</v>
      </c>
      <c r="I89" s="383">
        <v>-5.1299016798119297E-5</v>
      </c>
      <c r="J89" s="383">
        <v>1.92911264077943E-7</v>
      </c>
      <c r="K89" s="383">
        <v>-2.4473374798958198E-10</v>
      </c>
      <c r="M89" s="397"/>
      <c r="N89" s="422">
        <v>39072.406779999998</v>
      </c>
      <c r="O89" s="422">
        <v>18.6832612</v>
      </c>
      <c r="P89" s="422">
        <v>0.27878290300000003</v>
      </c>
      <c r="Q89" s="422">
        <v>-5.9418159999999999E-3</v>
      </c>
      <c r="R89" s="422">
        <v>3.3444200000000001E-5</v>
      </c>
    </row>
    <row r="90" spans="1:18" ht="14.4" x14ac:dyDescent="0.3">
      <c r="B90" s="427">
        <f>INDEX($H$2:$H$28,MATCH(C88,$E$2:$E$28,0))</f>
        <v>150</v>
      </c>
      <c r="E90" s="116" t="s">
        <v>425</v>
      </c>
      <c r="F90" s="125" t="s">
        <v>79</v>
      </c>
      <c r="G90" s="383">
        <v>0.141259718152555</v>
      </c>
      <c r="H90" s="383">
        <v>1.02376773832773E-4</v>
      </c>
      <c r="I90" s="383">
        <v>-4.4269286236165999E-7</v>
      </c>
      <c r="J90" s="383">
        <v>1.65411305212397E-9</v>
      </c>
      <c r="K90" s="383">
        <v>-2.0779929075959699E-12</v>
      </c>
      <c r="M90" s="397"/>
      <c r="N90" s="422">
        <v>246.68667579999999</v>
      </c>
      <c r="O90" s="422">
        <v>0.58883543199999999</v>
      </c>
      <c r="P90" s="422">
        <v>-1.4899488000000001E-2</v>
      </c>
      <c r="Q90" s="422">
        <v>2.70368E-4</v>
      </c>
      <c r="R90" s="422">
        <v>-1.5283499999999999E-6</v>
      </c>
    </row>
    <row r="91" spans="1:18" ht="14.4" x14ac:dyDescent="0.3">
      <c r="B91" s="427">
        <f>INDEX($I$2:$I$28,MATCH(C88,$E$2:$E$28,0))</f>
        <v>-40</v>
      </c>
      <c r="E91" s="116" t="s">
        <v>426</v>
      </c>
      <c r="F91" s="125" t="s">
        <v>80</v>
      </c>
      <c r="G91" s="383">
        <v>8.9806972255266097E-5</v>
      </c>
      <c r="H91" s="383">
        <v>-1.73234141530999E-6</v>
      </c>
      <c r="I91" s="383">
        <v>1.7887377906626501E-8</v>
      </c>
      <c r="J91" s="383">
        <v>-7.6207073824610405E-11</v>
      </c>
      <c r="K91" s="383">
        <v>1.00502077707223E-13</v>
      </c>
      <c r="M91" s="398"/>
      <c r="N91" s="422">
        <v>0.66095731999999996</v>
      </c>
      <c r="O91" s="422">
        <v>3.3119339999999999E-3</v>
      </c>
      <c r="P91" s="422">
        <v>-7.6398399999999997E-5</v>
      </c>
      <c r="Q91" s="422">
        <v>1.25111E-6</v>
      </c>
      <c r="R91" s="422">
        <v>-6.6955800000000002E-9</v>
      </c>
    </row>
    <row r="92" spans="1:18" ht="14.4" x14ac:dyDescent="0.3">
      <c r="E92" s="116" t="s">
        <v>427</v>
      </c>
      <c r="F92" s="125" t="s">
        <v>81</v>
      </c>
      <c r="G92" s="383">
        <v>-2.5247950412806301E-7</v>
      </c>
      <c r="H92" s="383">
        <v>1.5774837332025101E-8</v>
      </c>
      <c r="I92" s="383">
        <v>-1.49298901142439E-10</v>
      </c>
      <c r="J92" s="383">
        <v>6.2492384645064799E-13</v>
      </c>
      <c r="K92" s="383">
        <v>-8.1819144581791201E-16</v>
      </c>
      <c r="M92" s="398"/>
      <c r="N92" s="422">
        <v>9.5176500000000003E-4</v>
      </c>
      <c r="O92" s="422">
        <v>-1.5446399999999999E-4</v>
      </c>
      <c r="P92" s="422">
        <v>8.0519899999999995E-6</v>
      </c>
      <c r="Q92" s="422">
        <v>-1.55681E-7</v>
      </c>
      <c r="R92" s="422">
        <v>8.9229000000000003E-10</v>
      </c>
    </row>
    <row r="93" spans="1:18" x14ac:dyDescent="0.25">
      <c r="E93" s="122"/>
      <c r="F93" s="126"/>
      <c r="G93" s="123"/>
      <c r="H93" s="123"/>
      <c r="I93" s="123"/>
      <c r="J93" s="123"/>
      <c r="K93" s="123"/>
      <c r="N93" s="422">
        <v>-4.4766999999999998E-6</v>
      </c>
      <c r="O93" s="422">
        <v>1.23681E-6</v>
      </c>
      <c r="P93" s="422">
        <v>-6.2153399999999996E-8</v>
      </c>
      <c r="Q93" s="422">
        <v>1.1980899999999999E-9</v>
      </c>
      <c r="R93" s="422">
        <v>-6.8604999999999997E-12</v>
      </c>
    </row>
    <row r="94" spans="1:18" x14ac:dyDescent="0.25">
      <c r="A94" s="314">
        <v>9</v>
      </c>
      <c r="B94" s="314">
        <f>INDEX($A$2:$A$28,MATCH(C94,$E$2:$E$28,0))</f>
        <v>9</v>
      </c>
      <c r="C94" s="116" t="s">
        <v>285</v>
      </c>
      <c r="D94" s="394"/>
      <c r="E94" s="116" t="s">
        <v>324</v>
      </c>
      <c r="F94" s="125" t="s">
        <v>77</v>
      </c>
      <c r="G94" s="383">
        <v>8382.9308579999997</v>
      </c>
      <c r="H94" s="383">
        <v>0.81119102799999998</v>
      </c>
      <c r="I94" s="383">
        <v>1.121068E-3</v>
      </c>
      <c r="J94" s="383">
        <v>-5.9671699999999998E-6</v>
      </c>
      <c r="K94" s="383">
        <v>7.61533E-9</v>
      </c>
      <c r="N94" s="423"/>
      <c r="O94" s="423"/>
      <c r="P94" s="423"/>
      <c r="Q94" s="423"/>
      <c r="R94" s="423"/>
    </row>
    <row r="95" spans="1:18" x14ac:dyDescent="0.25">
      <c r="B95" s="427">
        <f>INDEX($F$2:$F$28,MATCH(C94,$E$2:$E$28,0))</f>
        <v>10000</v>
      </c>
      <c r="D95" s="115"/>
      <c r="E95" s="116" t="s">
        <v>325</v>
      </c>
      <c r="F95" s="125" t="s">
        <v>78</v>
      </c>
      <c r="G95" s="383">
        <v>51.837095410000003</v>
      </c>
      <c r="H95" s="383">
        <v>1.7955209E-2</v>
      </c>
      <c r="I95" s="383">
        <v>-7.9243800000000002E-5</v>
      </c>
      <c r="J95" s="383">
        <v>3.0053899999999999E-7</v>
      </c>
      <c r="K95" s="383">
        <v>-3.8756200000000002E-10</v>
      </c>
      <c r="N95" s="438" t="s">
        <v>610</v>
      </c>
      <c r="O95" s="423"/>
      <c r="P95" s="423"/>
      <c r="Q95" s="423"/>
      <c r="R95" s="423"/>
    </row>
    <row r="96" spans="1:18" x14ac:dyDescent="0.25">
      <c r="B96" s="427">
        <f>INDEX($H$2:$H$28,MATCH(C94,$E$2:$E$28,0))</f>
        <v>150</v>
      </c>
      <c r="E96" s="116" t="s">
        <v>326</v>
      </c>
      <c r="F96" s="125" t="s">
        <v>79</v>
      </c>
      <c r="G96" s="383">
        <v>0.132718157</v>
      </c>
      <c r="H96" s="383">
        <v>1.0804200000000001E-4</v>
      </c>
      <c r="I96" s="383">
        <v>-5.2087100000000001E-7</v>
      </c>
      <c r="J96" s="383">
        <v>1.8815599999999999E-9</v>
      </c>
      <c r="K96" s="383">
        <v>-2.3426799999999999E-12</v>
      </c>
      <c r="N96" s="422">
        <v>39168.574985617102</v>
      </c>
      <c r="O96" s="422">
        <v>18.684582842233599</v>
      </c>
      <c r="P96" s="422">
        <v>0.24173203617390299</v>
      </c>
      <c r="Q96" s="422">
        <v>-4.8853846471426697E-3</v>
      </c>
      <c r="R96" s="422">
        <v>2.65815730132797E-5</v>
      </c>
    </row>
    <row r="97" spans="1:18" x14ac:dyDescent="0.25">
      <c r="B97" s="427">
        <f>INDEX($I$2:$I$28,MATCH(C94,$E$2:$E$28,0))</f>
        <v>-40</v>
      </c>
      <c r="E97" s="116" t="s">
        <v>327</v>
      </c>
      <c r="F97" s="125" t="s">
        <v>80</v>
      </c>
      <c r="G97" s="383">
        <v>2.9894600000000002E-4</v>
      </c>
      <c r="H97" s="383">
        <v>-2.3467899999999999E-6</v>
      </c>
      <c r="I97" s="383">
        <v>2.7552199999999998E-8</v>
      </c>
      <c r="J97" s="383">
        <v>-1.1607600000000001E-10</v>
      </c>
      <c r="K97" s="383">
        <v>1.53326E-13</v>
      </c>
      <c r="N97" s="422">
        <v>243.56600424651899</v>
      </c>
      <c r="O97" s="422">
        <v>0.61246544691819305</v>
      </c>
      <c r="P97" s="422">
        <v>-1.6271884868654201E-2</v>
      </c>
      <c r="Q97" s="422">
        <v>2.9497710469131999E-4</v>
      </c>
      <c r="R97" s="422">
        <v>-1.6635826320493701E-6</v>
      </c>
    </row>
    <row r="98" spans="1:18" x14ac:dyDescent="0.25">
      <c r="E98" s="116" t="s">
        <v>328</v>
      </c>
      <c r="F98" s="125" t="s">
        <v>81</v>
      </c>
      <c r="G98" s="383">
        <v>-9.72776E-7</v>
      </c>
      <c r="H98" s="383">
        <v>1.8782299999999999E-8</v>
      </c>
      <c r="I98" s="383">
        <v>-1.9996499999999999E-10</v>
      </c>
      <c r="J98" s="383">
        <v>8.3400200000000002E-13</v>
      </c>
      <c r="K98" s="383">
        <v>-1.09709E-15</v>
      </c>
      <c r="M98" s="124"/>
      <c r="N98" s="422">
        <v>0.64114181731042896</v>
      </c>
      <c r="O98" s="422">
        <v>3.0164923461275298E-3</v>
      </c>
      <c r="P98" s="422">
        <v>-6.3519963468189805E-5</v>
      </c>
      <c r="Q98" s="422">
        <v>1.01919890559555E-6</v>
      </c>
      <c r="R98" s="422">
        <v>-5.4048435953805197E-9</v>
      </c>
    </row>
    <row r="99" spans="1:18" x14ac:dyDescent="0.25">
      <c r="E99" s="116"/>
      <c r="F99" s="126"/>
      <c r="G99" s="384"/>
      <c r="H99" s="384"/>
      <c r="I99" s="384"/>
      <c r="J99" s="384"/>
      <c r="K99" s="384"/>
      <c r="M99" s="124"/>
      <c r="N99" s="422">
        <v>1.3475458839712401E-3</v>
      </c>
      <c r="O99" s="422">
        <v>-1.69564705674006E-4</v>
      </c>
      <c r="P99" s="422">
        <v>8.9466355504256997E-6</v>
      </c>
      <c r="Q99" s="422">
        <v>-1.73217522510246E-7</v>
      </c>
      <c r="R99" s="422">
        <v>9.9427151188728497E-10</v>
      </c>
    </row>
    <row r="100" spans="1:18" x14ac:dyDescent="0.25">
      <c r="A100" s="314">
        <v>10</v>
      </c>
      <c r="B100" s="314">
        <f>INDEX($A$2:$A$28,MATCH(C100,$E$2:$E$28,0))</f>
        <v>10</v>
      </c>
      <c r="C100" s="116" t="s">
        <v>286</v>
      </c>
      <c r="D100" s="394"/>
      <c r="E100" s="116" t="s">
        <v>329</v>
      </c>
      <c r="F100" s="125" t="s">
        <v>77</v>
      </c>
      <c r="G100" s="383">
        <v>8382.9308579999997</v>
      </c>
      <c r="H100" s="383">
        <v>0.81119102799999998</v>
      </c>
      <c r="I100" s="383">
        <v>1.121068E-3</v>
      </c>
      <c r="J100" s="383">
        <v>-5.9671699999999998E-6</v>
      </c>
      <c r="K100" s="383">
        <v>7.61533E-9</v>
      </c>
      <c r="L100" s="119"/>
      <c r="M100" s="119"/>
      <c r="N100" s="422">
        <v>-7.2096260590240796E-6</v>
      </c>
      <c r="O100" s="422">
        <v>1.3771760925430199E-6</v>
      </c>
      <c r="P100" s="422">
        <v>-7.0349752707070406E-8</v>
      </c>
      <c r="Q100" s="422">
        <v>1.35804343258657E-9</v>
      </c>
      <c r="R100" s="422">
        <v>-7.78727902361835E-12</v>
      </c>
    </row>
    <row r="101" spans="1:18" x14ac:dyDescent="0.25">
      <c r="B101" s="427">
        <f>INDEX($F$2:$F$28,MATCH(C100,$E$2:$E$28,0))</f>
        <v>10000</v>
      </c>
      <c r="E101" s="116" t="s">
        <v>330</v>
      </c>
      <c r="F101" s="125" t="s">
        <v>78</v>
      </c>
      <c r="G101" s="383">
        <v>51.837095410000003</v>
      </c>
      <c r="H101" s="383">
        <v>1.7955209E-2</v>
      </c>
      <c r="I101" s="383">
        <v>-7.9243800000000002E-5</v>
      </c>
      <c r="J101" s="383">
        <v>3.0053899999999999E-7</v>
      </c>
      <c r="K101" s="383">
        <v>-3.8756200000000002E-10</v>
      </c>
      <c r="L101" s="119"/>
      <c r="M101" s="119"/>
      <c r="N101"/>
      <c r="O101" s="314"/>
      <c r="P101"/>
      <c r="Q101" s="416"/>
      <c r="R101" s="416"/>
    </row>
    <row r="102" spans="1:18" x14ac:dyDescent="0.25">
      <c r="B102" s="427">
        <f>INDEX($H$2:$H$28,MATCH(C100,$E$2:$E$28,0))</f>
        <v>150</v>
      </c>
      <c r="E102" s="116" t="s">
        <v>331</v>
      </c>
      <c r="F102" s="125" t="s">
        <v>79</v>
      </c>
      <c r="G102" s="383">
        <v>0.132718157</v>
      </c>
      <c r="H102" s="383">
        <v>1.0804200000000001E-4</v>
      </c>
      <c r="I102" s="383">
        <v>-5.2087100000000001E-7</v>
      </c>
      <c r="J102" s="383">
        <v>1.8815599999999999E-9</v>
      </c>
      <c r="K102" s="383">
        <v>-2.3426799999999999E-12</v>
      </c>
      <c r="L102" s="119"/>
      <c r="M102" s="119"/>
      <c r="N102"/>
      <c r="O102" s="314"/>
      <c r="P102" s="416"/>
      <c r="Q102" s="416"/>
      <c r="R102" s="416"/>
    </row>
    <row r="103" spans="1:18" x14ac:dyDescent="0.25">
      <c r="B103" s="427">
        <f>INDEX($I$2:$I$28,MATCH(C100,$E$2:$E$28,0))</f>
        <v>-40</v>
      </c>
      <c r="E103" s="116" t="s">
        <v>332</v>
      </c>
      <c r="F103" s="125" t="s">
        <v>80</v>
      </c>
      <c r="G103" s="383">
        <v>2.9894600000000002E-4</v>
      </c>
      <c r="H103" s="383">
        <v>-2.3467899999999999E-6</v>
      </c>
      <c r="I103" s="383">
        <v>2.7552199999999998E-8</v>
      </c>
      <c r="J103" s="383">
        <v>-1.1607600000000001E-10</v>
      </c>
      <c r="K103" s="383">
        <v>1.53326E-13</v>
      </c>
      <c r="L103" s="119"/>
      <c r="M103" s="119"/>
      <c r="N103"/>
      <c r="O103" s="314"/>
      <c r="P103" s="416"/>
      <c r="Q103" s="416"/>
      <c r="R103" s="416"/>
    </row>
    <row r="104" spans="1:18" x14ac:dyDescent="0.25">
      <c r="E104" s="116" t="s">
        <v>333</v>
      </c>
      <c r="F104" s="125" t="s">
        <v>81</v>
      </c>
      <c r="G104" s="383">
        <v>-9.72776E-7</v>
      </c>
      <c r="H104" s="383">
        <v>1.8782299999999999E-8</v>
      </c>
      <c r="I104" s="383">
        <v>-1.9996499999999999E-10</v>
      </c>
      <c r="J104" s="383">
        <v>8.3400200000000002E-13</v>
      </c>
      <c r="K104" s="383">
        <v>-1.09709E-15</v>
      </c>
      <c r="L104" s="119"/>
      <c r="M104" s="119"/>
      <c r="N104"/>
      <c r="O104" s="417"/>
      <c r="P104" s="416"/>
      <c r="Q104" s="416"/>
      <c r="R104" s="416"/>
    </row>
    <row r="105" spans="1:18" x14ac:dyDescent="0.25">
      <c r="E105" s="116"/>
      <c r="F105" s="126"/>
      <c r="G105" s="384"/>
      <c r="H105" s="384"/>
      <c r="I105" s="384"/>
      <c r="J105" s="384"/>
      <c r="K105" s="384"/>
      <c r="L105" s="119"/>
      <c r="M105" s="119"/>
      <c r="N105" s="416"/>
      <c r="O105" s="417"/>
      <c r="P105" s="416"/>
      <c r="Q105" s="416"/>
      <c r="R105" s="416"/>
    </row>
    <row r="106" spans="1:18" ht="14.4" x14ac:dyDescent="0.3">
      <c r="A106" s="314">
        <v>11</v>
      </c>
      <c r="B106" s="314">
        <f>INDEX($A$2:$A$28,MATCH(C106,$E$2:$E$28,0))</f>
        <v>11</v>
      </c>
      <c r="C106" s="116" t="s">
        <v>287</v>
      </c>
      <c r="D106" s="394"/>
      <c r="E106" s="116" t="s">
        <v>334</v>
      </c>
      <c r="F106" s="125" t="s">
        <v>77</v>
      </c>
      <c r="G106" s="383">
        <v>8396.0734400395704</v>
      </c>
      <c r="H106" s="383">
        <v>0.764065213460701</v>
      </c>
      <c r="I106" s="383">
        <v>7.6599740379270796E-4</v>
      </c>
      <c r="J106" s="383">
        <v>-5.3110468762188799E-6</v>
      </c>
      <c r="K106" s="383">
        <v>9.7679136438624307E-9</v>
      </c>
      <c r="L106" s="119"/>
      <c r="M106" s="395"/>
      <c r="N106"/>
      <c r="O106" s="314"/>
      <c r="P106"/>
    </row>
    <row r="107" spans="1:18" ht="14.4" x14ac:dyDescent="0.3">
      <c r="B107" s="427">
        <f>INDEX($F$2:$F$28,MATCH(C106,$E$2:$E$28,0))</f>
        <v>10000</v>
      </c>
      <c r="E107" s="116" t="s">
        <v>335</v>
      </c>
      <c r="F107" s="125" t="s">
        <v>78</v>
      </c>
      <c r="G107" s="383">
        <v>51.917679090312603</v>
      </c>
      <c r="H107" s="383">
        <v>1.56265542107559E-2</v>
      </c>
      <c r="I107" s="383">
        <v>-4.32762815716043E-5</v>
      </c>
      <c r="J107" s="383">
        <v>1.5314354874540701E-7</v>
      </c>
      <c r="K107" s="383">
        <v>-2.40049673008108E-10</v>
      </c>
      <c r="L107" s="119"/>
      <c r="M107" s="395"/>
    </row>
    <row r="108" spans="1:18" ht="14.4" x14ac:dyDescent="0.3">
      <c r="B108" s="427">
        <f>INDEX($H$2:$H$28,MATCH(C106,$E$2:$E$28,0))</f>
        <v>170</v>
      </c>
      <c r="E108" s="116" t="s">
        <v>336</v>
      </c>
      <c r="F108" s="125" t="s">
        <v>79</v>
      </c>
      <c r="G108" s="383">
        <v>0.12827095806917499</v>
      </c>
      <c r="H108" s="383">
        <v>1.42722663421849E-4</v>
      </c>
      <c r="I108" s="383">
        <v>-7.6518618746845599E-7</v>
      </c>
      <c r="J108" s="383">
        <v>3.16812458035125E-9</v>
      </c>
      <c r="K108" s="383">
        <v>-5.2807194015950702E-12</v>
      </c>
      <c r="L108" s="119"/>
      <c r="M108" s="395"/>
    </row>
    <row r="109" spans="1:18" ht="14.4" x14ac:dyDescent="0.3">
      <c r="B109" s="427">
        <f>INDEX($I$2:$I$28,MATCH(C106,$E$2:$E$28,0))</f>
        <v>-40</v>
      </c>
      <c r="E109" s="116" t="s">
        <v>337</v>
      </c>
      <c r="F109" s="125" t="s">
        <v>80</v>
      </c>
      <c r="G109" s="383">
        <v>3.8984310179597E-4</v>
      </c>
      <c r="H109" s="383">
        <v>-1.9492112158573299E-6</v>
      </c>
      <c r="I109" s="383">
        <v>1.5951572056666701E-8</v>
      </c>
      <c r="J109" s="383">
        <v>-7.42019225736082E-11</v>
      </c>
      <c r="K109" s="383">
        <v>1.3371143929269801E-13</v>
      </c>
      <c r="L109" s="119"/>
      <c r="M109" s="395"/>
    </row>
    <row r="110" spans="1:18" ht="14.4" x14ac:dyDescent="0.3">
      <c r="E110" s="116" t="s">
        <v>338</v>
      </c>
      <c r="F110" s="125" t="s">
        <v>81</v>
      </c>
      <c r="G110" s="383">
        <v>-1.1490749875055501E-6</v>
      </c>
      <c r="H110" s="383">
        <v>1.28675096020461E-8</v>
      </c>
      <c r="I110" s="383">
        <v>-9.68320203796483E-11</v>
      </c>
      <c r="J110" s="383">
        <v>4.5329437688313198E-13</v>
      </c>
      <c r="K110" s="383">
        <v>-8.1883567036275601E-16</v>
      </c>
      <c r="L110" s="119"/>
      <c r="M110" s="396"/>
    </row>
    <row r="111" spans="1:18" x14ac:dyDescent="0.25">
      <c r="B111" s="366"/>
      <c r="E111" s="116"/>
      <c r="F111" s="126"/>
      <c r="G111" s="384"/>
      <c r="H111" s="384"/>
      <c r="I111" s="384"/>
      <c r="J111" s="384"/>
      <c r="K111" s="384"/>
      <c r="L111" s="119"/>
      <c r="M111" s="119"/>
    </row>
    <row r="112" spans="1:18" x14ac:dyDescent="0.25">
      <c r="A112" s="314">
        <v>12</v>
      </c>
      <c r="B112" s="314">
        <f>INDEX($A$2:$A$28,MATCH(C112,$E$2:$E$28,0))</f>
        <v>12</v>
      </c>
      <c r="C112" s="116" t="s">
        <v>283</v>
      </c>
      <c r="D112" s="394"/>
      <c r="E112" s="116" t="s">
        <v>339</v>
      </c>
      <c r="F112" s="125" t="s">
        <v>77</v>
      </c>
      <c r="G112" s="383">
        <v>82925.291032193607</v>
      </c>
      <c r="H112" s="383">
        <v>76.353979535385022</v>
      </c>
      <c r="I112" s="383">
        <v>5.4002513226677591</v>
      </c>
      <c r="J112" s="383">
        <v>-0.2488876963625507</v>
      </c>
      <c r="K112" s="383">
        <v>3.3424219204436505E-3</v>
      </c>
      <c r="M112" s="124"/>
    </row>
    <row r="113" spans="1:19" x14ac:dyDescent="0.25">
      <c r="B113" s="427">
        <f>INDEX($F$2:$F$28,MATCH(C112,$E$2:$E$28,0))</f>
        <v>100000</v>
      </c>
      <c r="E113" s="116" t="s">
        <v>340</v>
      </c>
      <c r="F113" s="125" t="s">
        <v>78</v>
      </c>
      <c r="G113" s="383">
        <v>517.10667814332839</v>
      </c>
      <c r="H113" s="383">
        <v>3.9545892050250129</v>
      </c>
      <c r="I113" s="383">
        <v>-0.27236497870013815</v>
      </c>
      <c r="J113" s="383">
        <v>1.1425287955164449E-2</v>
      </c>
      <c r="K113" s="383">
        <v>-1.5325314446840063E-4</v>
      </c>
      <c r="M113" s="124"/>
      <c r="N113"/>
      <c r="O113" s="314"/>
      <c r="P113"/>
    </row>
    <row r="114" spans="1:19" x14ac:dyDescent="0.25">
      <c r="B114" s="427">
        <f>INDEX($H$2:$H$28,MATCH(C112,$E$2:$E$28,0))</f>
        <v>125</v>
      </c>
      <c r="E114" s="116" t="s">
        <v>341</v>
      </c>
      <c r="F114" s="125" t="s">
        <v>79</v>
      </c>
      <c r="G114" s="383">
        <v>1.3637252413684089</v>
      </c>
      <c r="H114" s="383">
        <v>2.3354933806681133E-2</v>
      </c>
      <c r="I114" s="383">
        <v>-1.6368788744900869E-3</v>
      </c>
      <c r="J114" s="383">
        <v>6.7366713866456743E-5</v>
      </c>
      <c r="K114" s="383">
        <v>-9.0694757615981918E-7</v>
      </c>
      <c r="M114" s="124"/>
      <c r="N114"/>
      <c r="O114" s="314"/>
      <c r="P114"/>
    </row>
    <row r="115" spans="1:19" x14ac:dyDescent="0.25">
      <c r="B115" s="427">
        <f>INDEX($I$2:$I$28,MATCH(C112,$E$2:$E$28,0))</f>
        <v>-40</v>
      </c>
      <c r="E115" s="116" t="s">
        <v>342</v>
      </c>
      <c r="F115" s="125" t="s">
        <v>80</v>
      </c>
      <c r="G115" s="383">
        <v>5.0957846206872446E-3</v>
      </c>
      <c r="H115" s="383">
        <v>-1.4209256615080696E-3</v>
      </c>
      <c r="I115" s="383">
        <v>1.6280062983973882E-4</v>
      </c>
      <c r="J115" s="383">
        <v>-7.1082454605244118E-6</v>
      </c>
      <c r="K115" s="383">
        <v>9.6360698526422508E-8</v>
      </c>
      <c r="M115" s="124"/>
      <c r="N115"/>
      <c r="O115" s="314"/>
      <c r="P115"/>
    </row>
    <row r="116" spans="1:19" x14ac:dyDescent="0.25">
      <c r="E116" s="116" t="s">
        <v>343</v>
      </c>
      <c r="F116" s="125" t="s">
        <v>81</v>
      </c>
      <c r="G116" s="383">
        <v>-2.9979113008125361E-5</v>
      </c>
      <c r="H116" s="383">
        <v>1.0761604756094787E-5</v>
      </c>
      <c r="I116" s="383">
        <v>-1.1979932634672029E-6</v>
      </c>
      <c r="J116" s="383">
        <v>5.2041791608112012E-8</v>
      </c>
      <c r="K116" s="383">
        <v>-7.0334678920064236E-10</v>
      </c>
      <c r="M116" s="124"/>
      <c r="N116"/>
      <c r="O116" s="314"/>
      <c r="P116"/>
    </row>
    <row r="117" spans="1:19" x14ac:dyDescent="0.25">
      <c r="E117" s="122"/>
      <c r="F117" s="126"/>
      <c r="G117" s="384"/>
      <c r="H117" s="384"/>
      <c r="I117" s="384"/>
      <c r="J117" s="384"/>
      <c r="K117" s="384"/>
      <c r="M117" s="124"/>
      <c r="N117"/>
      <c r="O117" s="314"/>
      <c r="P117"/>
    </row>
    <row r="118" spans="1:19" x14ac:dyDescent="0.25">
      <c r="A118" s="314">
        <v>13</v>
      </c>
      <c r="B118" s="314">
        <f>INDEX($A$2:$A$28,MATCH(C118,$E$2:$E$28,0))</f>
        <v>13</v>
      </c>
      <c r="C118" s="116" t="s">
        <v>416</v>
      </c>
      <c r="D118" s="394"/>
      <c r="E118" s="116" t="s">
        <v>433</v>
      </c>
      <c r="F118" s="125" t="s">
        <v>77</v>
      </c>
      <c r="G118" s="383">
        <v>82911.345299816807</v>
      </c>
      <c r="H118" s="383">
        <v>96.139298499423504</v>
      </c>
      <c r="I118" s="383">
        <v>1.8250987047027201</v>
      </c>
      <c r="J118" s="383">
        <v>-5.7753291103041601E-2</v>
      </c>
      <c r="K118" s="383">
        <v>4.9966735165054698E-4</v>
      </c>
      <c r="M118" s="124"/>
    </row>
    <row r="119" spans="1:19" x14ac:dyDescent="0.25">
      <c r="B119" s="427">
        <f>INDEX($F$2:$F$28,MATCH(C118,$E$2:$E$28,0))</f>
        <v>100000</v>
      </c>
      <c r="E119" s="116" t="s">
        <v>434</v>
      </c>
      <c r="F119" s="125" t="s">
        <v>78</v>
      </c>
      <c r="G119" s="383">
        <v>518.15238185319299</v>
      </c>
      <c r="H119" s="383">
        <v>3.01676780749357</v>
      </c>
      <c r="I119" s="383">
        <v>-0.110593593948733</v>
      </c>
      <c r="J119" s="383">
        <v>2.8470200644412301E-3</v>
      </c>
      <c r="K119" s="383">
        <v>-2.56150909633412E-5</v>
      </c>
      <c r="M119" s="124"/>
    </row>
    <row r="120" spans="1:19" x14ac:dyDescent="0.25">
      <c r="B120" s="427">
        <f>INDEX($H$2:$H$28,MATCH(C118,$E$2:$E$28,0))</f>
        <v>125</v>
      </c>
      <c r="E120" s="116" t="s">
        <v>435</v>
      </c>
      <c r="F120" s="125" t="s">
        <v>79</v>
      </c>
      <c r="G120" s="383">
        <v>1.37053584417915</v>
      </c>
      <c r="H120" s="383">
        <v>1.7150981903600999E-2</v>
      </c>
      <c r="I120" s="383">
        <v>-5.6667495834201401E-4</v>
      </c>
      <c r="J120" s="383">
        <v>1.06921291338662E-5</v>
      </c>
      <c r="K120" s="383">
        <v>-6.4579846804597705E-8</v>
      </c>
      <c r="M120" s="124"/>
    </row>
    <row r="121" spans="1:19" x14ac:dyDescent="0.25">
      <c r="B121" s="427">
        <f>INDEX($I$2:$I$28,MATCH(C118,$E$2:$E$28,0))</f>
        <v>-40</v>
      </c>
      <c r="E121" s="116" t="s">
        <v>436</v>
      </c>
      <c r="F121" s="125" t="s">
        <v>80</v>
      </c>
      <c r="G121" s="383">
        <v>4.44790246039468E-3</v>
      </c>
      <c r="H121" s="383">
        <v>-8.1879224990067301E-4</v>
      </c>
      <c r="I121" s="383">
        <v>5.86106910959623E-5</v>
      </c>
      <c r="J121" s="383">
        <v>-1.5895895706461299E-6</v>
      </c>
      <c r="K121" s="383">
        <v>1.4349311488949501E-8</v>
      </c>
      <c r="M121" s="124"/>
    </row>
    <row r="122" spans="1:19" x14ac:dyDescent="0.25">
      <c r="E122" s="116" t="s">
        <v>437</v>
      </c>
      <c r="F122" s="125" t="s">
        <v>81</v>
      </c>
      <c r="G122" s="383">
        <v>-2.5237320931187E-5</v>
      </c>
      <c r="H122" s="383">
        <v>6.3525479490608601E-6</v>
      </c>
      <c r="I122" s="383">
        <v>-4.3631341381405998E-7</v>
      </c>
      <c r="J122" s="383">
        <v>1.1806182811113801E-8</v>
      </c>
      <c r="K122" s="383">
        <v>-1.06401480341685E-10</v>
      </c>
      <c r="M122" s="124"/>
    </row>
    <row r="123" spans="1:19" x14ac:dyDescent="0.25">
      <c r="E123" s="116"/>
      <c r="F123" s="125"/>
      <c r="G123" s="383"/>
      <c r="H123" s="383"/>
      <c r="I123" s="383"/>
      <c r="J123" s="383"/>
      <c r="K123" s="383"/>
      <c r="M123" s="124"/>
    </row>
    <row r="124" spans="1:19" x14ac:dyDescent="0.25">
      <c r="A124" s="314">
        <v>14</v>
      </c>
      <c r="B124" s="314">
        <f>INDEX($A$2:$A$28,MATCH(C124,$E$2:$E$28,0))</f>
        <v>14</v>
      </c>
      <c r="C124" s="116" t="s">
        <v>284</v>
      </c>
      <c r="D124" s="394"/>
      <c r="E124" s="116" t="s">
        <v>344</v>
      </c>
      <c r="F124" s="125" t="s">
        <v>77</v>
      </c>
      <c r="G124" s="383">
        <v>82911.345299816807</v>
      </c>
      <c r="H124" s="383">
        <v>96.139298499423504</v>
      </c>
      <c r="I124" s="383">
        <v>1.8250987047027201</v>
      </c>
      <c r="J124" s="383">
        <v>-5.7753291103041601E-2</v>
      </c>
      <c r="K124" s="383">
        <v>4.9966735165054698E-4</v>
      </c>
      <c r="M124" s="124"/>
    </row>
    <row r="125" spans="1:19" x14ac:dyDescent="0.25">
      <c r="B125" s="427">
        <f>INDEX($F$2:$F$28,MATCH(C124,$E$2:$E$28,0))</f>
        <v>100000</v>
      </c>
      <c r="D125" s="116"/>
      <c r="E125" s="116" t="s">
        <v>345</v>
      </c>
      <c r="F125" s="125" t="s">
        <v>78</v>
      </c>
      <c r="G125" s="383">
        <v>518.15238185319299</v>
      </c>
      <c r="H125" s="383">
        <v>3.01676780749357</v>
      </c>
      <c r="I125" s="383">
        <v>-0.110593593948733</v>
      </c>
      <c r="J125" s="383">
        <v>2.8470200644412301E-3</v>
      </c>
      <c r="K125" s="383">
        <v>-2.56150909633412E-5</v>
      </c>
      <c r="M125" s="124"/>
    </row>
    <row r="126" spans="1:19" x14ac:dyDescent="0.25">
      <c r="B126" s="427">
        <f>INDEX($H$2:$H$28,MATCH(C124,$E$2:$E$28,0))</f>
        <v>125</v>
      </c>
      <c r="C126" s="377"/>
      <c r="E126" s="116" t="s">
        <v>346</v>
      </c>
      <c r="F126" s="125" t="s">
        <v>79</v>
      </c>
      <c r="G126" s="383">
        <v>1.37053584417915</v>
      </c>
      <c r="H126" s="383">
        <v>1.7150981903600999E-2</v>
      </c>
      <c r="I126" s="383">
        <v>-5.6667495834201401E-4</v>
      </c>
      <c r="J126" s="383">
        <v>1.06921291338662E-5</v>
      </c>
      <c r="K126" s="383">
        <v>-6.4579846804597705E-8</v>
      </c>
      <c r="M126" s="124"/>
    </row>
    <row r="127" spans="1:19" x14ac:dyDescent="0.25">
      <c r="B127" s="427">
        <f>INDEX($I$2:$I$28,MATCH(C124,$E$2:$E$28,0))</f>
        <v>-40</v>
      </c>
      <c r="C127" s="377"/>
      <c r="E127" s="116" t="s">
        <v>347</v>
      </c>
      <c r="F127" s="125" t="s">
        <v>80</v>
      </c>
      <c r="G127" s="383">
        <v>4.44790246039468E-3</v>
      </c>
      <c r="H127" s="383">
        <v>-8.1879224990067301E-4</v>
      </c>
      <c r="I127" s="383">
        <v>5.86106910959623E-5</v>
      </c>
      <c r="J127" s="383">
        <v>-1.5895895706461299E-6</v>
      </c>
      <c r="K127" s="383">
        <v>1.4349311488949501E-8</v>
      </c>
      <c r="M127" s="124"/>
    </row>
    <row r="128" spans="1:19" x14ac:dyDescent="0.25">
      <c r="E128" s="116" t="s">
        <v>348</v>
      </c>
      <c r="F128" s="125" t="s">
        <v>81</v>
      </c>
      <c r="G128" s="383">
        <v>-2.5237320931187E-5</v>
      </c>
      <c r="H128" s="383">
        <v>6.3525479490608601E-6</v>
      </c>
      <c r="I128" s="383">
        <v>-4.3631341381405998E-7</v>
      </c>
      <c r="J128" s="383">
        <v>1.1806182811113801E-8</v>
      </c>
      <c r="K128" s="383">
        <v>-1.06401480341685E-10</v>
      </c>
      <c r="M128" s="124"/>
      <c r="S128" s="416"/>
    </row>
    <row r="129" spans="1:19" x14ac:dyDescent="0.25">
      <c r="E129" s="122"/>
      <c r="F129" s="379"/>
      <c r="G129" s="385"/>
      <c r="H129" s="385"/>
      <c r="I129" s="385"/>
      <c r="J129" s="385"/>
      <c r="K129" s="385"/>
      <c r="S129" s="416"/>
    </row>
    <row r="130" spans="1:19" x14ac:dyDescent="0.25">
      <c r="A130" s="314">
        <v>15</v>
      </c>
      <c r="B130" s="366">
        <f>INDEX($A$2:$A$28,MATCH(C130,$E$2:$E$28,0))</f>
        <v>15</v>
      </c>
      <c r="C130" s="122" t="s">
        <v>417</v>
      </c>
      <c r="D130" s="394"/>
      <c r="E130" s="378" t="s">
        <v>428</v>
      </c>
      <c r="F130" s="125" t="s">
        <v>77</v>
      </c>
      <c r="G130" s="383">
        <v>82911.345299816807</v>
      </c>
      <c r="H130" s="383">
        <v>96.139298499423504</v>
      </c>
      <c r="I130" s="383">
        <v>1.8250987047027201</v>
      </c>
      <c r="J130" s="383">
        <v>-5.7753291103041601E-2</v>
      </c>
      <c r="K130" s="383">
        <v>4.9966735165054698E-4</v>
      </c>
      <c r="M130" s="124"/>
      <c r="S130" s="416"/>
    </row>
    <row r="131" spans="1:19" x14ac:dyDescent="0.25">
      <c r="B131" s="427">
        <f>INDEX($F$2:$F$28,MATCH(C130,$E$2:$E$28,0))</f>
        <v>100000</v>
      </c>
      <c r="D131" s="116"/>
      <c r="E131" s="116" t="s">
        <v>429</v>
      </c>
      <c r="F131" s="125" t="s">
        <v>78</v>
      </c>
      <c r="G131" s="383">
        <v>518.15238185319299</v>
      </c>
      <c r="H131" s="383">
        <v>3.01676780749357</v>
      </c>
      <c r="I131" s="383">
        <v>-0.110593593948733</v>
      </c>
      <c r="J131" s="383">
        <v>2.8470200644412301E-3</v>
      </c>
      <c r="K131" s="383">
        <v>-2.56150909633412E-5</v>
      </c>
      <c r="M131" s="124"/>
      <c r="N131"/>
      <c r="O131" s="314"/>
      <c r="P131"/>
    </row>
    <row r="132" spans="1:19" x14ac:dyDescent="0.25">
      <c r="B132" s="427">
        <f>INDEX($H$2:$H$28,MATCH(C130,$E$2:$E$28,0))</f>
        <v>125</v>
      </c>
      <c r="C132" s="377"/>
      <c r="E132" s="116" t="s">
        <v>430</v>
      </c>
      <c r="F132" s="125" t="s">
        <v>79</v>
      </c>
      <c r="G132" s="383">
        <v>1.37053584417915</v>
      </c>
      <c r="H132" s="383">
        <v>1.7150981903600999E-2</v>
      </c>
      <c r="I132" s="383">
        <v>-5.6667495834201401E-4</v>
      </c>
      <c r="J132" s="383">
        <v>1.06921291338662E-5</v>
      </c>
      <c r="K132" s="383">
        <v>-6.4579846804597705E-8</v>
      </c>
      <c r="M132" s="124"/>
    </row>
    <row r="133" spans="1:19" x14ac:dyDescent="0.25">
      <c r="B133" s="427">
        <f>INDEX($I$2:$I$28,MATCH(C130,$E$2:$E$28,0))</f>
        <v>-40</v>
      </c>
      <c r="C133" s="377"/>
      <c r="E133" s="116" t="s">
        <v>431</v>
      </c>
      <c r="F133" s="125" t="s">
        <v>80</v>
      </c>
      <c r="G133" s="383">
        <v>4.44790246039468E-3</v>
      </c>
      <c r="H133" s="383">
        <v>-8.1879224990067301E-4</v>
      </c>
      <c r="I133" s="383">
        <v>5.86106910959623E-5</v>
      </c>
      <c r="J133" s="383">
        <v>-1.5895895706461299E-6</v>
      </c>
      <c r="K133" s="383">
        <v>1.4349311488949501E-8</v>
      </c>
      <c r="M133" s="124"/>
    </row>
    <row r="134" spans="1:19" x14ac:dyDescent="0.25">
      <c r="E134" s="116" t="s">
        <v>432</v>
      </c>
      <c r="F134" s="125" t="s">
        <v>81</v>
      </c>
      <c r="G134" s="383">
        <v>-2.5237320931187E-5</v>
      </c>
      <c r="H134" s="383">
        <v>6.3525479490608601E-6</v>
      </c>
      <c r="I134" s="383">
        <v>-4.3631341381405998E-7</v>
      </c>
      <c r="J134" s="383">
        <v>1.1806182811113801E-8</v>
      </c>
      <c r="K134" s="383">
        <v>-1.06401480341685E-10</v>
      </c>
      <c r="M134" s="124"/>
    </row>
    <row r="135" spans="1:19" x14ac:dyDescent="0.25">
      <c r="E135" s="116"/>
      <c r="F135" s="125"/>
      <c r="G135" s="383"/>
      <c r="H135" s="383"/>
      <c r="I135" s="383"/>
      <c r="J135" s="383"/>
      <c r="K135" s="383"/>
      <c r="M135" s="124"/>
    </row>
    <row r="136" spans="1:19" x14ac:dyDescent="0.25">
      <c r="A136" s="314">
        <v>16</v>
      </c>
      <c r="B136" s="314">
        <f>INDEX($A$2:$A$28,MATCH(C136,$E$2:$E$28,0))</f>
        <v>16</v>
      </c>
      <c r="C136" s="116" t="s">
        <v>514</v>
      </c>
      <c r="D136" s="394"/>
      <c r="E136" s="116" t="s">
        <v>533</v>
      </c>
      <c r="F136" s="125" t="s">
        <v>77</v>
      </c>
      <c r="G136" s="383">
        <v>82945.5047944822</v>
      </c>
      <c r="H136" s="383">
        <v>124.508584879011</v>
      </c>
      <c r="I136" s="383">
        <v>2.6990705362410099E-2</v>
      </c>
      <c r="J136" s="383">
        <v>-1.7754074231045702E-2</v>
      </c>
      <c r="K136" s="383">
        <v>1.8609938680759199E-4</v>
      </c>
      <c r="R136" s="416"/>
      <c r="S136" s="416"/>
    </row>
    <row r="137" spans="1:19" x14ac:dyDescent="0.25">
      <c r="B137" s="427">
        <f>INDEX($F$2:$F$28,MATCH(C136,$E$2:$E$28,0))</f>
        <v>100000</v>
      </c>
      <c r="D137" s="116"/>
      <c r="E137" s="116" t="s">
        <v>534</v>
      </c>
      <c r="F137" s="125" t="s">
        <v>78</v>
      </c>
      <c r="G137" s="383">
        <v>517.89332034048698</v>
      </c>
      <c r="H137" s="383">
        <v>1.95806624642147</v>
      </c>
      <c r="I137" s="383">
        <v>-4.9611766893240601E-2</v>
      </c>
      <c r="J137" s="383">
        <v>1.64191368724392E-3</v>
      </c>
      <c r="K137" s="383">
        <v>-2.0449884481401999E-5</v>
      </c>
      <c r="R137" s="416"/>
      <c r="S137" s="416"/>
    </row>
    <row r="138" spans="1:19" x14ac:dyDescent="0.25">
      <c r="A138" s="377"/>
      <c r="B138" s="427">
        <f>INDEX($H$2:$H$28,MATCH(C136,$E$2:$E$28,0))</f>
        <v>150</v>
      </c>
      <c r="C138" s="377"/>
      <c r="E138" s="116" t="s">
        <v>535</v>
      </c>
      <c r="F138" s="125" t="s">
        <v>79</v>
      </c>
      <c r="G138" s="383">
        <v>1.4086784736815501</v>
      </c>
      <c r="H138" s="383">
        <v>5.7871707802533796E-3</v>
      </c>
      <c r="I138" s="383">
        <v>3.43880973764746E-4</v>
      </c>
      <c r="J138" s="383">
        <v>-1.89870308268434E-5</v>
      </c>
      <c r="K138" s="383">
        <v>2.7382412884786801E-7</v>
      </c>
      <c r="O138" s="416"/>
      <c r="P138" s="417"/>
      <c r="Q138" s="416"/>
      <c r="R138" s="416"/>
      <c r="S138" s="416"/>
    </row>
    <row r="139" spans="1:19" x14ac:dyDescent="0.25">
      <c r="A139" s="377"/>
      <c r="B139" s="427">
        <f>INDEX($I$2:$I$28,MATCH(C136,$E$2:$E$28,0))</f>
        <v>-40</v>
      </c>
      <c r="C139" s="377"/>
      <c r="E139" s="116" t="s">
        <v>536</v>
      </c>
      <c r="F139" s="125" t="s">
        <v>80</v>
      </c>
      <c r="G139" s="383">
        <v>1.21600063621562E-3</v>
      </c>
      <c r="H139" s="383">
        <v>-1.35849946461377E-4</v>
      </c>
      <c r="I139" s="383">
        <v>1.7876259983794099E-5</v>
      </c>
      <c r="J139" s="383">
        <v>-7.6677674242241102E-7</v>
      </c>
      <c r="K139" s="383">
        <v>1.02257545635034E-8</v>
      </c>
    </row>
    <row r="140" spans="1:19" x14ac:dyDescent="0.25">
      <c r="E140" s="116" t="s">
        <v>537</v>
      </c>
      <c r="F140" s="125" t="s">
        <v>81</v>
      </c>
      <c r="G140" s="383">
        <v>-1.27985294111301E-5</v>
      </c>
      <c r="H140" s="383">
        <v>3.2428222578558898E-6</v>
      </c>
      <c r="I140" s="383">
        <v>-3.5696593508955698E-7</v>
      </c>
      <c r="J140" s="383">
        <v>1.5096529258938099E-8</v>
      </c>
      <c r="K140" s="383">
        <v>-2.00389650449346E-10</v>
      </c>
      <c r="N140" s="418"/>
    </row>
    <row r="141" spans="1:19" x14ac:dyDescent="0.25">
      <c r="B141" s="366"/>
      <c r="E141" s="116"/>
      <c r="F141" s="373"/>
      <c r="G141" s="386"/>
      <c r="H141" s="386"/>
      <c r="I141" s="386"/>
      <c r="J141" s="386"/>
      <c r="K141" s="386"/>
      <c r="M141" s="124"/>
    </row>
    <row r="142" spans="1:19" x14ac:dyDescent="0.25">
      <c r="A142" s="314">
        <v>17</v>
      </c>
      <c r="B142" s="314">
        <f>INDEX($A$2:$A$28,MATCH(C142,$E$2:$E$28,0))</f>
        <v>17</v>
      </c>
      <c r="C142" s="116" t="s">
        <v>515</v>
      </c>
      <c r="D142" s="394"/>
      <c r="E142" s="116" t="s">
        <v>538</v>
      </c>
      <c r="F142" s="125" t="s">
        <v>77</v>
      </c>
      <c r="G142" s="383">
        <v>82945.5047944822</v>
      </c>
      <c r="H142" s="383">
        <v>124.508584879011</v>
      </c>
      <c r="I142" s="383">
        <v>2.6990705362410099E-2</v>
      </c>
      <c r="J142" s="383">
        <v>-1.7754074231045702E-2</v>
      </c>
      <c r="K142" s="383">
        <v>1.8609938680759199E-4</v>
      </c>
      <c r="M142" s="124"/>
    </row>
    <row r="143" spans="1:19" x14ac:dyDescent="0.25">
      <c r="B143" s="427">
        <f>INDEX($F$2:$F$28,MATCH(C142,$E$2:$E$28,0))</f>
        <v>100000</v>
      </c>
      <c r="E143" s="116" t="s">
        <v>539</v>
      </c>
      <c r="F143" s="125" t="s">
        <v>78</v>
      </c>
      <c r="G143" s="383">
        <v>517.89332034048698</v>
      </c>
      <c r="H143" s="383">
        <v>1.95806624642147</v>
      </c>
      <c r="I143" s="383">
        <v>-4.9611766893240601E-2</v>
      </c>
      <c r="J143" s="383">
        <v>1.64191368724392E-3</v>
      </c>
      <c r="K143" s="383">
        <v>-2.0449884481401999E-5</v>
      </c>
      <c r="M143" s="124"/>
      <c r="S143" s="416"/>
    </row>
    <row r="144" spans="1:19" x14ac:dyDescent="0.25">
      <c r="B144" s="427">
        <f>INDEX($H$2:$H$28,MATCH(C142,$E$2:$E$28,0))</f>
        <v>150</v>
      </c>
      <c r="E144" s="116" t="s">
        <v>540</v>
      </c>
      <c r="F144" s="125" t="s">
        <v>79</v>
      </c>
      <c r="G144" s="383">
        <v>1.4086784736815501</v>
      </c>
      <c r="H144" s="383">
        <v>5.7871707802533796E-3</v>
      </c>
      <c r="I144" s="383">
        <v>3.43880973764746E-4</v>
      </c>
      <c r="J144" s="383">
        <v>-1.89870308268434E-5</v>
      </c>
      <c r="K144" s="383">
        <v>2.7382412884786801E-7</v>
      </c>
      <c r="M144" s="124"/>
      <c r="R144" s="416"/>
      <c r="S144" s="416"/>
    </row>
    <row r="145" spans="1:19" x14ac:dyDescent="0.25">
      <c r="B145" s="427">
        <f>INDEX($I$2:$I$28,MATCH(C142,$E$2:$E$28,0))</f>
        <v>-40</v>
      </c>
      <c r="E145" s="116" t="s">
        <v>541</v>
      </c>
      <c r="F145" s="125" t="s">
        <v>80</v>
      </c>
      <c r="G145" s="383">
        <v>1.21600063621562E-3</v>
      </c>
      <c r="H145" s="383">
        <v>-1.35849946461377E-4</v>
      </c>
      <c r="I145" s="383">
        <v>1.7876259983794099E-5</v>
      </c>
      <c r="J145" s="383">
        <v>-7.6677674242241102E-7</v>
      </c>
      <c r="K145" s="383">
        <v>1.02257545635034E-8</v>
      </c>
      <c r="M145" s="124"/>
      <c r="Q145" s="416"/>
      <c r="R145" s="416"/>
      <c r="S145" s="416"/>
    </row>
    <row r="146" spans="1:19" x14ac:dyDescent="0.25">
      <c r="E146" s="116" t="s">
        <v>542</v>
      </c>
      <c r="F146" s="125" t="s">
        <v>81</v>
      </c>
      <c r="G146" s="383">
        <v>-1.27985294111301E-5</v>
      </c>
      <c r="H146" s="383">
        <v>3.2428222578558898E-6</v>
      </c>
      <c r="I146" s="383">
        <v>-3.5696593508955698E-7</v>
      </c>
      <c r="J146" s="383">
        <v>1.5096529258938099E-8</v>
      </c>
      <c r="K146" s="383">
        <v>-2.00389650449346E-10</v>
      </c>
      <c r="M146" s="124"/>
      <c r="O146" s="416"/>
      <c r="P146" s="417"/>
      <c r="Q146" s="416"/>
      <c r="R146" s="416"/>
      <c r="S146" s="416"/>
    </row>
    <row r="147" spans="1:19" x14ac:dyDescent="0.25">
      <c r="B147" s="366"/>
      <c r="E147" s="116"/>
      <c r="F147" s="126"/>
      <c r="G147" s="384"/>
      <c r="H147" s="384"/>
      <c r="I147" s="384"/>
      <c r="J147" s="384"/>
      <c r="K147" s="384"/>
      <c r="M147" s="124"/>
    </row>
    <row r="148" spans="1:19" x14ac:dyDescent="0.25">
      <c r="A148" s="314">
        <v>18</v>
      </c>
      <c r="B148" s="314">
        <f>INDEX($A$2:$A$28,MATCH(C148,$E$2:$E$28,0))</f>
        <v>18</v>
      </c>
      <c r="C148" s="116" t="s">
        <v>516</v>
      </c>
      <c r="D148" s="394"/>
      <c r="E148" s="116" t="s">
        <v>543</v>
      </c>
      <c r="F148" s="125" t="s">
        <v>77</v>
      </c>
      <c r="G148" s="383">
        <v>82945.5047944822</v>
      </c>
      <c r="H148" s="383">
        <v>124.508584879011</v>
      </c>
      <c r="I148" s="383">
        <v>2.6990705362410099E-2</v>
      </c>
      <c r="J148" s="383">
        <v>-1.7754074231045702E-2</v>
      </c>
      <c r="K148" s="383">
        <v>1.8609938680759199E-4</v>
      </c>
      <c r="M148" s="124"/>
    </row>
    <row r="149" spans="1:19" x14ac:dyDescent="0.25">
      <c r="B149" s="427">
        <f>INDEX($F$2:$F$28,MATCH(C148,$E$2:$E$28,0))</f>
        <v>100000</v>
      </c>
      <c r="E149" s="116" t="s">
        <v>544</v>
      </c>
      <c r="F149" s="125" t="s">
        <v>78</v>
      </c>
      <c r="G149" s="383">
        <v>517.89332034048698</v>
      </c>
      <c r="H149" s="383">
        <v>1.95806624642147</v>
      </c>
      <c r="I149" s="383">
        <v>-4.9611766893240601E-2</v>
      </c>
      <c r="J149" s="383">
        <v>1.64191368724392E-3</v>
      </c>
      <c r="K149" s="383">
        <v>-2.0449884481401999E-5</v>
      </c>
      <c r="M149" s="124"/>
    </row>
    <row r="150" spans="1:19" x14ac:dyDescent="0.25">
      <c r="B150" s="427">
        <f>INDEX($H$2:$H$28,MATCH(C148,$E$2:$E$28,0))</f>
        <v>150</v>
      </c>
      <c r="E150" s="116" t="s">
        <v>545</v>
      </c>
      <c r="F150" s="125" t="s">
        <v>79</v>
      </c>
      <c r="G150" s="383">
        <v>1.4086784736815501</v>
      </c>
      <c r="H150" s="383">
        <v>5.7871707802533796E-3</v>
      </c>
      <c r="I150" s="383">
        <v>3.43880973764746E-4</v>
      </c>
      <c r="J150" s="383">
        <v>-1.89870308268434E-5</v>
      </c>
      <c r="K150" s="383">
        <v>2.7382412884786801E-7</v>
      </c>
      <c r="M150" s="124"/>
    </row>
    <row r="151" spans="1:19" x14ac:dyDescent="0.25">
      <c r="B151" s="427">
        <f>INDEX($I$2:$I$28,MATCH(C148,$E$2:$E$28,0))</f>
        <v>-40</v>
      </c>
      <c r="E151" s="116" t="s">
        <v>546</v>
      </c>
      <c r="F151" s="125" t="s">
        <v>80</v>
      </c>
      <c r="G151" s="383">
        <v>1.21600063621562E-3</v>
      </c>
      <c r="H151" s="383">
        <v>-1.35849946461377E-4</v>
      </c>
      <c r="I151" s="383">
        <v>1.7876259983794099E-5</v>
      </c>
      <c r="J151" s="383">
        <v>-7.6677674242241102E-7</v>
      </c>
      <c r="K151" s="383">
        <v>1.02257545635034E-8</v>
      </c>
      <c r="M151" s="124"/>
    </row>
    <row r="152" spans="1:19" x14ac:dyDescent="0.25">
      <c r="E152" s="116" t="s">
        <v>547</v>
      </c>
      <c r="F152" s="125" t="s">
        <v>81</v>
      </c>
      <c r="G152" s="383">
        <v>-1.27985294111301E-5</v>
      </c>
      <c r="H152" s="383">
        <v>3.2428222578558898E-6</v>
      </c>
      <c r="I152" s="383">
        <v>-3.5696593508955698E-7</v>
      </c>
      <c r="J152" s="383">
        <v>1.5096529258938099E-8</v>
      </c>
      <c r="K152" s="383">
        <v>-2.00389650449346E-10</v>
      </c>
      <c r="M152" s="124"/>
    </row>
    <row r="153" spans="1:19" x14ac:dyDescent="0.25">
      <c r="B153" s="366"/>
      <c r="E153" s="116"/>
      <c r="F153" s="126"/>
      <c r="G153" s="384"/>
      <c r="H153" s="384"/>
      <c r="I153" s="384"/>
      <c r="J153" s="384"/>
      <c r="K153" s="384"/>
      <c r="M153" s="124"/>
    </row>
    <row r="154" spans="1:19" x14ac:dyDescent="0.25">
      <c r="A154" s="314">
        <v>19</v>
      </c>
      <c r="B154" s="314">
        <f>INDEX($A$2:$A$28,MATCH(C154,$E$2:$E$28,0))</f>
        <v>19</v>
      </c>
      <c r="C154" s="116" t="s">
        <v>517</v>
      </c>
      <c r="D154" s="394"/>
      <c r="E154" s="116" t="s">
        <v>548</v>
      </c>
      <c r="F154" s="125" t="s">
        <v>77</v>
      </c>
      <c r="G154" s="383">
        <v>82945.5047944822</v>
      </c>
      <c r="H154" s="383">
        <v>124.508584879011</v>
      </c>
      <c r="I154" s="383">
        <v>2.6990705362410099E-2</v>
      </c>
      <c r="J154" s="383">
        <v>-1.7754074231045702E-2</v>
      </c>
      <c r="K154" s="383">
        <v>1.8609938680759199E-4</v>
      </c>
      <c r="M154" s="124"/>
    </row>
    <row r="155" spans="1:19" x14ac:dyDescent="0.25">
      <c r="B155" s="427">
        <f>INDEX($F$2:$F$28,MATCH(C154,$E$2:$E$28,0))</f>
        <v>100000</v>
      </c>
      <c r="E155" s="116" t="s">
        <v>549</v>
      </c>
      <c r="F155" s="125" t="s">
        <v>78</v>
      </c>
      <c r="G155" s="383">
        <v>517.89332034048698</v>
      </c>
      <c r="H155" s="383">
        <v>1.95806624642147</v>
      </c>
      <c r="I155" s="383">
        <v>-4.9611766893240601E-2</v>
      </c>
      <c r="J155" s="383">
        <v>1.64191368724392E-3</v>
      </c>
      <c r="K155" s="383">
        <v>-2.0449884481401999E-5</v>
      </c>
      <c r="M155" s="124"/>
    </row>
    <row r="156" spans="1:19" x14ac:dyDescent="0.25">
      <c r="B156" s="427">
        <f>INDEX($H$2:$H$28,MATCH(C154,$E$2:$E$28,0))</f>
        <v>150</v>
      </c>
      <c r="E156" s="116" t="s">
        <v>550</v>
      </c>
      <c r="F156" s="125" t="s">
        <v>79</v>
      </c>
      <c r="G156" s="383">
        <v>1.4086784736815501</v>
      </c>
      <c r="H156" s="383">
        <v>5.7871707802533796E-3</v>
      </c>
      <c r="I156" s="383">
        <v>3.43880973764746E-4</v>
      </c>
      <c r="J156" s="383">
        <v>-1.89870308268434E-5</v>
      </c>
      <c r="K156" s="383">
        <v>2.7382412884786801E-7</v>
      </c>
      <c r="M156" s="124"/>
    </row>
    <row r="157" spans="1:19" x14ac:dyDescent="0.25">
      <c r="B157" s="427">
        <f>INDEX($I$2:$I$28,MATCH(C154,$E$2:$E$28,0))</f>
        <v>-40</v>
      </c>
      <c r="E157" s="116" t="s">
        <v>551</v>
      </c>
      <c r="F157" s="125" t="s">
        <v>80</v>
      </c>
      <c r="G157" s="383">
        <v>1.21600063621562E-3</v>
      </c>
      <c r="H157" s="383">
        <v>-1.35849946461377E-4</v>
      </c>
      <c r="I157" s="383">
        <v>1.7876259983794099E-5</v>
      </c>
      <c r="J157" s="383">
        <v>-7.6677674242241102E-7</v>
      </c>
      <c r="K157" s="383">
        <v>1.02257545635034E-8</v>
      </c>
      <c r="M157" s="124"/>
      <c r="N157"/>
    </row>
    <row r="158" spans="1:19" x14ac:dyDescent="0.25">
      <c r="E158" s="116" t="s">
        <v>552</v>
      </c>
      <c r="F158" s="125" t="s">
        <v>81</v>
      </c>
      <c r="G158" s="383">
        <v>-1.27985294111301E-5</v>
      </c>
      <c r="H158" s="383">
        <v>3.2428222578558898E-6</v>
      </c>
      <c r="I158" s="383">
        <v>-3.5696593508955698E-7</v>
      </c>
      <c r="J158" s="383">
        <v>1.5096529258938099E-8</v>
      </c>
      <c r="K158" s="383">
        <v>-2.00389650449346E-10</v>
      </c>
      <c r="M158" s="124"/>
      <c r="N158"/>
      <c r="O158" s="314"/>
      <c r="P158"/>
    </row>
    <row r="159" spans="1:19" x14ac:dyDescent="0.25">
      <c r="B159" s="366"/>
      <c r="E159" s="122"/>
      <c r="F159" s="126"/>
      <c r="G159" s="384"/>
      <c r="H159" s="384"/>
      <c r="I159" s="384"/>
      <c r="J159" s="384"/>
      <c r="K159" s="384"/>
    </row>
    <row r="160" spans="1:19" x14ac:dyDescent="0.25">
      <c r="A160" s="314">
        <v>20</v>
      </c>
      <c r="B160" s="314">
        <f>INDEX($A$2:$A$28,MATCH(C160,$E$2:$E$28,0))</f>
        <v>20</v>
      </c>
      <c r="C160" s="116" t="s">
        <v>351</v>
      </c>
      <c r="D160" s="394"/>
      <c r="E160" s="116" t="s">
        <v>353</v>
      </c>
      <c r="F160" s="125" t="s">
        <v>77</v>
      </c>
      <c r="G160" s="383">
        <v>39072.406779999998</v>
      </c>
      <c r="H160" s="383">
        <v>18.6832612</v>
      </c>
      <c r="I160" s="383">
        <v>0.27878290300000003</v>
      </c>
      <c r="J160" s="383">
        <v>-5.9418159999999999E-3</v>
      </c>
      <c r="K160" s="383">
        <v>3.3444200000000001E-5</v>
      </c>
    </row>
    <row r="161" spans="1:19" x14ac:dyDescent="0.25">
      <c r="B161" s="427">
        <f>INDEX($F$2:$F$28,MATCH(C160,$E$2:$E$28,0))</f>
        <v>47000</v>
      </c>
      <c r="E161" s="116" t="s">
        <v>354</v>
      </c>
      <c r="F161" s="125" t="s">
        <v>78</v>
      </c>
      <c r="G161" s="383">
        <v>246.68667579999999</v>
      </c>
      <c r="H161" s="383">
        <v>0.58883543199999999</v>
      </c>
      <c r="I161" s="383">
        <v>-1.4899488000000001E-2</v>
      </c>
      <c r="J161" s="383">
        <v>2.70368E-4</v>
      </c>
      <c r="K161" s="383">
        <v>-1.5283499999999999E-6</v>
      </c>
    </row>
    <row r="162" spans="1:19" x14ac:dyDescent="0.25">
      <c r="B162" s="427">
        <f>INDEX($H$2:$H$28,MATCH(C160,$E$2:$E$28,0))</f>
        <v>125</v>
      </c>
      <c r="E162" s="116" t="s">
        <v>355</v>
      </c>
      <c r="F162" s="125" t="s">
        <v>79</v>
      </c>
      <c r="G162" s="383">
        <v>0.66095731999999996</v>
      </c>
      <c r="H162" s="383">
        <v>3.3119339999999999E-3</v>
      </c>
      <c r="I162" s="383">
        <v>-7.6398399999999997E-5</v>
      </c>
      <c r="J162" s="383">
        <v>1.25111E-6</v>
      </c>
      <c r="K162" s="383">
        <v>-6.6955800000000002E-9</v>
      </c>
    </row>
    <row r="163" spans="1:19" x14ac:dyDescent="0.25">
      <c r="B163" s="427">
        <f>INDEX($I$2:$I$28,MATCH(C160,$E$2:$E$28,0))</f>
        <v>-40</v>
      </c>
      <c r="E163" s="116" t="s">
        <v>356</v>
      </c>
      <c r="F163" s="125" t="s">
        <v>80</v>
      </c>
      <c r="G163" s="383">
        <v>9.5176500000000003E-4</v>
      </c>
      <c r="H163" s="383">
        <v>-1.5446399999999999E-4</v>
      </c>
      <c r="I163" s="383">
        <v>8.0519899999999995E-6</v>
      </c>
      <c r="J163" s="383">
        <v>-1.55681E-7</v>
      </c>
      <c r="K163" s="383">
        <v>8.9229000000000003E-10</v>
      </c>
    </row>
    <row r="164" spans="1:19" x14ac:dyDescent="0.25">
      <c r="E164" s="116" t="s">
        <v>357</v>
      </c>
      <c r="F164" s="125" t="s">
        <v>81</v>
      </c>
      <c r="G164" s="383">
        <v>-4.4766999999999998E-6</v>
      </c>
      <c r="H164" s="383">
        <v>1.23681E-6</v>
      </c>
      <c r="I164" s="383">
        <v>-6.2153399999999996E-8</v>
      </c>
      <c r="J164" s="383">
        <v>1.1980899999999999E-9</v>
      </c>
      <c r="K164" s="383">
        <v>-6.8604999999999997E-12</v>
      </c>
    </row>
    <row r="165" spans="1:19" s="124" customFormat="1" x14ac:dyDescent="0.25">
      <c r="A165" s="366"/>
      <c r="B165" s="366"/>
      <c r="C165" s="366"/>
      <c r="E165" s="122"/>
      <c r="F165" s="126"/>
      <c r="G165" s="384"/>
      <c r="H165" s="384"/>
      <c r="I165" s="384"/>
      <c r="J165" s="384"/>
      <c r="K165" s="384"/>
      <c r="S165"/>
    </row>
    <row r="166" spans="1:19" x14ac:dyDescent="0.25">
      <c r="A166" s="314">
        <v>21</v>
      </c>
      <c r="B166" s="314">
        <f>INDEX($A$2:$A$28,MATCH(C166,$E$2:$E$28,0))</f>
        <v>21</v>
      </c>
      <c r="C166" s="116" t="s">
        <v>352</v>
      </c>
      <c r="D166" s="394"/>
      <c r="E166" s="116" t="s">
        <v>358</v>
      </c>
      <c r="F166" s="125" t="s">
        <v>77</v>
      </c>
      <c r="G166" s="383">
        <v>39072.406779999998</v>
      </c>
      <c r="H166" s="383">
        <v>18.6832612</v>
      </c>
      <c r="I166" s="383">
        <v>0.27878290300000003</v>
      </c>
      <c r="J166" s="383">
        <v>-5.9418159999999999E-3</v>
      </c>
      <c r="K166" s="383">
        <v>3.3444200000000001E-5</v>
      </c>
    </row>
    <row r="167" spans="1:19" x14ac:dyDescent="0.25">
      <c r="B167" s="427">
        <f>INDEX($F$2:$F$28,MATCH(C166,$E$2:$E$28,0))</f>
        <v>47000</v>
      </c>
      <c r="D167" s="116"/>
      <c r="E167" s="116" t="s">
        <v>359</v>
      </c>
      <c r="F167" s="125" t="s">
        <v>78</v>
      </c>
      <c r="G167" s="383">
        <v>246.68667579999999</v>
      </c>
      <c r="H167" s="383">
        <v>0.58883543199999999</v>
      </c>
      <c r="I167" s="383">
        <v>-1.4899488000000001E-2</v>
      </c>
      <c r="J167" s="383">
        <v>2.70368E-4</v>
      </c>
      <c r="K167" s="383">
        <v>-1.5283499999999999E-6</v>
      </c>
    </row>
    <row r="168" spans="1:19" x14ac:dyDescent="0.25">
      <c r="A168" s="377"/>
      <c r="B168" s="427">
        <f>INDEX($H$2:$H$28,MATCH(C166,$E$2:$E$28,0))</f>
        <v>125</v>
      </c>
      <c r="C168" s="377"/>
      <c r="E168" s="116" t="s">
        <v>360</v>
      </c>
      <c r="F168" s="125" t="s">
        <v>79</v>
      </c>
      <c r="G168" s="383">
        <v>0.66095731999999996</v>
      </c>
      <c r="H168" s="383">
        <v>3.3119339999999999E-3</v>
      </c>
      <c r="I168" s="383">
        <v>-7.6398399999999997E-5</v>
      </c>
      <c r="J168" s="383">
        <v>1.25111E-6</v>
      </c>
      <c r="K168" s="383">
        <v>-6.6955800000000002E-9</v>
      </c>
    </row>
    <row r="169" spans="1:19" x14ac:dyDescent="0.25">
      <c r="A169" s="377"/>
      <c r="B169" s="427">
        <f>INDEX($I$2:$I$28,MATCH(C166,$E$2:$E$28,0))</f>
        <v>-40</v>
      </c>
      <c r="C169" s="377"/>
      <c r="E169" s="116" t="s">
        <v>361</v>
      </c>
      <c r="F169" s="125" t="s">
        <v>80</v>
      </c>
      <c r="G169" s="383">
        <v>9.5176500000000003E-4</v>
      </c>
      <c r="H169" s="383">
        <v>-1.5446399999999999E-4</v>
      </c>
      <c r="I169" s="383">
        <v>8.0519899999999995E-6</v>
      </c>
      <c r="J169" s="383">
        <v>-1.55681E-7</v>
      </c>
      <c r="K169" s="383">
        <v>8.9229000000000003E-10</v>
      </c>
    </row>
    <row r="170" spans="1:19" x14ac:dyDescent="0.25">
      <c r="E170" s="116" t="s">
        <v>362</v>
      </c>
      <c r="F170" s="125" t="s">
        <v>81</v>
      </c>
      <c r="G170" s="383">
        <v>-4.4766999999999998E-6</v>
      </c>
      <c r="H170" s="383">
        <v>1.23681E-6</v>
      </c>
      <c r="I170" s="383">
        <v>-6.2153399999999996E-8</v>
      </c>
      <c r="J170" s="383">
        <v>1.1980899999999999E-9</v>
      </c>
      <c r="K170" s="383">
        <v>-6.8604999999999997E-12</v>
      </c>
    </row>
    <row r="171" spans="1:19" s="124" customFormat="1" x14ac:dyDescent="0.25">
      <c r="A171" s="366"/>
      <c r="B171" s="366"/>
      <c r="C171" s="366"/>
      <c r="E171" s="122"/>
      <c r="F171" s="379"/>
      <c r="G171" s="385"/>
      <c r="H171" s="385"/>
      <c r="I171" s="385"/>
      <c r="J171" s="385"/>
      <c r="K171" s="385"/>
      <c r="S171"/>
    </row>
    <row r="172" spans="1:19" ht="14.4" x14ac:dyDescent="0.3">
      <c r="A172" s="314">
        <v>22</v>
      </c>
      <c r="B172" s="314">
        <f>INDEX($A$2:$A$28,MATCH(C172,$E$2:$E$28,0))</f>
        <v>22</v>
      </c>
      <c r="C172" s="116" t="s">
        <v>518</v>
      </c>
      <c r="D172" s="394"/>
      <c r="E172" s="116" t="s">
        <v>553</v>
      </c>
      <c r="F172" s="125" t="s">
        <v>77</v>
      </c>
      <c r="G172" s="383">
        <v>39168.574985617102</v>
      </c>
      <c r="H172" s="383">
        <v>18.684582842233599</v>
      </c>
      <c r="I172" s="383">
        <v>0.24173203617390299</v>
      </c>
      <c r="J172" s="383">
        <v>-4.8853846471426697E-3</v>
      </c>
      <c r="K172" s="383">
        <v>2.65815730132797E-5</v>
      </c>
      <c r="M172" s="392"/>
      <c r="N172" s="392"/>
      <c r="O172" s="392"/>
      <c r="P172" s="392"/>
      <c r="Q172" s="393"/>
    </row>
    <row r="173" spans="1:19" ht="14.4" x14ac:dyDescent="0.3">
      <c r="B173" s="427">
        <f>INDEX($F$2:$F$28,MATCH(C172,$E$2:$E$28,0))</f>
        <v>47000</v>
      </c>
      <c r="E173" s="116" t="s">
        <v>554</v>
      </c>
      <c r="F173" s="125" t="s">
        <v>78</v>
      </c>
      <c r="G173" s="383">
        <v>243.56600424651899</v>
      </c>
      <c r="H173" s="383">
        <v>0.61246544691819305</v>
      </c>
      <c r="I173" s="383">
        <v>-1.6271884868654201E-2</v>
      </c>
      <c r="J173" s="383">
        <v>2.9497710469131999E-4</v>
      </c>
      <c r="K173" s="383">
        <v>-1.6635826320493701E-6</v>
      </c>
      <c r="M173" s="392"/>
      <c r="N173" s="392"/>
      <c r="O173" s="392"/>
      <c r="P173" s="392"/>
      <c r="Q173" s="393"/>
    </row>
    <row r="174" spans="1:19" ht="14.4" x14ac:dyDescent="0.3">
      <c r="B174" s="427">
        <f>INDEX($H$2:$H$28,MATCH(C172,$E$2:$E$28,0))</f>
        <v>150</v>
      </c>
      <c r="E174" s="116" t="s">
        <v>555</v>
      </c>
      <c r="F174" s="125" t="s">
        <v>79</v>
      </c>
      <c r="G174" s="383">
        <v>0.64114181731042896</v>
      </c>
      <c r="H174" s="383">
        <v>3.0164923461275298E-3</v>
      </c>
      <c r="I174" s="383">
        <v>-6.3519963468189805E-5</v>
      </c>
      <c r="J174" s="383">
        <v>1.01919890559555E-6</v>
      </c>
      <c r="K174" s="383">
        <v>-5.4048435953805197E-9</v>
      </c>
      <c r="M174" s="392"/>
      <c r="N174" s="392"/>
      <c r="O174" s="393"/>
      <c r="P174" s="393"/>
      <c r="Q174" s="393"/>
    </row>
    <row r="175" spans="1:19" ht="14.4" x14ac:dyDescent="0.3">
      <c r="B175" s="427">
        <f>INDEX($I$2:$I$28,MATCH(C172,$E$2:$E$28,0))</f>
        <v>-40</v>
      </c>
      <c r="E175" s="116" t="s">
        <v>556</v>
      </c>
      <c r="F175" s="125" t="s">
        <v>80</v>
      </c>
      <c r="G175" s="383">
        <v>1.3475458839712401E-3</v>
      </c>
      <c r="H175" s="383">
        <v>-1.69564705674006E-4</v>
      </c>
      <c r="I175" s="383">
        <v>8.9466355504256997E-6</v>
      </c>
      <c r="J175" s="383">
        <v>-1.73217522510246E-7</v>
      </c>
      <c r="K175" s="383">
        <v>9.9427151188728497E-10</v>
      </c>
      <c r="M175" s="392"/>
      <c r="N175" s="392"/>
      <c r="O175" s="393"/>
      <c r="P175" s="393"/>
      <c r="Q175" s="393"/>
    </row>
    <row r="176" spans="1:19" ht="14.4" x14ac:dyDescent="0.3">
      <c r="E176" s="116" t="s">
        <v>557</v>
      </c>
      <c r="F176" s="125" t="s">
        <v>81</v>
      </c>
      <c r="G176" s="383">
        <v>-7.2096260590240796E-6</v>
      </c>
      <c r="H176" s="383">
        <v>1.3771760925430199E-6</v>
      </c>
      <c r="I176" s="383">
        <v>-7.0349752707070406E-8</v>
      </c>
      <c r="J176" s="383">
        <v>1.35804343258657E-9</v>
      </c>
      <c r="K176" s="383">
        <v>-7.78727902361835E-12</v>
      </c>
      <c r="M176" s="393"/>
      <c r="N176" s="393"/>
      <c r="O176" s="393"/>
      <c r="P176" s="393"/>
      <c r="Q176" s="393"/>
    </row>
    <row r="177" spans="1:16" s="124" customFormat="1" x14ac:dyDescent="0.25">
      <c r="A177" s="366"/>
      <c r="B177" s="366"/>
      <c r="C177" s="366"/>
      <c r="E177" s="122"/>
      <c r="F177" s="126"/>
      <c r="G177" s="384"/>
      <c r="H177" s="384"/>
      <c r="I177" s="384"/>
      <c r="J177" s="384"/>
      <c r="K177" s="384"/>
      <c r="N177" s="365"/>
      <c r="P177" s="366"/>
    </row>
    <row r="178" spans="1:16" x14ac:dyDescent="0.25">
      <c r="A178" s="314">
        <v>23</v>
      </c>
      <c r="B178" s="314">
        <f>INDEX($A$2:$A$28,MATCH(C178,$E$2:$E$28,0))</f>
        <v>23</v>
      </c>
      <c r="C178" s="116" t="s">
        <v>519</v>
      </c>
      <c r="D178" s="394"/>
      <c r="E178" s="116" t="s">
        <v>558</v>
      </c>
      <c r="F178" s="125" t="s">
        <v>77</v>
      </c>
      <c r="G178" s="383">
        <v>39168.574985617102</v>
      </c>
      <c r="H178" s="383">
        <v>18.684582842233599</v>
      </c>
      <c r="I178" s="383">
        <v>0.24173203617390299</v>
      </c>
      <c r="J178" s="383">
        <v>-4.8853846471426697E-3</v>
      </c>
      <c r="K178" s="383">
        <v>2.65815730132797E-5</v>
      </c>
    </row>
    <row r="179" spans="1:16" x14ac:dyDescent="0.25">
      <c r="B179" s="427">
        <f>INDEX($F$2:$F$28,MATCH(C178,$E$2:$E$28,0))</f>
        <v>47000</v>
      </c>
      <c r="D179" s="116"/>
      <c r="E179" s="116" t="s">
        <v>559</v>
      </c>
      <c r="F179" s="125" t="s">
        <v>78</v>
      </c>
      <c r="G179" s="383">
        <v>243.56600424651899</v>
      </c>
      <c r="H179" s="383">
        <v>0.61246544691819305</v>
      </c>
      <c r="I179" s="383">
        <v>-1.6271884868654201E-2</v>
      </c>
      <c r="J179" s="383">
        <v>2.9497710469131999E-4</v>
      </c>
      <c r="K179" s="383">
        <v>-1.6635826320493701E-6</v>
      </c>
    </row>
    <row r="180" spans="1:16" x14ac:dyDescent="0.25">
      <c r="A180" s="377"/>
      <c r="B180" s="427">
        <f>INDEX($H$2:$H$28,MATCH(C178,$E$2:$E$28,0))</f>
        <v>150</v>
      </c>
      <c r="C180" s="377"/>
      <c r="E180" s="116" t="s">
        <v>560</v>
      </c>
      <c r="F180" s="125" t="s">
        <v>79</v>
      </c>
      <c r="G180" s="383">
        <v>0.64114181731042896</v>
      </c>
      <c r="H180" s="383">
        <v>3.0164923461275298E-3</v>
      </c>
      <c r="I180" s="383">
        <v>-6.3519963468189805E-5</v>
      </c>
      <c r="J180" s="383">
        <v>1.01919890559555E-6</v>
      </c>
      <c r="K180" s="383">
        <v>-5.4048435953805197E-9</v>
      </c>
    </row>
    <row r="181" spans="1:16" x14ac:dyDescent="0.25">
      <c r="A181" s="377"/>
      <c r="B181" s="427">
        <f>INDEX($I$2:$I$28,MATCH(C178,$E$2:$E$28,0))</f>
        <v>-40</v>
      </c>
      <c r="C181" s="377"/>
      <c r="E181" s="116" t="s">
        <v>561</v>
      </c>
      <c r="F181" s="125" t="s">
        <v>80</v>
      </c>
      <c r="G181" s="383">
        <v>1.3475458839712401E-3</v>
      </c>
      <c r="H181" s="383">
        <v>-1.69564705674006E-4</v>
      </c>
      <c r="I181" s="383">
        <v>8.9466355504256997E-6</v>
      </c>
      <c r="J181" s="383">
        <v>-1.73217522510246E-7</v>
      </c>
      <c r="K181" s="383">
        <v>9.9427151188728497E-10</v>
      </c>
      <c r="N181" s="366"/>
    </row>
    <row r="182" spans="1:16" x14ac:dyDescent="0.25">
      <c r="E182" s="116" t="s">
        <v>562</v>
      </c>
      <c r="F182" s="125" t="s">
        <v>81</v>
      </c>
      <c r="G182" s="383">
        <v>-7.2096260590240796E-6</v>
      </c>
      <c r="H182" s="383">
        <v>1.3771760925430199E-6</v>
      </c>
      <c r="I182" s="383">
        <v>-7.0349752707070406E-8</v>
      </c>
      <c r="J182" s="383">
        <v>1.35804343258657E-9</v>
      </c>
      <c r="K182" s="383">
        <v>-7.78727902361835E-12</v>
      </c>
    </row>
    <row r="183" spans="1:16" s="124" customFormat="1" x14ac:dyDescent="0.25">
      <c r="A183" s="366"/>
      <c r="B183" s="366"/>
      <c r="C183" s="366"/>
      <c r="E183" s="122"/>
      <c r="F183" s="379"/>
      <c r="G183" s="385"/>
      <c r="H183" s="385"/>
      <c r="I183" s="385"/>
      <c r="J183" s="385"/>
      <c r="K183" s="385"/>
      <c r="N183" s="365"/>
      <c r="P183" s="366"/>
    </row>
    <row r="184" spans="1:16" x14ac:dyDescent="0.25">
      <c r="A184" s="314">
        <v>24</v>
      </c>
      <c r="B184" s="314">
        <f>INDEX($A$2:$A$28,MATCH(C184,$E$2:$E$28,0))</f>
        <v>24</v>
      </c>
      <c r="C184" s="116" t="s">
        <v>520</v>
      </c>
      <c r="D184" s="394"/>
      <c r="E184" s="116" t="s">
        <v>563</v>
      </c>
      <c r="F184" s="125" t="s">
        <v>77</v>
      </c>
      <c r="G184" s="383">
        <v>39168.574985617102</v>
      </c>
      <c r="H184" s="383">
        <v>18.684582842233599</v>
      </c>
      <c r="I184" s="383">
        <v>0.24173203617390299</v>
      </c>
      <c r="J184" s="383">
        <v>-4.8853846471426697E-3</v>
      </c>
      <c r="K184" s="383">
        <v>2.65815730132797E-5</v>
      </c>
      <c r="M184" s="124"/>
      <c r="N184" s="365"/>
    </row>
    <row r="185" spans="1:16" x14ac:dyDescent="0.25">
      <c r="B185" s="427">
        <f>INDEX($F$2:$F$28,MATCH(C184,$E$2:$E$28,0))</f>
        <v>47000</v>
      </c>
      <c r="E185" s="116" t="s">
        <v>564</v>
      </c>
      <c r="F185" s="125" t="s">
        <v>78</v>
      </c>
      <c r="G185" s="383">
        <v>243.56600424651899</v>
      </c>
      <c r="H185" s="383">
        <v>0.61246544691819305</v>
      </c>
      <c r="I185" s="383">
        <v>-1.6271884868654201E-2</v>
      </c>
      <c r="J185" s="383">
        <v>2.9497710469131999E-4</v>
      </c>
      <c r="K185" s="383">
        <v>-1.6635826320493701E-6</v>
      </c>
      <c r="M185" s="124"/>
      <c r="N185" s="365"/>
    </row>
    <row r="186" spans="1:16" x14ac:dyDescent="0.25">
      <c r="B186" s="427">
        <f>INDEX($H$2:$H$28,MATCH(C184,$E$2:$E$28,0))</f>
        <v>150</v>
      </c>
      <c r="E186" s="116" t="s">
        <v>565</v>
      </c>
      <c r="F186" s="125" t="s">
        <v>79</v>
      </c>
      <c r="G186" s="383">
        <v>0.64114181731042896</v>
      </c>
      <c r="H186" s="383">
        <v>3.0164923461275298E-3</v>
      </c>
      <c r="I186" s="383">
        <v>-6.3519963468189805E-5</v>
      </c>
      <c r="J186" s="383">
        <v>1.01919890559555E-6</v>
      </c>
      <c r="K186" s="383">
        <v>-5.4048435953805197E-9</v>
      </c>
      <c r="M186" s="124"/>
      <c r="N186" s="365"/>
    </row>
    <row r="187" spans="1:16" x14ac:dyDescent="0.25">
      <c r="B187" s="427">
        <f>INDEX($I$2:$I$28,MATCH(C184,$E$2:$E$28,0))</f>
        <v>-40</v>
      </c>
      <c r="E187" s="116" t="s">
        <v>566</v>
      </c>
      <c r="F187" s="125" t="s">
        <v>80</v>
      </c>
      <c r="G187" s="383">
        <v>1.3475458839712401E-3</v>
      </c>
      <c r="H187" s="383">
        <v>-1.69564705674006E-4</v>
      </c>
      <c r="I187" s="383">
        <v>8.9466355504256997E-6</v>
      </c>
      <c r="J187" s="383">
        <v>-1.73217522510246E-7</v>
      </c>
      <c r="K187" s="383">
        <v>9.9427151188728497E-10</v>
      </c>
      <c r="M187" s="124"/>
      <c r="N187" s="365"/>
    </row>
    <row r="188" spans="1:16" x14ac:dyDescent="0.25">
      <c r="E188" s="116" t="s">
        <v>567</v>
      </c>
      <c r="F188" s="125" t="s">
        <v>81</v>
      </c>
      <c r="G188" s="383">
        <v>-7.2096260590240796E-6</v>
      </c>
      <c r="H188" s="383">
        <v>1.3771760925430199E-6</v>
      </c>
      <c r="I188" s="383">
        <v>-7.0349752707070406E-8</v>
      </c>
      <c r="J188" s="383">
        <v>1.35804343258657E-9</v>
      </c>
      <c r="K188" s="383">
        <v>-7.78727902361835E-12</v>
      </c>
      <c r="M188" s="124"/>
      <c r="N188" s="365"/>
    </row>
    <row r="189" spans="1:16" s="124" customFormat="1" x14ac:dyDescent="0.25">
      <c r="A189" s="366"/>
      <c r="B189" s="366"/>
      <c r="C189" s="366"/>
      <c r="E189" s="122"/>
      <c r="F189" s="126"/>
      <c r="G189" s="384"/>
      <c r="H189" s="384"/>
      <c r="I189" s="384"/>
      <c r="J189" s="384"/>
      <c r="K189" s="384"/>
      <c r="N189" s="365"/>
      <c r="P189" s="366"/>
    </row>
    <row r="190" spans="1:16" x14ac:dyDescent="0.25">
      <c r="A190" s="314">
        <v>25</v>
      </c>
      <c r="B190" s="314">
        <f>INDEX($A$2:$A$28,MATCH(C190,$E$2:$E$28,0))</f>
        <v>25</v>
      </c>
      <c r="C190" s="116" t="s">
        <v>521</v>
      </c>
      <c r="D190" s="394"/>
      <c r="E190" s="116" t="s">
        <v>568</v>
      </c>
      <c r="F190" s="125" t="s">
        <v>77</v>
      </c>
      <c r="G190" s="383">
        <v>39168.574985617102</v>
      </c>
      <c r="H190" s="383">
        <v>18.684582842233599</v>
      </c>
      <c r="I190" s="383">
        <v>0.24173203617390299</v>
      </c>
      <c r="J190" s="383">
        <v>-4.8853846471426697E-3</v>
      </c>
      <c r="K190" s="383">
        <v>2.65815730132797E-5</v>
      </c>
      <c r="M190" s="124"/>
      <c r="N190" s="365"/>
    </row>
    <row r="191" spans="1:16" x14ac:dyDescent="0.25">
      <c r="B191" s="427">
        <f>INDEX($F$2:$F$28,MATCH(C190,$E$2:$E$28,0))</f>
        <v>47000</v>
      </c>
      <c r="E191" s="116" t="s">
        <v>569</v>
      </c>
      <c r="F191" s="125" t="s">
        <v>78</v>
      </c>
      <c r="G191" s="383">
        <v>243.56600424651899</v>
      </c>
      <c r="H191" s="383">
        <v>0.61246544691819305</v>
      </c>
      <c r="I191" s="383">
        <v>-1.6271884868654201E-2</v>
      </c>
      <c r="J191" s="383">
        <v>2.9497710469131999E-4</v>
      </c>
      <c r="K191" s="383">
        <v>-1.6635826320493701E-6</v>
      </c>
      <c r="M191" s="124"/>
      <c r="N191" s="365"/>
    </row>
    <row r="192" spans="1:16" x14ac:dyDescent="0.25">
      <c r="B192" s="427">
        <f>INDEX($H$2:$H$28,MATCH(C190,$E$2:$E$28,0))</f>
        <v>150</v>
      </c>
      <c r="E192" s="116" t="s">
        <v>570</v>
      </c>
      <c r="F192" s="125" t="s">
        <v>79</v>
      </c>
      <c r="G192" s="383">
        <v>0.64114181731042896</v>
      </c>
      <c r="H192" s="383">
        <v>3.0164923461275298E-3</v>
      </c>
      <c r="I192" s="383">
        <v>-6.3519963468189805E-5</v>
      </c>
      <c r="J192" s="383">
        <v>1.01919890559555E-6</v>
      </c>
      <c r="K192" s="383">
        <v>-5.4048435953805197E-9</v>
      </c>
      <c r="M192" s="124"/>
      <c r="N192" s="365"/>
    </row>
    <row r="193" spans="1:17" x14ac:dyDescent="0.25">
      <c r="B193" s="427">
        <f>INDEX($I$2:$I$28,MATCH(C190,$E$2:$E$28,0))</f>
        <v>-40</v>
      </c>
      <c r="E193" s="116" t="s">
        <v>571</v>
      </c>
      <c r="F193" s="125" t="s">
        <v>80</v>
      </c>
      <c r="G193" s="383">
        <v>1.3475458839712401E-3</v>
      </c>
      <c r="H193" s="383">
        <v>-1.69564705674006E-4</v>
      </c>
      <c r="I193" s="383">
        <v>8.9466355504256997E-6</v>
      </c>
      <c r="J193" s="383">
        <v>-1.73217522510246E-7</v>
      </c>
      <c r="K193" s="383">
        <v>9.9427151188728497E-10</v>
      </c>
      <c r="M193" s="124"/>
      <c r="N193" s="365"/>
    </row>
    <row r="194" spans="1:17" x14ac:dyDescent="0.25">
      <c r="E194" s="116" t="s">
        <v>572</v>
      </c>
      <c r="F194" s="125" t="s">
        <v>81</v>
      </c>
      <c r="G194" s="383">
        <v>-7.2096260590240796E-6</v>
      </c>
      <c r="H194" s="383">
        <v>1.3771760925430199E-6</v>
      </c>
      <c r="I194" s="383">
        <v>-7.0349752707070406E-8</v>
      </c>
      <c r="J194" s="383">
        <v>1.35804343258657E-9</v>
      </c>
      <c r="K194" s="383">
        <v>-7.78727902361835E-12</v>
      </c>
      <c r="M194" s="124"/>
      <c r="N194" s="365"/>
    </row>
    <row r="195" spans="1:17" s="124" customFormat="1" x14ac:dyDescent="0.25">
      <c r="A195" s="366"/>
      <c r="B195" s="366"/>
      <c r="C195" s="366"/>
      <c r="E195" s="122"/>
      <c r="F195" s="126"/>
      <c r="G195" s="384"/>
      <c r="H195" s="384"/>
      <c r="I195" s="384"/>
      <c r="J195" s="384"/>
      <c r="K195" s="384"/>
      <c r="N195" s="365"/>
      <c r="P195" s="366"/>
    </row>
    <row r="196" spans="1:17" x14ac:dyDescent="0.25">
      <c r="A196" s="314">
        <v>26</v>
      </c>
      <c r="B196" s="314">
        <f>INDEX($A$2:$A$28,MATCH(C196,$E$2:$E$28,0))</f>
        <v>26</v>
      </c>
      <c r="C196" s="116" t="s">
        <v>522</v>
      </c>
      <c r="D196" s="394"/>
      <c r="E196" s="116" t="s">
        <v>611</v>
      </c>
      <c r="F196" s="125" t="s">
        <v>77</v>
      </c>
      <c r="G196" s="383">
        <v>39072.406779999998</v>
      </c>
      <c r="H196" s="383">
        <v>18.6832612</v>
      </c>
      <c r="I196" s="383">
        <v>0.27878290300000003</v>
      </c>
      <c r="J196" s="383">
        <v>-5.9418159999999999E-3</v>
      </c>
      <c r="K196" s="383">
        <v>3.3444200000000001E-5</v>
      </c>
      <c r="M196" s="124"/>
      <c r="N196" s="365"/>
    </row>
    <row r="197" spans="1:17" x14ac:dyDescent="0.25">
      <c r="B197" s="427">
        <f>INDEX($F$2:$F$28,MATCH(C196,$E$2:$E$28,0))</f>
        <v>47000</v>
      </c>
      <c r="E197" s="116" t="s">
        <v>612</v>
      </c>
      <c r="F197" s="125" t="s">
        <v>78</v>
      </c>
      <c r="G197" s="383">
        <v>246.68667579999999</v>
      </c>
      <c r="H197" s="383">
        <v>0.58883543199999999</v>
      </c>
      <c r="I197" s="383">
        <v>-1.4899488000000001E-2</v>
      </c>
      <c r="J197" s="383">
        <v>2.70368E-4</v>
      </c>
      <c r="K197" s="383">
        <v>-1.5283499999999999E-6</v>
      </c>
      <c r="M197" s="124"/>
      <c r="N197" s="365"/>
    </row>
    <row r="198" spans="1:17" x14ac:dyDescent="0.25">
      <c r="B198" s="427">
        <f>INDEX($H$2:$H$28,MATCH(C196,$E$2:$E$28,0))</f>
        <v>125</v>
      </c>
      <c r="E198" s="116" t="s">
        <v>613</v>
      </c>
      <c r="F198" s="125" t="s">
        <v>79</v>
      </c>
      <c r="G198" s="383">
        <v>0.66095731999999996</v>
      </c>
      <c r="H198" s="383">
        <v>3.3119339999999999E-3</v>
      </c>
      <c r="I198" s="383">
        <v>-7.6398399999999997E-5</v>
      </c>
      <c r="J198" s="383">
        <v>1.25111E-6</v>
      </c>
      <c r="K198" s="383">
        <v>-6.6955800000000002E-9</v>
      </c>
      <c r="M198" s="124"/>
      <c r="N198" s="365"/>
    </row>
    <row r="199" spans="1:17" x14ac:dyDescent="0.25">
      <c r="B199" s="427">
        <f>INDEX($I$2:$I$28,MATCH(C196,$E$2:$E$28,0))</f>
        <v>-40</v>
      </c>
      <c r="E199" s="116" t="s">
        <v>614</v>
      </c>
      <c r="F199" s="125" t="s">
        <v>80</v>
      </c>
      <c r="G199" s="383">
        <v>9.5176500000000003E-4</v>
      </c>
      <c r="H199" s="383">
        <v>-1.5446399999999999E-4</v>
      </c>
      <c r="I199" s="383">
        <v>8.0519899999999995E-6</v>
      </c>
      <c r="J199" s="383">
        <v>-1.55681E-7</v>
      </c>
      <c r="K199" s="383">
        <v>8.9229000000000003E-10</v>
      </c>
      <c r="M199" s="124"/>
      <c r="N199" s="365"/>
    </row>
    <row r="200" spans="1:17" x14ac:dyDescent="0.25">
      <c r="E200" s="116" t="s">
        <v>615</v>
      </c>
      <c r="F200" s="125" t="s">
        <v>81</v>
      </c>
      <c r="G200" s="383">
        <v>-4.4766999999999998E-6</v>
      </c>
      <c r="H200" s="383">
        <v>1.23681E-6</v>
      </c>
      <c r="I200" s="383">
        <v>-6.2153399999999996E-8</v>
      </c>
      <c r="J200" s="383">
        <v>1.1980899999999999E-9</v>
      </c>
      <c r="K200" s="383">
        <v>-6.8604999999999997E-12</v>
      </c>
      <c r="M200" s="124"/>
      <c r="N200" s="365"/>
    </row>
    <row r="201" spans="1:17" ht="13.8" thickBot="1" x14ac:dyDescent="0.3">
      <c r="B201" s="366"/>
      <c r="E201" s="122"/>
      <c r="F201" s="126"/>
      <c r="G201" s="384"/>
      <c r="H201" s="384"/>
      <c r="I201" s="384"/>
      <c r="J201" s="384"/>
      <c r="K201" s="384"/>
    </row>
    <row r="202" spans="1:17" x14ac:dyDescent="0.25">
      <c r="A202" s="368">
        <v>27</v>
      </c>
      <c r="B202" s="368">
        <f>INDEX($A$2:$A$28,MATCH(C202,$E$2:$E$28,0))</f>
        <v>27</v>
      </c>
      <c r="C202" s="374" t="s">
        <v>523</v>
      </c>
      <c r="D202" s="421"/>
      <c r="E202" s="374" t="s">
        <v>573</v>
      </c>
      <c r="F202" s="375" t="s">
        <v>77</v>
      </c>
      <c r="G202" s="387">
        <v>39072.406779999998</v>
      </c>
      <c r="H202" s="387">
        <v>18.6832612</v>
      </c>
      <c r="I202" s="387">
        <v>0.27878290300000003</v>
      </c>
      <c r="J202" s="387">
        <v>-5.9418159999999999E-3</v>
      </c>
      <c r="K202" s="387">
        <v>3.3444200000000001E-5</v>
      </c>
      <c r="L202" s="369"/>
      <c r="M202" s="372" t="s">
        <v>364</v>
      </c>
      <c r="N202" s="368"/>
      <c r="O202" s="369"/>
      <c r="P202" s="368"/>
      <c r="Q202" s="369"/>
    </row>
    <row r="203" spans="1:17" x14ac:dyDescent="0.25">
      <c r="B203" s="427">
        <f>INDEX($F$2:$F$28,MATCH(C202,$E$2:$E$28,0))</f>
        <v>47000</v>
      </c>
      <c r="D203" s="116"/>
      <c r="E203" s="116" t="s">
        <v>574</v>
      </c>
      <c r="F203" s="125" t="s">
        <v>78</v>
      </c>
      <c r="G203" s="383">
        <v>246.68667579999999</v>
      </c>
      <c r="H203" s="383">
        <v>0.58883543199999999</v>
      </c>
      <c r="I203" s="383">
        <v>-1.4899488000000001E-2</v>
      </c>
      <c r="J203" s="383">
        <v>2.70368E-4</v>
      </c>
      <c r="K203" s="383">
        <v>-1.5283499999999999E-6</v>
      </c>
      <c r="M203" s="376" t="s">
        <v>511</v>
      </c>
    </row>
    <row r="204" spans="1:17" x14ac:dyDescent="0.25">
      <c r="A204" s="348"/>
      <c r="B204" s="427">
        <f>INDEX($H$2:$H$28,MATCH(C202,$E$2:$E$28,0))</f>
        <v>125</v>
      </c>
      <c r="C204" s="377"/>
      <c r="E204" s="116" t="s">
        <v>575</v>
      </c>
      <c r="F204" s="125" t="s">
        <v>79</v>
      </c>
      <c r="G204" s="383">
        <v>0.66095731999999996</v>
      </c>
      <c r="H204" s="383">
        <v>3.3119339999999999E-3</v>
      </c>
      <c r="I204" s="383">
        <v>-7.6398399999999997E-5</v>
      </c>
      <c r="J204" s="383">
        <v>1.25111E-6</v>
      </c>
      <c r="K204" s="383">
        <v>-6.6955800000000002E-9</v>
      </c>
      <c r="M204" s="376" t="s">
        <v>512</v>
      </c>
    </row>
    <row r="205" spans="1:17" x14ac:dyDescent="0.25">
      <c r="A205" s="348"/>
      <c r="B205" s="427">
        <f>INDEX($I$2:$I$28,MATCH(C202,$E$2:$E$28,0))</f>
        <v>-40</v>
      </c>
      <c r="C205" s="377"/>
      <c r="E205" s="116" t="s">
        <v>576</v>
      </c>
      <c r="F205" s="125" t="s">
        <v>80</v>
      </c>
      <c r="G205" s="383">
        <v>9.5176500000000003E-4</v>
      </c>
      <c r="H205" s="383">
        <v>-1.5446399999999999E-4</v>
      </c>
      <c r="I205" s="383">
        <v>8.0519899999999995E-6</v>
      </c>
      <c r="J205" s="383">
        <v>-1.55681E-7</v>
      </c>
      <c r="K205" s="383">
        <v>8.9229000000000003E-10</v>
      </c>
      <c r="M205" s="376" t="s">
        <v>513</v>
      </c>
      <c r="N205" s="366"/>
    </row>
    <row r="206" spans="1:17" x14ac:dyDescent="0.25">
      <c r="E206" s="116" t="s">
        <v>577</v>
      </c>
      <c r="F206" s="125" t="s">
        <v>81</v>
      </c>
      <c r="G206" s="383">
        <v>-4.4766999999999998E-6</v>
      </c>
      <c r="H206" s="383">
        <v>1.23681E-6</v>
      </c>
      <c r="I206" s="383">
        <v>-6.2153399999999996E-8</v>
      </c>
      <c r="J206" s="383">
        <v>1.1980899999999999E-9</v>
      </c>
      <c r="K206" s="383">
        <v>-6.8604999999999997E-12</v>
      </c>
    </row>
    <row r="209" spans="1:14" x14ac:dyDescent="0.25">
      <c r="D209" s="116"/>
    </row>
    <row r="210" spans="1:14" x14ac:dyDescent="0.25">
      <c r="A210" s="348"/>
      <c r="B210" s="377"/>
      <c r="C210" s="377"/>
    </row>
    <row r="211" spans="1:14" x14ac:dyDescent="0.25">
      <c r="A211" s="348"/>
      <c r="B211" s="377"/>
      <c r="C211" s="377"/>
      <c r="N211" s="366"/>
    </row>
    <row r="213" spans="1:14" x14ac:dyDescent="0.25">
      <c r="F213" s="116"/>
    </row>
    <row r="214" spans="1:14" x14ac:dyDescent="0.25">
      <c r="E214" s="116"/>
    </row>
    <row r="215" spans="1:14" x14ac:dyDescent="0.25">
      <c r="D215" s="116"/>
    </row>
    <row r="216" spans="1:14" x14ac:dyDescent="0.25">
      <c r="A216" s="348"/>
      <c r="B216" s="377"/>
      <c r="C216" s="377"/>
    </row>
  </sheetData>
  <sheetProtection algorithmName="SHA-512" hashValue="XcfpK6ApxpXq+1rvrM4J6eb4KRgcoXqBPSxP3/mvTWW6Ofm13rCP0lHFFDLPrl2c3rKOuBj4zE5x7t+/QdeOwA==" saltValue="iOivkYi1hQ6Efg8tdI+6HA==" spinCount="100000" sheet="1" objects="1" scenarios="1"/>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624"/>
  <sheetViews>
    <sheetView showGridLines="0" zoomScale="80" zoomScaleNormal="80" workbookViewId="0">
      <selection activeCell="A5" sqref="A5"/>
    </sheetView>
  </sheetViews>
  <sheetFormatPr defaultColWidth="0" defaultRowHeight="13.2" zeroHeight="1" x14ac:dyDescent="0.25"/>
  <cols>
    <col min="1" max="1" width="18.6640625" style="12" customWidth="1"/>
    <col min="2" max="2" width="24" style="12" customWidth="1"/>
    <col min="3" max="3" width="15.6640625" style="12" customWidth="1"/>
    <col min="4" max="4" width="16.44140625" style="253" customWidth="1"/>
    <col min="5" max="5" width="14.33203125" style="12" hidden="1" customWidth="1"/>
    <col min="6" max="6" width="15.6640625" style="12" customWidth="1"/>
    <col min="7" max="7" width="15.6640625" style="253" hidden="1" customWidth="1"/>
    <col min="8" max="8" width="10.109375" style="253" customWidth="1"/>
    <col min="9" max="9" width="7.88671875" style="253" customWidth="1"/>
    <col min="10" max="10" width="7.33203125" style="12" customWidth="1"/>
    <col min="11" max="11" width="15.6640625" style="12" hidden="1" customWidth="1"/>
    <col min="12" max="12" width="15.6640625" style="253" hidden="1" customWidth="1"/>
    <col min="13" max="13" width="8.6640625" style="12" customWidth="1"/>
    <col min="14" max="14" width="19" style="12" customWidth="1"/>
    <col min="15" max="15" width="20" style="12" customWidth="1"/>
    <col min="16" max="18" width="15.6640625" style="12" customWidth="1"/>
    <col min="19" max="20" width="8.6640625" style="12" customWidth="1"/>
    <col min="21" max="21" width="5.33203125" style="12" customWidth="1"/>
    <col min="22" max="22" width="8.6640625" style="12" hidden="1" customWidth="1"/>
    <col min="23" max="29" width="8.6640625" style="12" customWidth="1"/>
    <col min="30" max="41" width="0" style="12" hidden="1" customWidth="1"/>
    <col min="42" max="16384" width="9.109375" style="12" hidden="1"/>
  </cols>
  <sheetData>
    <row r="1" spans="1:40" s="2" customFormat="1" x14ac:dyDescent="0.25">
      <c r="A1" s="760"/>
      <c r="B1" s="760"/>
      <c r="C1" s="760"/>
      <c r="D1" s="760"/>
      <c r="E1" s="760"/>
      <c r="F1" s="760"/>
      <c r="G1" s="760"/>
      <c r="H1" s="760"/>
      <c r="I1" s="760"/>
      <c r="J1" s="760"/>
      <c r="K1" s="760"/>
      <c r="L1" s="760"/>
      <c r="M1" s="760"/>
      <c r="N1" s="760"/>
      <c r="O1" s="760"/>
      <c r="P1" s="760"/>
      <c r="Q1" s="760"/>
      <c r="R1" s="760"/>
      <c r="S1" s="760"/>
      <c r="T1" s="760"/>
      <c r="U1" s="760"/>
      <c r="V1" s="760"/>
      <c r="W1" s="760"/>
      <c r="X1" s="760"/>
      <c r="Y1" s="760"/>
      <c r="Z1" s="1"/>
      <c r="AA1" s="1"/>
      <c r="AB1" s="1"/>
      <c r="AC1" s="1"/>
      <c r="AD1" s="1"/>
      <c r="AE1" s="1"/>
      <c r="AF1" s="1"/>
      <c r="AG1" s="1"/>
      <c r="AH1" s="1"/>
      <c r="AI1" s="1"/>
      <c r="AJ1" s="1"/>
      <c r="AK1" s="1"/>
      <c r="AL1" s="1"/>
      <c r="AM1" s="1"/>
      <c r="AN1" s="1"/>
    </row>
    <row r="2" spans="1:40" s="2" customFormat="1" x14ac:dyDescent="0.25">
      <c r="A2" s="760"/>
      <c r="B2" s="760"/>
      <c r="C2" s="760"/>
      <c r="D2" s="760"/>
      <c r="E2" s="760"/>
      <c r="F2" s="760"/>
      <c r="G2" s="760"/>
      <c r="H2" s="760"/>
      <c r="I2" s="760"/>
      <c r="J2" s="760"/>
      <c r="K2" s="760"/>
      <c r="L2" s="760"/>
      <c r="M2" s="760"/>
      <c r="N2" s="760"/>
      <c r="O2" s="760"/>
      <c r="P2" s="760"/>
      <c r="Q2" s="760"/>
      <c r="R2" s="760"/>
      <c r="S2" s="760"/>
      <c r="T2" s="760"/>
      <c r="U2" s="760"/>
      <c r="V2" s="760"/>
      <c r="W2" s="760"/>
      <c r="X2" s="760"/>
      <c r="Y2" s="760"/>
      <c r="Z2" s="1"/>
      <c r="AA2" s="1"/>
      <c r="AB2" s="1"/>
      <c r="AC2" s="1"/>
      <c r="AD2" s="1"/>
      <c r="AE2" s="1"/>
      <c r="AF2" s="1"/>
      <c r="AG2" s="1"/>
      <c r="AH2" s="1"/>
      <c r="AI2" s="1"/>
      <c r="AJ2" s="1"/>
      <c r="AK2" s="1"/>
      <c r="AL2" s="1"/>
      <c r="AM2" s="1"/>
      <c r="AN2" s="1"/>
    </row>
    <row r="3" spans="1:40" s="2" customFormat="1" x14ac:dyDescent="0.25">
      <c r="A3" s="760"/>
      <c r="B3" s="760"/>
      <c r="C3" s="760"/>
      <c r="D3" s="760"/>
      <c r="E3" s="760"/>
      <c r="F3" s="760"/>
      <c r="G3" s="760"/>
      <c r="H3" s="760"/>
      <c r="I3" s="760"/>
      <c r="J3" s="760"/>
      <c r="K3" s="760"/>
      <c r="L3" s="760"/>
      <c r="M3" s="760"/>
      <c r="N3" s="760"/>
      <c r="O3" s="760"/>
      <c r="P3" s="760"/>
      <c r="Q3" s="760"/>
      <c r="R3" s="760"/>
      <c r="S3" s="760"/>
      <c r="T3" s="760"/>
      <c r="U3" s="760"/>
      <c r="V3" s="760"/>
      <c r="W3" s="760"/>
      <c r="X3" s="760"/>
      <c r="Y3" s="760"/>
      <c r="Z3" s="1"/>
      <c r="AA3" s="1"/>
      <c r="AB3" s="1"/>
      <c r="AC3" s="1"/>
      <c r="AD3" s="1"/>
      <c r="AE3" s="1"/>
      <c r="AF3" s="1"/>
      <c r="AG3" s="1"/>
      <c r="AH3" s="1"/>
      <c r="AI3" s="1"/>
      <c r="AJ3" s="1"/>
      <c r="AK3" s="1"/>
      <c r="AL3" s="1"/>
      <c r="AM3" s="1"/>
      <c r="AN3" s="1"/>
    </row>
    <row r="4" spans="1:40" s="2" customFormat="1" ht="12.75" customHeight="1" x14ac:dyDescent="0.25">
      <c r="A4" s="761"/>
      <c r="B4" s="762"/>
      <c r="C4" s="762"/>
      <c r="D4" s="762"/>
      <c r="E4" s="762"/>
      <c r="F4" s="762"/>
      <c r="G4" s="762"/>
      <c r="H4" s="762"/>
      <c r="I4" s="762"/>
      <c r="J4" s="762"/>
      <c r="K4" s="762"/>
      <c r="L4" s="762"/>
      <c r="M4" s="762"/>
      <c r="N4" s="762"/>
      <c r="O4" s="762"/>
      <c r="P4" s="762"/>
      <c r="Q4" s="762"/>
      <c r="R4" s="762"/>
      <c r="S4" s="762"/>
      <c r="T4" s="762"/>
      <c r="U4" s="762"/>
      <c r="V4" s="762"/>
      <c r="W4" s="762"/>
      <c r="X4" s="762"/>
      <c r="Y4" s="762"/>
      <c r="Z4" s="762"/>
      <c r="AA4" s="762"/>
      <c r="AB4" s="762"/>
      <c r="AC4" s="762"/>
      <c r="AD4" s="1"/>
      <c r="AE4" s="1"/>
      <c r="AF4" s="1"/>
      <c r="AG4" s="1"/>
      <c r="AH4" s="1"/>
      <c r="AI4" s="1"/>
      <c r="AJ4" s="1"/>
      <c r="AK4" s="1"/>
      <c r="AL4" s="1"/>
      <c r="AM4" s="1"/>
      <c r="AN4" s="1"/>
    </row>
    <row r="5" spans="1:40" ht="15" x14ac:dyDescent="0.25">
      <c r="A5" s="461" t="s">
        <v>208</v>
      </c>
      <c r="B5" s="133"/>
      <c r="C5" s="14"/>
      <c r="D5" s="254"/>
      <c r="E5" s="14"/>
      <c r="F5" s="60"/>
      <c r="G5" s="202"/>
      <c r="H5" s="202"/>
      <c r="I5" s="202"/>
      <c r="J5" s="14"/>
      <c r="K5" s="14"/>
      <c r="L5" s="254"/>
      <c r="M5" s="80"/>
      <c r="N5" s="80"/>
      <c r="O5" s="80"/>
      <c r="P5" s="80"/>
      <c r="Q5" s="80"/>
      <c r="R5" s="80"/>
      <c r="S5" s="80"/>
      <c r="T5" s="80"/>
      <c r="U5" s="21"/>
      <c r="V5" s="14"/>
      <c r="W5" s="14"/>
    </row>
    <row r="6" spans="1:40" ht="15.6" x14ac:dyDescent="0.3">
      <c r="A6" s="148"/>
      <c r="B6" s="148"/>
      <c r="C6" s="131"/>
      <c r="D6" s="272"/>
      <c r="E6" s="132"/>
      <c r="F6" s="60"/>
      <c r="G6" s="202"/>
      <c r="H6" s="202"/>
      <c r="I6" s="202"/>
      <c r="J6" s="14"/>
      <c r="K6" s="14"/>
      <c r="L6" s="254"/>
      <c r="M6" s="21"/>
      <c r="N6" s="21"/>
      <c r="O6" s="21"/>
      <c r="P6" s="21"/>
      <c r="Q6" s="21"/>
      <c r="R6" s="21"/>
      <c r="S6" s="21"/>
      <c r="T6" s="21"/>
      <c r="U6" s="21"/>
      <c r="V6" s="14"/>
      <c r="W6" s="14"/>
    </row>
    <row r="7" spans="1:40" x14ac:dyDescent="0.25">
      <c r="C7" s="42"/>
      <c r="D7" s="257"/>
      <c r="E7" s="60"/>
      <c r="F7" s="60"/>
      <c r="G7" s="202"/>
      <c r="H7" s="202"/>
      <c r="I7" s="202"/>
      <c r="J7" s="14"/>
      <c r="K7" s="14"/>
      <c r="L7" s="254"/>
      <c r="M7" s="21"/>
      <c r="N7" s="21"/>
      <c r="O7" s="21"/>
      <c r="P7" s="21"/>
      <c r="Q7" s="21"/>
      <c r="R7" s="21"/>
      <c r="S7" s="21"/>
      <c r="T7" s="21"/>
      <c r="U7" s="21"/>
      <c r="V7" s="14"/>
      <c r="W7" s="14"/>
    </row>
    <row r="8" spans="1:40" s="253" customFormat="1" x14ac:dyDescent="0.25">
      <c r="C8" s="257"/>
      <c r="D8" s="257"/>
      <c r="E8" s="202"/>
      <c r="F8" s="202"/>
      <c r="G8" s="202"/>
      <c r="H8" s="202"/>
      <c r="I8" s="202"/>
      <c r="J8" s="254"/>
      <c r="K8" s="254"/>
      <c r="L8" s="254"/>
      <c r="M8" s="255"/>
      <c r="N8" s="255"/>
      <c r="O8" s="255"/>
      <c r="P8" s="255"/>
      <c r="Q8" s="255"/>
      <c r="R8" s="255"/>
      <c r="S8" s="255"/>
      <c r="T8" s="255"/>
      <c r="U8" s="255"/>
      <c r="V8" s="254"/>
      <c r="W8" s="254"/>
    </row>
    <row r="9" spans="1:40" s="253" customFormat="1" x14ac:dyDescent="0.25">
      <c r="C9" s="257"/>
      <c r="D9" s="257"/>
      <c r="E9" s="202"/>
      <c r="F9" s="202"/>
      <c r="G9" s="202"/>
      <c r="H9" s="202"/>
      <c r="I9" s="202"/>
      <c r="J9" s="254"/>
      <c r="K9" s="254"/>
      <c r="L9" s="254"/>
      <c r="M9" s="255"/>
      <c r="N9" s="255"/>
      <c r="O9" s="255"/>
      <c r="P9" s="255"/>
      <c r="Q9" s="255"/>
      <c r="R9" s="255"/>
      <c r="S9" s="255"/>
      <c r="T9" s="255"/>
      <c r="U9" s="255"/>
      <c r="V9" s="254"/>
      <c r="W9" s="254"/>
    </row>
    <row r="10" spans="1:40" s="253" customFormat="1" x14ac:dyDescent="0.25">
      <c r="C10" s="257"/>
      <c r="D10" s="257"/>
      <c r="E10" s="202"/>
      <c r="F10" s="202"/>
      <c r="G10" s="202"/>
      <c r="H10" s="202"/>
      <c r="I10" s="202"/>
      <c r="J10" s="254"/>
      <c r="K10" s="254"/>
      <c r="L10" s="254"/>
      <c r="M10" s="255"/>
      <c r="N10" s="255"/>
      <c r="O10" s="255"/>
      <c r="P10" s="255"/>
      <c r="Q10" s="255"/>
      <c r="R10" s="255"/>
      <c r="S10" s="255"/>
      <c r="T10" s="255"/>
      <c r="U10" s="255"/>
      <c r="V10" s="254"/>
      <c r="W10" s="254"/>
    </row>
    <row r="11" spans="1:40" s="253" customFormat="1" x14ac:dyDescent="0.25">
      <c r="C11" s="257"/>
      <c r="D11" s="257"/>
      <c r="E11" s="202"/>
      <c r="F11" s="202"/>
      <c r="G11" s="202"/>
      <c r="H11" s="202"/>
      <c r="I11" s="202"/>
      <c r="J11" s="254"/>
      <c r="K11" s="254"/>
      <c r="L11" s="254"/>
      <c r="M11" s="255"/>
      <c r="N11" s="255"/>
      <c r="O11" s="255"/>
      <c r="P11" s="255"/>
      <c r="Q11" s="255"/>
      <c r="R11" s="255"/>
      <c r="S11" s="255"/>
      <c r="T11" s="255"/>
      <c r="U11" s="255"/>
      <c r="V11" s="254"/>
      <c r="W11" s="254"/>
    </row>
    <row r="12" spans="1:40" x14ac:dyDescent="0.25">
      <c r="A12" s="14"/>
      <c r="B12" s="14"/>
      <c r="C12" s="14"/>
      <c r="D12" s="254"/>
      <c r="E12" s="14"/>
      <c r="F12" s="60"/>
      <c r="G12" s="202"/>
      <c r="H12" s="202"/>
      <c r="I12" s="202"/>
      <c r="J12" s="14"/>
      <c r="K12" s="14"/>
      <c r="L12" s="254"/>
      <c r="M12" s="14"/>
      <c r="N12" s="14"/>
      <c r="O12" s="14"/>
      <c r="P12" s="14"/>
      <c r="Q12" s="14"/>
      <c r="R12" s="14"/>
      <c r="S12" s="14"/>
      <c r="T12" s="14"/>
      <c r="U12" s="14"/>
      <c r="V12" s="14"/>
      <c r="W12" s="14"/>
    </row>
    <row r="13" spans="1:40" x14ac:dyDescent="0.25">
      <c r="A13" s="14"/>
      <c r="B13" s="14"/>
      <c r="C13" s="14"/>
      <c r="D13" s="254"/>
      <c r="E13" s="14"/>
      <c r="F13" s="60"/>
      <c r="G13" s="202"/>
      <c r="H13" s="202"/>
      <c r="I13" s="202"/>
      <c r="J13" s="14"/>
      <c r="K13" s="14"/>
      <c r="L13" s="254"/>
      <c r="M13" s="14"/>
      <c r="N13" s="14"/>
      <c r="O13" s="14"/>
      <c r="P13" s="14"/>
      <c r="Q13" s="14"/>
      <c r="R13" s="14"/>
      <c r="S13" s="14"/>
      <c r="T13" s="14"/>
      <c r="U13" s="14"/>
    </row>
    <row r="14" spans="1:40" x14ac:dyDescent="0.25">
      <c r="A14" s="14"/>
      <c r="B14" s="14"/>
      <c r="C14" s="14"/>
      <c r="D14" s="254"/>
      <c r="E14" s="14"/>
      <c r="F14" s="60"/>
      <c r="G14" s="202"/>
      <c r="H14" s="202"/>
      <c r="I14" s="202"/>
      <c r="J14" s="14"/>
      <c r="K14" s="14"/>
      <c r="L14" s="254"/>
      <c r="M14" s="14"/>
      <c r="N14" s="14"/>
      <c r="O14" s="14"/>
      <c r="P14" s="14"/>
      <c r="Q14" s="14"/>
      <c r="R14" s="14"/>
      <c r="S14" s="14"/>
      <c r="T14" s="14"/>
      <c r="U14" s="14"/>
    </row>
    <row r="15" spans="1:40" x14ac:dyDescent="0.25">
      <c r="A15" s="14"/>
      <c r="B15" s="14"/>
      <c r="C15" s="14"/>
      <c r="D15" s="254"/>
      <c r="E15" s="14"/>
      <c r="F15" s="60"/>
      <c r="G15" s="202"/>
      <c r="H15" s="202"/>
      <c r="I15" s="202"/>
      <c r="J15" s="14"/>
      <c r="K15" s="14"/>
      <c r="L15" s="254"/>
      <c r="M15" s="14"/>
      <c r="N15" s="14"/>
      <c r="O15" s="14"/>
      <c r="P15" s="14"/>
      <c r="Q15" s="14"/>
      <c r="R15" s="14"/>
      <c r="S15" s="14"/>
      <c r="T15" s="14"/>
      <c r="U15" s="14"/>
    </row>
    <row r="16" spans="1:40" x14ac:dyDescent="0.25">
      <c r="A16" s="14"/>
      <c r="B16" s="14"/>
      <c r="C16" s="14"/>
      <c r="D16" s="254"/>
      <c r="E16" s="14"/>
      <c r="F16" s="60"/>
      <c r="G16" s="202"/>
      <c r="H16" s="202"/>
      <c r="I16" s="202"/>
      <c r="J16" s="14"/>
      <c r="K16" s="14"/>
      <c r="L16" s="254"/>
      <c r="M16" s="14"/>
      <c r="N16" s="14"/>
      <c r="O16" s="14"/>
      <c r="P16" s="14"/>
      <c r="Q16" s="14"/>
      <c r="R16" s="14"/>
      <c r="S16" s="14"/>
      <c r="T16" s="14"/>
      <c r="U16" s="14"/>
    </row>
    <row r="17" spans="1:22" ht="15.6" x14ac:dyDescent="0.3">
      <c r="A17" s="538" t="s">
        <v>252</v>
      </c>
      <c r="B17" s="283" t="str">
        <f>Main!$N$22</f>
        <v>TMP6131DECR</v>
      </c>
      <c r="C17" s="152"/>
      <c r="D17" s="254"/>
      <c r="E17" s="14"/>
      <c r="F17" s="363"/>
      <c r="G17" s="202"/>
      <c r="H17" s="202"/>
      <c r="I17" s="202"/>
      <c r="J17" s="14"/>
      <c r="K17" s="14"/>
      <c r="L17" s="254"/>
      <c r="M17" s="14"/>
      <c r="N17" s="14"/>
      <c r="O17" s="14"/>
      <c r="P17" s="14"/>
      <c r="Q17" s="14"/>
      <c r="R17" s="14"/>
      <c r="S17" s="14"/>
      <c r="T17" s="14"/>
      <c r="U17" s="14"/>
    </row>
    <row r="18" spans="1:22" ht="15.6" x14ac:dyDescent="0.3">
      <c r="A18" s="538" t="s">
        <v>442</v>
      </c>
      <c r="B18" s="361">
        <f>Main!$N$25</f>
        <v>140</v>
      </c>
      <c r="C18" s="273" t="s">
        <v>441</v>
      </c>
      <c r="D18" s="254"/>
      <c r="E18" s="14"/>
      <c r="F18" s="60"/>
      <c r="G18" s="202"/>
      <c r="H18" s="202"/>
      <c r="I18" s="202"/>
      <c r="J18" s="14"/>
      <c r="K18" s="14"/>
      <c r="L18" s="254"/>
      <c r="M18" s="14"/>
      <c r="N18" s="14"/>
      <c r="O18" s="14"/>
      <c r="P18" s="14"/>
      <c r="Q18" s="14"/>
      <c r="R18" s="14"/>
      <c r="S18" s="14"/>
      <c r="T18" s="14"/>
      <c r="U18" s="14"/>
    </row>
    <row r="19" spans="1:22" s="253" customFormat="1" ht="15.6" x14ac:dyDescent="0.3">
      <c r="A19" s="542" t="s">
        <v>265</v>
      </c>
      <c r="B19" s="354">
        <f>Main!$N$31</f>
        <v>3</v>
      </c>
      <c r="C19" s="238" t="s">
        <v>2</v>
      </c>
      <c r="D19" s="254"/>
      <c r="E19" s="254"/>
      <c r="F19" s="202"/>
      <c r="G19" s="202"/>
      <c r="H19" s="202"/>
      <c r="I19" s="202"/>
      <c r="J19" s="254"/>
      <c r="K19" s="254"/>
      <c r="L19" s="254"/>
      <c r="M19" s="254"/>
      <c r="N19" s="254"/>
      <c r="O19" s="254"/>
      <c r="P19" s="254"/>
      <c r="Q19" s="254"/>
      <c r="R19" s="254"/>
      <c r="S19" s="254"/>
      <c r="T19" s="254"/>
      <c r="U19" s="254"/>
    </row>
    <row r="20" spans="1:22" s="157" customFormat="1" x14ac:dyDescent="0.25">
      <c r="D20" s="254"/>
      <c r="G20" s="254"/>
      <c r="H20" s="254"/>
      <c r="I20" s="254"/>
      <c r="L20" s="254"/>
    </row>
    <row r="21" spans="1:22" s="157" customFormat="1" ht="21" x14ac:dyDescent="0.4">
      <c r="A21" s="154" t="s">
        <v>210</v>
      </c>
      <c r="B21" s="461" t="s">
        <v>209</v>
      </c>
      <c r="D21" s="254"/>
      <c r="G21" s="254"/>
      <c r="H21" s="254"/>
      <c r="I21" s="254"/>
      <c r="K21" s="172"/>
      <c r="L21" s="202"/>
      <c r="N21" s="154" t="s">
        <v>211</v>
      </c>
      <c r="O21" s="461" t="s">
        <v>209</v>
      </c>
    </row>
    <row r="22" spans="1:22" ht="14.4" x14ac:dyDescent="0.25">
      <c r="A22" s="22"/>
      <c r="B22" s="22"/>
      <c r="C22" s="21"/>
      <c r="D22" s="255"/>
      <c r="E22" s="82"/>
      <c r="F22" s="82"/>
      <c r="G22" s="82"/>
      <c r="H22" s="82"/>
      <c r="I22" s="82"/>
      <c r="J22" s="82"/>
      <c r="K22" s="82"/>
      <c r="L22" s="82"/>
    </row>
    <row r="23" spans="1:22" s="205" customFormat="1" ht="46.8" x14ac:dyDescent="0.3">
      <c r="A23" s="577" t="s">
        <v>84</v>
      </c>
      <c r="B23" s="578" t="s">
        <v>70</v>
      </c>
      <c r="C23" s="579" t="s">
        <v>223</v>
      </c>
      <c r="D23" s="579" t="s">
        <v>226</v>
      </c>
      <c r="E23" s="579" t="s">
        <v>241</v>
      </c>
      <c r="F23" s="579" t="s">
        <v>225</v>
      </c>
      <c r="G23" s="580" t="s">
        <v>40</v>
      </c>
      <c r="H23" s="558"/>
      <c r="I23" s="581"/>
      <c r="J23" s="558"/>
      <c r="K23" s="582" t="s">
        <v>58</v>
      </c>
      <c r="L23" s="583" t="s">
        <v>177</v>
      </c>
      <c r="M23" s="558"/>
      <c r="N23" s="577" t="s">
        <v>84</v>
      </c>
      <c r="O23" s="577" t="s">
        <v>70</v>
      </c>
      <c r="P23" s="579" t="s">
        <v>223</v>
      </c>
      <c r="Q23" s="584" t="s">
        <v>222</v>
      </c>
      <c r="R23" s="579" t="s">
        <v>225</v>
      </c>
      <c r="S23" s="558"/>
      <c r="T23" s="558"/>
      <c r="V23" s="309" t="s">
        <v>40</v>
      </c>
    </row>
    <row r="24" spans="1:22" ht="15" x14ac:dyDescent="0.25">
      <c r="A24" s="562">
        <v>1</v>
      </c>
      <c r="B24" s="563">
        <v>-40</v>
      </c>
      <c r="C24" s="564">
        <f>IFERROR(D24*0.985,NA())</f>
        <v>6416.3296512238694</v>
      </c>
      <c r="D24" s="564">
        <f>IF(B24 &lt;= VLOOKUP(Main!$N$22,Coefficients!$E$2:$H$28,4,FALSE),E24,NA())</f>
        <v>6514.0402550496137</v>
      </c>
      <c r="E24" s="437">
        <f>'4th Order Polynomial Tmp vs Res'!$B$40+'4th Order Polynomial Tmp vs Res'!$C$40*POWER(B24,1)+'4th Order Polynomial Tmp vs Res'!$D$40*POWER(B24,2)+'4th Order Polynomial Tmp vs Res'!$E$40*POWER(B24,3)+'4th Order Polynomial Tmp vs Res'!$F$40*POWER(B24,4)</f>
        <v>6514.0402550496137</v>
      </c>
      <c r="F24" s="564">
        <f>IFERROR(D24*1.015,NA())</f>
        <v>6611.7508588753572</v>
      </c>
      <c r="G24" s="585">
        <f t="shared" ref="G24:G87" si="0">IFERROR(D24*(($B$18/1000000)),NA())</f>
        <v>0.91196563570694589</v>
      </c>
      <c r="H24" s="388"/>
      <c r="I24" s="586"/>
      <c r="J24" s="388"/>
      <c r="K24" s="520">
        <f>'4th Order Polynomial Tmp vs Res'!$I$40*E24^4 + '4th Order Polynomial Tmp vs Res'!$J$40*E24^3 + '4th Order Polynomial Tmp vs Res'!$K$40*E24^2 + '4th Order Polynomial Tmp vs Res'!$L$40*E24 + '4th Order Polynomial Tmp vs Res'!$M$40</f>
        <v>-39.663434099290384</v>
      </c>
      <c r="L24" s="520">
        <f t="shared" ref="L24:L55" si="1">B24-K24</f>
        <v>-0.33656590070961556</v>
      </c>
      <c r="M24" s="388"/>
      <c r="N24" s="587">
        <v>1</v>
      </c>
      <c r="O24" s="588">
        <v>-40</v>
      </c>
      <c r="P24" s="564">
        <f ca="1">IFERROR(Q24*0.985,NA())</f>
        <v>6416.3296512238694</v>
      </c>
      <c r="Q24" s="565">
        <f t="shared" ref="Q24:Q66" ca="1" si="2">IFERROR(OFFSET($D$24,(ROW(D1)-1)*5,0),NA())</f>
        <v>6514.0402550496137</v>
      </c>
      <c r="R24" s="564">
        <f ca="1">IFERROR(Q24*1.015,NA())</f>
        <v>6611.7508588753572</v>
      </c>
      <c r="S24" s="388"/>
      <c r="T24" s="388"/>
      <c r="V24" s="357">
        <f ca="1">IFERROR(Q24*(($B$18/1000000)),NA())</f>
        <v>0.91196563570694589</v>
      </c>
    </row>
    <row r="25" spans="1:22" ht="15" x14ac:dyDescent="0.25">
      <c r="A25" s="562">
        <v>2</v>
      </c>
      <c r="B25" s="563">
        <f>B24+1</f>
        <v>-39</v>
      </c>
      <c r="C25" s="564">
        <f t="shared" ref="C25:C63" si="3">IFERROR(D25*0.985,NA())</f>
        <v>6457.5104639968704</v>
      </c>
      <c r="D25" s="564">
        <f>IF(B25 &lt;= VLOOKUP(Main!$N$22,Coefficients!$E$2:$H$28,4,FALSE),E25,NA())</f>
        <v>6555.848186798853</v>
      </c>
      <c r="E25" s="437">
        <f>'4th Order Polynomial Tmp vs Res'!$B$40+'4th Order Polynomial Tmp vs Res'!$C$40*POWER(B25,1)+'4th Order Polynomial Tmp vs Res'!$D$40*POWER(B25,2)+'4th Order Polynomial Tmp vs Res'!$E$40*POWER(B25,3)+'4th Order Polynomial Tmp vs Res'!$F$40*POWER(B25,4)</f>
        <v>6555.848186798853</v>
      </c>
      <c r="F25" s="564">
        <f t="shared" ref="F25:F63" si="4">IFERROR(D25*1.015,NA())</f>
        <v>6654.1859096008347</v>
      </c>
      <c r="G25" s="585">
        <f t="shared" si="0"/>
        <v>0.91781874615183934</v>
      </c>
      <c r="H25" s="388"/>
      <c r="I25" s="586"/>
      <c r="J25" s="388"/>
      <c r="K25" s="520">
        <f>'4th Order Polynomial Tmp vs Res'!$I$40*E25^4 + '4th Order Polynomial Tmp vs Res'!$J$40*E25^3 + '4th Order Polynomial Tmp vs Res'!$K$40*E25^2 + '4th Order Polynomial Tmp vs Res'!$L$40*E25 + '4th Order Polynomial Tmp vs Res'!$M$40</f>
        <v>-38.714425037684208</v>
      </c>
      <c r="L25" s="520">
        <f t="shared" si="1"/>
        <v>-0.28557496231579194</v>
      </c>
      <c r="M25" s="388"/>
      <c r="N25" s="587">
        <v>2</v>
      </c>
      <c r="O25" s="588">
        <v>-35</v>
      </c>
      <c r="P25" s="564">
        <f t="shared" ref="P25:P66" ca="1" si="5">IFERROR(Q25*0.985,NA())</f>
        <v>6625.9408027874215</v>
      </c>
      <c r="Q25" s="565">
        <f t="shared" ca="1" si="2"/>
        <v>6726.8434546065191</v>
      </c>
      <c r="R25" s="564">
        <f t="shared" ref="R25:R66" ca="1" si="6">IFERROR(Q25*1.015,NA())</f>
        <v>6827.7461064256158</v>
      </c>
      <c r="S25" s="388"/>
      <c r="T25" s="388"/>
      <c r="V25" s="357">
        <f t="shared" ref="V25:V67" ca="1" si="7">IFERROR(Q25*(($B$18/1000000)),NA())</f>
        <v>0.94175808364491265</v>
      </c>
    </row>
    <row r="26" spans="1:22" ht="15" x14ac:dyDescent="0.25">
      <c r="A26" s="562">
        <v>3</v>
      </c>
      <c r="B26" s="563">
        <f t="shared" ref="B26:B89" si="8">B25+1</f>
        <v>-38</v>
      </c>
      <c r="C26" s="564">
        <f t="shared" si="3"/>
        <v>6499.0645661284525</v>
      </c>
      <c r="D26" s="564">
        <f>IF(B26 &lt;= VLOOKUP(Main!$N$22,Coefficients!$E$2:$H$28,4,FALSE),E26,NA())</f>
        <v>6598.0350925161956</v>
      </c>
      <c r="E26" s="437">
        <f>'4th Order Polynomial Tmp vs Res'!$B$40+'4th Order Polynomial Tmp vs Res'!$C$40*POWER(B26,1)+'4th Order Polynomial Tmp vs Res'!$D$40*POWER(B26,2)+'4th Order Polynomial Tmp vs Res'!$E$40*POWER(B26,3)+'4th Order Polynomial Tmp vs Res'!$F$40*POWER(B26,4)</f>
        <v>6598.0350925161956</v>
      </c>
      <c r="F26" s="564">
        <f t="shared" si="4"/>
        <v>6697.0056189039378</v>
      </c>
      <c r="G26" s="585">
        <f t="shared" si="0"/>
        <v>0.92372491295226733</v>
      </c>
      <c r="H26" s="388"/>
      <c r="I26" s="586"/>
      <c r="J26" s="388"/>
      <c r="K26" s="520">
        <f>'4th Order Polynomial Tmp vs Res'!$I$40*E26^4 + '4th Order Polynomial Tmp vs Res'!$J$40*E26^3 + '4th Order Polynomial Tmp vs Res'!$K$40*E26^2 + '4th Order Polynomial Tmp vs Res'!$L$40*E26 + '4th Order Polynomial Tmp vs Res'!$M$40</f>
        <v>-37.76171891983779</v>
      </c>
      <c r="L26" s="520">
        <f t="shared" si="1"/>
        <v>-0.23828108016220995</v>
      </c>
      <c r="M26" s="388"/>
      <c r="N26" s="587">
        <v>3</v>
      </c>
      <c r="O26" s="588">
        <v>-30</v>
      </c>
      <c r="P26" s="564">
        <f t="shared" ca="1" si="5"/>
        <v>6844.6325198433633</v>
      </c>
      <c r="Q26" s="565">
        <f t="shared" ca="1" si="2"/>
        <v>6948.8655023790488</v>
      </c>
      <c r="R26" s="564">
        <f t="shared" ca="1" si="6"/>
        <v>7053.0984849147335</v>
      </c>
      <c r="S26" s="388"/>
      <c r="T26" s="388"/>
      <c r="V26" s="357">
        <f t="shared" ca="1" si="7"/>
        <v>0.97284117033306672</v>
      </c>
    </row>
    <row r="27" spans="1:22" ht="15" x14ac:dyDescent="0.25">
      <c r="A27" s="562">
        <v>4</v>
      </c>
      <c r="B27" s="563">
        <f t="shared" si="8"/>
        <v>-37</v>
      </c>
      <c r="C27" s="564">
        <f t="shared" si="3"/>
        <v>6540.9893557285532</v>
      </c>
      <c r="D27" s="564">
        <f>IF(B27 &lt;= VLOOKUP(Main!$N$22,Coefficients!$E$2:$H$28,4,FALSE),E27,NA())</f>
        <v>6640.5983306888866</v>
      </c>
      <c r="E27" s="437">
        <f>'4th Order Polynomial Tmp vs Res'!$B$40+'4th Order Polynomial Tmp vs Res'!$C$40*POWER(B27,1)+'4th Order Polynomial Tmp vs Res'!$D$40*POWER(B27,2)+'4th Order Polynomial Tmp vs Res'!$E$40*POWER(B27,3)+'4th Order Polynomial Tmp vs Res'!$F$40*POWER(B27,4)</f>
        <v>6640.5983306888866</v>
      </c>
      <c r="F27" s="564">
        <f t="shared" si="4"/>
        <v>6740.2073056492191</v>
      </c>
      <c r="G27" s="585">
        <f t="shared" si="0"/>
        <v>0.929683766296444</v>
      </c>
      <c r="H27" s="388"/>
      <c r="I27" s="586"/>
      <c r="J27" s="388"/>
      <c r="K27" s="520">
        <f>'4th Order Polynomial Tmp vs Res'!$I$40*E27^4 + '4th Order Polynomial Tmp vs Res'!$J$40*E27^3 + '4th Order Polynomial Tmp vs Res'!$K$40*E27^2 + '4th Order Polynomial Tmp vs Res'!$L$40*E27 + '4th Order Polynomial Tmp vs Res'!$M$40</f>
        <v>-36.805466264808274</v>
      </c>
      <c r="L27" s="520">
        <f t="shared" si="1"/>
        <v>-0.19453373519172601</v>
      </c>
      <c r="M27" s="388"/>
      <c r="N27" s="587">
        <v>4</v>
      </c>
      <c r="O27" s="588">
        <v>-25</v>
      </c>
      <c r="P27" s="564">
        <f t="shared" ca="1" si="5"/>
        <v>7072.1115181364057</v>
      </c>
      <c r="Q27" s="565">
        <f t="shared" ca="1" si="2"/>
        <v>7179.8086478542191</v>
      </c>
      <c r="R27" s="564">
        <f t="shared" ca="1" si="6"/>
        <v>7287.5057775720315</v>
      </c>
      <c r="S27" s="388"/>
      <c r="T27" s="388"/>
      <c r="V27" s="357">
        <f t="shared" ca="1" si="7"/>
        <v>1.0051732106995905</v>
      </c>
    </row>
    <row r="28" spans="1:22" ht="15" x14ac:dyDescent="0.25">
      <c r="A28" s="562">
        <v>5</v>
      </c>
      <c r="B28" s="563">
        <f t="shared" si="8"/>
        <v>-36</v>
      </c>
      <c r="C28" s="564">
        <f t="shared" si="3"/>
        <v>6583.2822735097834</v>
      </c>
      <c r="D28" s="564">
        <f>IF(B28 &lt;= VLOOKUP(Main!$N$22,Coefficients!$E$2:$H$28,4,FALSE),E28,NA())</f>
        <v>6683.535303055618</v>
      </c>
      <c r="E28" s="437">
        <f>'4th Order Polynomial Tmp vs Res'!$B$40+'4th Order Polynomial Tmp vs Res'!$C$40*POWER(B28,1)+'4th Order Polynomial Tmp vs Res'!$D$40*POWER(B28,2)+'4th Order Polynomial Tmp vs Res'!$E$40*POWER(B28,3)+'4th Order Polynomial Tmp vs Res'!$F$40*POWER(B28,4)</f>
        <v>6683.535303055618</v>
      </c>
      <c r="F28" s="564">
        <f t="shared" si="4"/>
        <v>6783.7883326014517</v>
      </c>
      <c r="G28" s="585">
        <f t="shared" si="0"/>
        <v>0.93569494242778639</v>
      </c>
      <c r="H28" s="388"/>
      <c r="I28" s="586"/>
      <c r="J28" s="388"/>
      <c r="K28" s="520">
        <f>'4th Order Polynomial Tmp vs Res'!$I$40*E28^4 + '4th Order Polynomial Tmp vs Res'!$J$40*E28^3 + '4th Order Polynomial Tmp vs Res'!$K$40*E28^2 + '4th Order Polynomial Tmp vs Res'!$L$40*E28 + '4th Order Polynomial Tmp vs Res'!$M$40</f>
        <v>-35.845814585683314</v>
      </c>
      <c r="L28" s="520">
        <f t="shared" si="1"/>
        <v>-0.15418541431668586</v>
      </c>
      <c r="M28" s="388"/>
      <c r="N28" s="587">
        <v>5</v>
      </c>
      <c r="O28" s="588">
        <v>-20</v>
      </c>
      <c r="P28" s="564">
        <f t="shared" ca="1" si="5"/>
        <v>7308.1111400798027</v>
      </c>
      <c r="Q28" s="565">
        <f t="shared" ca="1" si="2"/>
        <v>7419.4021726698502</v>
      </c>
      <c r="R28" s="564">
        <f t="shared" ca="1" si="6"/>
        <v>7530.6932052598968</v>
      </c>
      <c r="S28" s="388"/>
      <c r="T28" s="388"/>
      <c r="V28" s="357">
        <f t="shared" ca="1" si="7"/>
        <v>1.038716304173779</v>
      </c>
    </row>
    <row r="29" spans="1:22" ht="15" x14ac:dyDescent="0.25">
      <c r="A29" s="562">
        <v>6</v>
      </c>
      <c r="B29" s="563">
        <f t="shared" si="8"/>
        <v>-35</v>
      </c>
      <c r="C29" s="564">
        <f t="shared" si="3"/>
        <v>6625.9408027874215</v>
      </c>
      <c r="D29" s="564">
        <f>IF(B29 &lt;= VLOOKUP(Main!$N$22,Coefficients!$E$2:$H$28,4,FALSE),E29,NA())</f>
        <v>6726.8434546065191</v>
      </c>
      <c r="E29" s="437">
        <f>'4th Order Polynomial Tmp vs Res'!$B$40+'4th Order Polynomial Tmp vs Res'!$C$40*POWER(B29,1)+'4th Order Polynomial Tmp vs Res'!$D$40*POWER(B29,2)+'4th Order Polynomial Tmp vs Res'!$E$40*POWER(B29,3)+'4th Order Polynomial Tmp vs Res'!$F$40*POWER(B29,4)</f>
        <v>6726.8434546065191</v>
      </c>
      <c r="F29" s="564">
        <f t="shared" si="4"/>
        <v>6827.7461064256158</v>
      </c>
      <c r="G29" s="585">
        <f t="shared" si="0"/>
        <v>0.94175808364491265</v>
      </c>
      <c r="H29" s="388"/>
      <c r="I29" s="586"/>
      <c r="J29" s="388"/>
      <c r="K29" s="520">
        <f>'4th Order Polynomial Tmp vs Res'!$I$40*E29^4 + '4th Order Polynomial Tmp vs Res'!$J$40*E29^3 + '4th Order Polynomial Tmp vs Res'!$K$40*E29^2 + '4th Order Polynomial Tmp vs Res'!$L$40*E29 + '4th Order Polynomial Tmp vs Res'!$M$40</f>
        <v>-34.882908385061</v>
      </c>
      <c r="L29" s="520">
        <f t="shared" si="1"/>
        <v>-0.11709161493899956</v>
      </c>
      <c r="M29" s="388"/>
      <c r="N29" s="587">
        <v>6</v>
      </c>
      <c r="O29" s="588">
        <v>-15</v>
      </c>
      <c r="P29" s="564">
        <f t="shared" ca="1" si="5"/>
        <v>7552.3913547553675</v>
      </c>
      <c r="Q29" s="565">
        <f t="shared" ca="1" si="2"/>
        <v>7667.4023906145867</v>
      </c>
      <c r="R29" s="564">
        <f t="shared" ca="1" si="6"/>
        <v>7782.413426473805</v>
      </c>
      <c r="S29" s="388"/>
      <c r="T29" s="388"/>
      <c r="V29" s="357">
        <f t="shared" ca="1" si="7"/>
        <v>1.073436334686042</v>
      </c>
    </row>
    <row r="30" spans="1:22" ht="15" x14ac:dyDescent="0.25">
      <c r="A30" s="562">
        <v>7</v>
      </c>
      <c r="B30" s="563">
        <f t="shared" si="8"/>
        <v>-34</v>
      </c>
      <c r="C30" s="564">
        <f t="shared" si="3"/>
        <v>6668.9624694794138</v>
      </c>
      <c r="D30" s="564">
        <f>IF(B30 &lt;= VLOOKUP(Main!$N$22,Coefficients!$E$2:$H$28,4,FALSE),E30,NA())</f>
        <v>6770.5202735831617</v>
      </c>
      <c r="E30" s="437">
        <f>'4th Order Polynomial Tmp vs Res'!$B$40+'4th Order Polynomial Tmp vs Res'!$C$40*POWER(B30,1)+'4th Order Polynomial Tmp vs Res'!$D$40*POWER(B30,2)+'4th Order Polynomial Tmp vs Res'!$E$40*POWER(B30,3)+'4th Order Polynomial Tmp vs Res'!$F$40*POWER(B30,4)</f>
        <v>6770.5202735831617</v>
      </c>
      <c r="F30" s="564">
        <f t="shared" si="4"/>
        <v>6872.0780776869087</v>
      </c>
      <c r="G30" s="585">
        <f t="shared" si="0"/>
        <v>0.9478728383016426</v>
      </c>
      <c r="H30" s="388"/>
      <c r="I30" s="586"/>
      <c r="J30" s="388"/>
      <c r="K30" s="520">
        <f>'4th Order Polynomial Tmp vs Res'!$I$40*E30^4 + '4th Order Polynomial Tmp vs Res'!$J$40*E30^3 + '4th Order Polynomial Tmp vs Res'!$K$40*E30^2 + '4th Order Polynomial Tmp vs Res'!$L$40*E30 + '4th Order Polynomial Tmp vs Res'!$M$40</f>
        <v>-33.916889152159655</v>
      </c>
      <c r="L30" s="520">
        <f t="shared" si="1"/>
        <v>-8.3110847840345059E-2</v>
      </c>
      <c r="M30" s="388"/>
      <c r="N30" s="587">
        <v>7</v>
      </c>
      <c r="O30" s="588">
        <v>-10</v>
      </c>
      <c r="P30" s="564">
        <f t="shared" ca="1" si="5"/>
        <v>7804.7387579134584</v>
      </c>
      <c r="Q30" s="565">
        <f t="shared" ca="1" si="2"/>
        <v>7923.5926476278764</v>
      </c>
      <c r="R30" s="564">
        <f t="shared" ca="1" si="6"/>
        <v>8042.4465373422936</v>
      </c>
      <c r="S30" s="388"/>
      <c r="T30" s="388"/>
      <c r="V30" s="357">
        <f t="shared" ca="1" si="7"/>
        <v>1.1093029706679025</v>
      </c>
    </row>
    <row r="31" spans="1:22" ht="15" x14ac:dyDescent="0.25">
      <c r="A31" s="562">
        <v>8</v>
      </c>
      <c r="B31" s="563">
        <f t="shared" si="8"/>
        <v>-33</v>
      </c>
      <c r="C31" s="564">
        <f t="shared" si="3"/>
        <v>6712.3448421063822</v>
      </c>
      <c r="D31" s="564">
        <f>IF(B31 &lt;= VLOOKUP(Main!$N$22,Coefficients!$E$2:$H$28,4,FALSE),E31,NA())</f>
        <v>6814.563291478561</v>
      </c>
      <c r="E31" s="437">
        <f>'4th Order Polynomial Tmp vs Res'!$B$40+'4th Order Polynomial Tmp vs Res'!$C$40*POWER(B31,1)+'4th Order Polynomial Tmp vs Res'!$D$40*POWER(B31,2)+'4th Order Polynomial Tmp vs Res'!$E$40*POWER(B31,3)+'4th Order Polynomial Tmp vs Res'!$F$40*POWER(B31,4)</f>
        <v>6814.563291478561</v>
      </c>
      <c r="F31" s="564">
        <f t="shared" si="4"/>
        <v>6916.781740850739</v>
      </c>
      <c r="G31" s="585">
        <f t="shared" si="0"/>
        <v>0.95403886080699851</v>
      </c>
      <c r="H31" s="388"/>
      <c r="I31" s="586"/>
      <c r="J31" s="388"/>
      <c r="K31" s="520">
        <f>'4th Order Polynomial Tmp vs Res'!$I$40*E31^4 + '4th Order Polynomial Tmp vs Res'!$J$40*E31^3 + '4th Order Polynomial Tmp vs Res'!$K$40*E31^2 + '4th Order Polynomial Tmp vs Res'!$L$40*E31 + '4th Order Polynomial Tmp vs Res'!$M$40</f>
        <v>-32.947895361518732</v>
      </c>
      <c r="L31" s="520">
        <f t="shared" si="1"/>
        <v>-5.2104638481267784E-2</v>
      </c>
      <c r="M31" s="388"/>
      <c r="N31" s="587">
        <v>8</v>
      </c>
      <c r="O31" s="588">
        <v>-5</v>
      </c>
      <c r="P31" s="564">
        <f t="shared" ca="1" si="5"/>
        <v>8064.9665719729874</v>
      </c>
      <c r="Q31" s="565">
        <f t="shared" ca="1" si="2"/>
        <v>8187.7833217999869</v>
      </c>
      <c r="R31" s="564">
        <f t="shared" ca="1" si="6"/>
        <v>8310.6000716269864</v>
      </c>
      <c r="S31" s="388"/>
      <c r="T31" s="388"/>
      <c r="V31" s="357">
        <f t="shared" ca="1" si="7"/>
        <v>1.146289665051998</v>
      </c>
    </row>
    <row r="32" spans="1:22" ht="15" x14ac:dyDescent="0.25">
      <c r="A32" s="562">
        <v>9</v>
      </c>
      <c r="B32" s="563">
        <f t="shared" si="8"/>
        <v>-32</v>
      </c>
      <c r="C32" s="564">
        <f t="shared" si="3"/>
        <v>6756.085531791613</v>
      </c>
      <c r="D32" s="564">
        <f>IF(B32 &lt;= VLOOKUP(Main!$N$22,Coefficients!$E$2:$H$28,4,FALSE),E32,NA())</f>
        <v>6858.9700830371703</v>
      </c>
      <c r="E32" s="437">
        <f>'4th Order Polynomial Tmp vs Res'!$B$40+'4th Order Polynomial Tmp vs Res'!$C$40*POWER(B32,1)+'4th Order Polynomial Tmp vs Res'!$D$40*POWER(B32,2)+'4th Order Polynomial Tmp vs Res'!$E$40*POWER(B32,3)+'4th Order Polynomial Tmp vs Res'!$F$40*POWER(B32,4)</f>
        <v>6858.9700830371703</v>
      </c>
      <c r="F32" s="564">
        <f t="shared" si="4"/>
        <v>6961.8546342827276</v>
      </c>
      <c r="G32" s="585">
        <f t="shared" si="0"/>
        <v>0.96025581162520379</v>
      </c>
      <c r="H32" s="388"/>
      <c r="I32" s="586"/>
      <c r="J32" s="388"/>
      <c r="K32" s="520">
        <f>'4th Order Polynomial Tmp vs Res'!$I$40*E32^4 + '4th Order Polynomial Tmp vs Res'!$J$40*E32^3 + '4th Order Polynomial Tmp vs Res'!$K$40*E32^2 + '4th Order Polynomial Tmp vs Res'!$L$40*E32 + '4th Order Polynomial Tmp vs Res'!$M$40</f>
        <v>-31.976062473247197</v>
      </c>
      <c r="L32" s="520">
        <f t="shared" si="1"/>
        <v>-2.3937526752803251E-2</v>
      </c>
      <c r="M32" s="388"/>
      <c r="N32" s="587">
        <v>9</v>
      </c>
      <c r="O32" s="588">
        <v>0</v>
      </c>
      <c r="P32" s="564">
        <f ca="1">IFERROR(Q32*0.99,NA())</f>
        <v>8375.2137051382797</v>
      </c>
      <c r="Q32" s="565">
        <f t="shared" ca="1" si="2"/>
        <v>8459.8118233719997</v>
      </c>
      <c r="R32" s="564">
        <f t="shared" ref="R32:R36" ca="1" si="9">IFERROR(Q32*1.01,NA())</f>
        <v>8544.4099416057197</v>
      </c>
      <c r="S32" s="388"/>
      <c r="T32" s="388"/>
      <c r="V32" s="357">
        <f t="shared" ca="1" si="7"/>
        <v>1.1843736552720798</v>
      </c>
    </row>
    <row r="33" spans="1:22" ht="15" x14ac:dyDescent="0.25">
      <c r="A33" s="562">
        <v>10</v>
      </c>
      <c r="B33" s="563">
        <f t="shared" si="8"/>
        <v>-31</v>
      </c>
      <c r="C33" s="564">
        <f t="shared" si="3"/>
        <v>6800.1821922610652</v>
      </c>
      <c r="D33" s="564">
        <f>IF(B33 &lt;= VLOOKUP(Main!$N$22,Coefficients!$E$2:$H$28,4,FALSE),E33,NA())</f>
        <v>6903.7382662548889</v>
      </c>
      <c r="E33" s="437">
        <f>'4th Order Polynomial Tmp vs Res'!$B$40+'4th Order Polynomial Tmp vs Res'!$C$40*POWER(B33,1)+'4th Order Polynomial Tmp vs Res'!$D$40*POWER(B33,2)+'4th Order Polynomial Tmp vs Res'!$E$40*POWER(B33,3)+'4th Order Polynomial Tmp vs Res'!$F$40*POWER(B33,4)</f>
        <v>6903.7382662548889</v>
      </c>
      <c r="F33" s="564">
        <f t="shared" si="4"/>
        <v>7007.2943402487117</v>
      </c>
      <c r="G33" s="585">
        <f t="shared" si="0"/>
        <v>0.96652335727568439</v>
      </c>
      <c r="H33" s="388"/>
      <c r="I33" s="586"/>
      <c r="J33" s="388"/>
      <c r="K33" s="520">
        <f>'4th Order Polynomial Tmp vs Res'!$I$40*E33^4 + '4th Order Polynomial Tmp vs Res'!$J$40*E33^3 + '4th Order Polynomial Tmp vs Res'!$K$40*E33^2 + '4th Order Polynomial Tmp vs Res'!$L$40*E33 + '4th Order Polynomial Tmp vs Res'!$M$40</f>
        <v>-31.001522934781008</v>
      </c>
      <c r="L33" s="520">
        <f t="shared" si="1"/>
        <v>1.5229347810077343E-3</v>
      </c>
      <c r="M33" s="388"/>
      <c r="N33" s="587">
        <v>10</v>
      </c>
      <c r="O33" s="588">
        <v>5</v>
      </c>
      <c r="P33" s="564">
        <f t="shared" ref="P33:P46" ca="1" si="10">IFERROR(Q33*0.99,NA())</f>
        <v>8652.1471687884477</v>
      </c>
      <c r="Q33" s="565">
        <f t="shared" ca="1" si="2"/>
        <v>8739.5425947358053</v>
      </c>
      <c r="R33" s="564">
        <f t="shared" ca="1" si="9"/>
        <v>8826.9380206831629</v>
      </c>
      <c r="S33" s="388"/>
      <c r="T33" s="388"/>
      <c r="V33" s="357">
        <f t="shared" ca="1" si="7"/>
        <v>1.2235359632630127</v>
      </c>
    </row>
    <row r="34" spans="1:22" ht="15" x14ac:dyDescent="0.25">
      <c r="A34" s="562">
        <v>11</v>
      </c>
      <c r="B34" s="563">
        <f t="shared" si="8"/>
        <v>-30</v>
      </c>
      <c r="C34" s="564">
        <f t="shared" si="3"/>
        <v>6844.6325198433633</v>
      </c>
      <c r="D34" s="564">
        <f>IF(B34 &lt;= VLOOKUP(Main!$N$22,Coefficients!$E$2:$H$28,4,FALSE),E34,NA())</f>
        <v>6948.8655023790488</v>
      </c>
      <c r="E34" s="437">
        <f>'4th Order Polynomial Tmp vs Res'!$B$40+'4th Order Polynomial Tmp vs Res'!$C$40*POWER(B34,1)+'4th Order Polynomial Tmp vs Res'!$D$40*POWER(B34,2)+'4th Order Polynomial Tmp vs Res'!$E$40*POWER(B34,3)+'4th Order Polynomial Tmp vs Res'!$F$40*POWER(B34,4)</f>
        <v>6948.8655023790488</v>
      </c>
      <c r="F34" s="564">
        <f t="shared" si="4"/>
        <v>7053.0984849147335</v>
      </c>
      <c r="G34" s="585">
        <f t="shared" si="0"/>
        <v>0.97284117033306672</v>
      </c>
      <c r="H34" s="388"/>
      <c r="I34" s="586"/>
      <c r="J34" s="388"/>
      <c r="K34" s="520">
        <f>'4th Order Polynomial Tmp vs Res'!$I$40*E34^4 + '4th Order Polynomial Tmp vs Res'!$J$40*E34^3 + '4th Order Polynomial Tmp vs Res'!$K$40*E34^2 + '4th Order Polynomial Tmp vs Res'!$L$40*E34 + '4th Order Polynomial Tmp vs Res'!$M$40</f>
        <v>-30.024406184107534</v>
      </c>
      <c r="L34" s="520">
        <f t="shared" si="1"/>
        <v>2.4406184107533591E-2</v>
      </c>
      <c r="M34" s="388"/>
      <c r="N34" s="587">
        <v>11</v>
      </c>
      <c r="O34" s="588">
        <v>10</v>
      </c>
      <c r="P34" s="564">
        <f t="shared" ca="1" si="10"/>
        <v>8936.5984393297749</v>
      </c>
      <c r="Q34" s="565">
        <f t="shared" ca="1" si="2"/>
        <v>9026.8671104341156</v>
      </c>
      <c r="R34" s="564">
        <f t="shared" ca="1" si="9"/>
        <v>9117.1357815384563</v>
      </c>
      <c r="S34" s="388"/>
      <c r="T34" s="388"/>
      <c r="V34" s="357">
        <f t="shared" ca="1" si="7"/>
        <v>1.263761395460776</v>
      </c>
    </row>
    <row r="35" spans="1:22" ht="15" x14ac:dyDescent="0.25">
      <c r="A35" s="562">
        <v>12</v>
      </c>
      <c r="B35" s="563">
        <f t="shared" si="8"/>
        <v>-29</v>
      </c>
      <c r="C35" s="564">
        <f t="shared" si="3"/>
        <v>6889.4342534698071</v>
      </c>
      <c r="D35" s="564">
        <f>IF(B35 &lt;= VLOOKUP(Main!$N$22,Coefficients!$E$2:$H$28,4,FALSE),E35,NA())</f>
        <v>6994.3494959084337</v>
      </c>
      <c r="E35" s="437">
        <f>'4th Order Polynomial Tmp vs Res'!$B$40+'4th Order Polynomial Tmp vs Res'!$C$40*POWER(B35,1)+'4th Order Polynomial Tmp vs Res'!$D$40*POWER(B35,2)+'4th Order Polynomial Tmp vs Res'!$E$40*POWER(B35,3)+'4th Order Polynomial Tmp vs Res'!$F$40*POWER(B35,4)</f>
        <v>6994.3494959084337</v>
      </c>
      <c r="F35" s="564">
        <f t="shared" si="4"/>
        <v>7099.2647383470594</v>
      </c>
      <c r="G35" s="585">
        <f t="shared" si="0"/>
        <v>0.97920892942718063</v>
      </c>
      <c r="H35" s="388"/>
      <c r="I35" s="586"/>
      <c r="J35" s="388"/>
      <c r="K35" s="520">
        <f>'4th Order Polynomial Tmp vs Res'!$I$40*E35^4 + '4th Order Polynomial Tmp vs Res'!$J$40*E35^3 + '4th Order Polynomial Tmp vs Res'!$K$40*E35^2 + '4th Order Polynomial Tmp vs Res'!$L$40*E35 + '4th Order Polynomial Tmp vs Res'!$M$40</f>
        <v>-29.044838654417362</v>
      </c>
      <c r="L35" s="520">
        <f t="shared" si="1"/>
        <v>4.4838654417361568E-2</v>
      </c>
      <c r="M35" s="388"/>
      <c r="N35" s="587">
        <v>12</v>
      </c>
      <c r="O35" s="588">
        <v>15</v>
      </c>
      <c r="P35" s="564">
        <f t="shared" ca="1" si="10"/>
        <v>9228.4868383888406</v>
      </c>
      <c r="Q35" s="565">
        <f t="shared" ca="1" si="2"/>
        <v>9321.7038771604457</v>
      </c>
      <c r="R35" s="564">
        <f t="shared" ca="1" si="9"/>
        <v>9414.9209159320508</v>
      </c>
      <c r="S35" s="388"/>
      <c r="T35" s="388"/>
      <c r="V35" s="357">
        <f t="shared" ca="1" si="7"/>
        <v>1.3050385428024622</v>
      </c>
    </row>
    <row r="36" spans="1:22" ht="15" x14ac:dyDescent="0.25">
      <c r="A36" s="562">
        <v>13</v>
      </c>
      <c r="B36" s="563">
        <f t="shared" si="8"/>
        <v>-28</v>
      </c>
      <c r="C36" s="564">
        <f t="shared" si="3"/>
        <v>6934.585174674362</v>
      </c>
      <c r="D36" s="564">
        <f>IF(B36 &lt;= VLOOKUP(Main!$N$22,Coefficients!$E$2:$H$28,4,FALSE),E36,NA())</f>
        <v>7040.1879945932606</v>
      </c>
      <c r="E36" s="437">
        <f>'4th Order Polynomial Tmp vs Res'!$B$40+'4th Order Polynomial Tmp vs Res'!$C$40*POWER(B36,1)+'4th Order Polynomial Tmp vs Res'!$D$40*POWER(B36,2)+'4th Order Polynomial Tmp vs Res'!$E$40*POWER(B36,3)+'4th Order Polynomial Tmp vs Res'!$F$40*POWER(B36,4)</f>
        <v>7040.1879945932606</v>
      </c>
      <c r="F36" s="564">
        <f t="shared" si="4"/>
        <v>7145.7908145121592</v>
      </c>
      <c r="G36" s="585">
        <f t="shared" si="0"/>
        <v>0.98562631924305644</v>
      </c>
      <c r="H36" s="388"/>
      <c r="I36" s="586"/>
      <c r="J36" s="388"/>
      <c r="K36" s="520">
        <f>'4th Order Polynomial Tmp vs Res'!$I$40*E36^4 + '4th Order Polynomial Tmp vs Res'!$J$40*E36^3 + '4th Order Polynomial Tmp vs Res'!$K$40*E36^2 + '4th Order Polynomial Tmp vs Res'!$L$40*E36 + '4th Order Polynomial Tmp vs Res'!$M$40</f>
        <v>-28.062943780144394</v>
      </c>
      <c r="L36" s="520">
        <f t="shared" si="1"/>
        <v>6.2943780144394168E-2</v>
      </c>
      <c r="M36" s="388"/>
      <c r="N36" s="587">
        <v>13</v>
      </c>
      <c r="O36" s="588">
        <v>20</v>
      </c>
      <c r="P36" s="564">
        <f t="shared" ca="1" si="10"/>
        <v>9527.7584494215389</v>
      </c>
      <c r="Q36" s="565">
        <f t="shared" ca="1" si="2"/>
        <v>9623.9984337591304</v>
      </c>
      <c r="R36" s="564">
        <f t="shared" ca="1" si="9"/>
        <v>9720.2384180967219</v>
      </c>
      <c r="S36" s="388"/>
      <c r="T36" s="388"/>
      <c r="V36" s="357">
        <f t="shared" ca="1" si="7"/>
        <v>1.347359780726278</v>
      </c>
    </row>
    <row r="37" spans="1:22" ht="15" x14ac:dyDescent="0.25">
      <c r="A37" s="562">
        <v>14</v>
      </c>
      <c r="B37" s="563">
        <f t="shared" si="8"/>
        <v>-27</v>
      </c>
      <c r="C37" s="564">
        <f t="shared" si="3"/>
        <v>6980.083107593663</v>
      </c>
      <c r="D37" s="564">
        <f>IF(B37 &lt;= VLOOKUP(Main!$N$22,Coefficients!$E$2:$H$28,4,FALSE),E37,NA())</f>
        <v>7086.3787894351908</v>
      </c>
      <c r="E37" s="437">
        <f>'4th Order Polynomial Tmp vs Res'!$B$40+'4th Order Polynomial Tmp vs Res'!$C$40*POWER(B37,1)+'4th Order Polynomial Tmp vs Res'!$D$40*POWER(B37,2)+'4th Order Polynomial Tmp vs Res'!$E$40*POWER(B37,3)+'4th Order Polynomial Tmp vs Res'!$F$40*POWER(B37,4)</f>
        <v>7086.3787894351908</v>
      </c>
      <c r="F37" s="564">
        <f t="shared" si="4"/>
        <v>7192.6744712767177</v>
      </c>
      <c r="G37" s="585">
        <f t="shared" si="0"/>
        <v>0.99209303052092668</v>
      </c>
      <c r="H37" s="388"/>
      <c r="I37" s="586"/>
      <c r="J37" s="388"/>
      <c r="K37" s="520">
        <f>'4th Order Polynomial Tmp vs Res'!$I$40*E37^4 + '4th Order Polynomial Tmp vs Res'!$J$40*E37^3 + '4th Order Polynomial Tmp vs Res'!$K$40*E37^2 + '4th Order Polynomial Tmp vs Res'!$L$40*E37 + '4th Order Polynomial Tmp vs Res'!$M$40</f>
        <v>-27.078842004353874</v>
      </c>
      <c r="L37" s="520">
        <f t="shared" si="1"/>
        <v>7.8842004353873563E-2</v>
      </c>
      <c r="M37" s="388"/>
      <c r="N37" s="587">
        <v>14</v>
      </c>
      <c r="O37" s="589">
        <v>25</v>
      </c>
      <c r="P37" s="564">
        <f t="shared" ca="1" si="10"/>
        <v>9834.3861177130639</v>
      </c>
      <c r="Q37" s="565">
        <f t="shared" ca="1" si="2"/>
        <v>9933.7233512253169</v>
      </c>
      <c r="R37" s="564">
        <f ca="1">IFERROR(Q37*1.01,NA())</f>
        <v>10033.06058473757</v>
      </c>
      <c r="S37" s="388"/>
      <c r="T37" s="388"/>
      <c r="V37" s="357">
        <f t="shared" ca="1" si="7"/>
        <v>1.3907212691715443</v>
      </c>
    </row>
    <row r="38" spans="1:22" ht="15" x14ac:dyDescent="0.25">
      <c r="A38" s="562">
        <v>15</v>
      </c>
      <c r="B38" s="563">
        <f t="shared" si="8"/>
        <v>-26</v>
      </c>
      <c r="C38" s="564">
        <f t="shared" si="3"/>
        <v>7025.9259189670192</v>
      </c>
      <c r="D38" s="564">
        <f>IF(B38 &lt;= VLOOKUP(Main!$N$22,Coefficients!$E$2:$H$28,4,FALSE),E38,NA())</f>
        <v>7132.9197146873294</v>
      </c>
      <c r="E38" s="437">
        <f>'4th Order Polynomial Tmp vs Res'!$B$40+'4th Order Polynomial Tmp vs Res'!$C$40*POWER(B38,1)+'4th Order Polynomial Tmp vs Res'!$D$40*POWER(B38,2)+'4th Order Polynomial Tmp vs Res'!$E$40*POWER(B38,3)+'4th Order Polynomial Tmp vs Res'!$F$40*POWER(B38,4)</f>
        <v>7132.9197146873294</v>
      </c>
      <c r="F38" s="564">
        <f t="shared" si="4"/>
        <v>7239.9135104076386</v>
      </c>
      <c r="G38" s="585">
        <f t="shared" si="0"/>
        <v>0.99860876005622601</v>
      </c>
      <c r="H38" s="388"/>
      <c r="I38" s="586"/>
      <c r="J38" s="388"/>
      <c r="K38" s="520">
        <f>'4th Order Polynomial Tmp vs Res'!$I$40*E38^4 + '4th Order Polynomial Tmp vs Res'!$J$40*E38^3 + '4th Order Polynomial Tmp vs Res'!$K$40*E38^2 + '4th Order Polynomial Tmp vs Res'!$L$40*E38 + '4th Order Polynomial Tmp vs Res'!$M$40</f>
        <v>-26.092650787439624</v>
      </c>
      <c r="L38" s="520">
        <f t="shared" si="1"/>
        <v>9.2650787439623628E-2</v>
      </c>
      <c r="M38" s="388"/>
      <c r="N38" s="587">
        <v>15</v>
      </c>
      <c r="O38" s="588">
        <v>30</v>
      </c>
      <c r="P38" s="564">
        <f t="shared" ca="1" si="10"/>
        <v>10148.369450377919</v>
      </c>
      <c r="Q38" s="565">
        <f t="shared" ca="1" si="2"/>
        <v>10250.878232704968</v>
      </c>
      <c r="R38" s="564">
        <f t="shared" ref="R38:R46" ca="1" si="11">IFERROR(Q38*1.01,NA())</f>
        <v>10353.387015032018</v>
      </c>
      <c r="S38" s="388"/>
      <c r="T38" s="388"/>
      <c r="V38" s="357">
        <f t="shared" ca="1" si="7"/>
        <v>1.4351229525786955</v>
      </c>
    </row>
    <row r="39" spans="1:22" ht="15" x14ac:dyDescent="0.25">
      <c r="A39" s="562">
        <v>16</v>
      </c>
      <c r="B39" s="563">
        <f t="shared" si="8"/>
        <v>-25</v>
      </c>
      <c r="C39" s="564">
        <f t="shared" si="3"/>
        <v>7072.1115181364057</v>
      </c>
      <c r="D39" s="564">
        <f>IF(B39 &lt;= VLOOKUP(Main!$N$22,Coefficients!$E$2:$H$28,4,FALSE),E39,NA())</f>
        <v>7179.8086478542191</v>
      </c>
      <c r="E39" s="437">
        <f>'4th Order Polynomial Tmp vs Res'!$B$40+'4th Order Polynomial Tmp vs Res'!$C$40*POWER(B39,1)+'4th Order Polynomial Tmp vs Res'!$D$40*POWER(B39,2)+'4th Order Polynomial Tmp vs Res'!$E$40*POWER(B39,3)+'4th Order Polynomial Tmp vs Res'!$F$40*POWER(B39,4)</f>
        <v>7179.8086478542191</v>
      </c>
      <c r="F39" s="564">
        <f t="shared" si="4"/>
        <v>7287.5057775720315</v>
      </c>
      <c r="G39" s="585">
        <f t="shared" si="0"/>
        <v>1.0051732106995905</v>
      </c>
      <c r="H39" s="388"/>
      <c r="I39" s="586"/>
      <c r="J39" s="388"/>
      <c r="K39" s="520">
        <f>'4th Order Polynomial Tmp vs Res'!$I$40*E39^4 + '4th Order Polynomial Tmp vs Res'!$J$40*E39^3 + '4th Order Polynomial Tmp vs Res'!$K$40*E39^2 + '4th Order Polynomial Tmp vs Res'!$L$40*E39 + '4th Order Polynomial Tmp vs Res'!$M$40</f>
        <v>-25.104484617092652</v>
      </c>
      <c r="L39" s="520">
        <f t="shared" si="1"/>
        <v>0.10448461709265189</v>
      </c>
      <c r="M39" s="388"/>
      <c r="N39" s="587">
        <v>16</v>
      </c>
      <c r="O39" s="588">
        <v>35</v>
      </c>
      <c r="P39" s="564">
        <f t="shared" ca="1" si="10"/>
        <v>10469.734816359911</v>
      </c>
      <c r="Q39" s="565">
        <f t="shared" ca="1" si="2"/>
        <v>10575.489713494859</v>
      </c>
      <c r="R39" s="564">
        <f t="shared" ca="1" si="11"/>
        <v>10681.244610629807</v>
      </c>
      <c r="S39" s="388"/>
      <c r="T39" s="388"/>
      <c r="V39" s="357">
        <f t="shared" ca="1" si="7"/>
        <v>1.4805685598892802</v>
      </c>
    </row>
    <row r="40" spans="1:22" ht="15" x14ac:dyDescent="0.25">
      <c r="A40" s="562">
        <v>17</v>
      </c>
      <c r="B40" s="563">
        <f t="shared" si="8"/>
        <v>-24</v>
      </c>
      <c r="C40" s="564">
        <f t="shared" si="3"/>
        <v>7118.6378570464649</v>
      </c>
      <c r="D40" s="564">
        <f>IF(B40 &lt;= VLOOKUP(Main!$N$22,Coefficients!$E$2:$H$28,4,FALSE),E40,NA())</f>
        <v>7227.0435096918427</v>
      </c>
      <c r="E40" s="437">
        <f>'4th Order Polynomial Tmp vs Res'!$B$40+'4th Order Polynomial Tmp vs Res'!$C$40*POWER(B40,1)+'4th Order Polynomial Tmp vs Res'!$D$40*POWER(B40,2)+'4th Order Polynomial Tmp vs Res'!$E$40*POWER(B40,3)+'4th Order Polynomial Tmp vs Res'!$F$40*POWER(B40,4)</f>
        <v>7227.0435096918427</v>
      </c>
      <c r="F40" s="564">
        <f t="shared" si="4"/>
        <v>7335.4491623372196</v>
      </c>
      <c r="G40" s="585">
        <f t="shared" si="0"/>
        <v>1.0117860913568579</v>
      </c>
      <c r="H40" s="388"/>
      <c r="I40" s="586"/>
      <c r="J40" s="388"/>
      <c r="K40" s="520">
        <f>'4th Order Polynomial Tmp vs Res'!$I$40*E40^4 + '4th Order Polynomial Tmp vs Res'!$J$40*E40^3 + '4th Order Polynomial Tmp vs Res'!$K$40*E40^2 + '4th Order Polynomial Tmp vs Res'!$L$40*E40 + '4th Order Polynomial Tmp vs Res'!$M$40</f>
        <v>-24.11445501950277</v>
      </c>
      <c r="L40" s="520">
        <f t="shared" si="1"/>
        <v>0.11445501950277048</v>
      </c>
      <c r="M40" s="388"/>
      <c r="N40" s="587">
        <v>17</v>
      </c>
      <c r="O40" s="588">
        <v>40</v>
      </c>
      <c r="P40" s="564">
        <f t="shared" ca="1" si="10"/>
        <v>10798.535346432149</v>
      </c>
      <c r="Q40" s="565">
        <f t="shared" ca="1" si="2"/>
        <v>10907.611461042574</v>
      </c>
      <c r="R40" s="564">
        <f t="shared" ca="1" si="11"/>
        <v>11016.687575652999</v>
      </c>
      <c r="S40" s="388"/>
      <c r="T40" s="388"/>
      <c r="V40" s="357">
        <f t="shared" ca="1" si="7"/>
        <v>1.5270656045459603</v>
      </c>
    </row>
    <row r="41" spans="1:22" ht="15" x14ac:dyDescent="0.25">
      <c r="A41" s="562">
        <v>18</v>
      </c>
      <c r="B41" s="563">
        <f t="shared" si="8"/>
        <v>-23</v>
      </c>
      <c r="C41" s="564">
        <f t="shared" si="3"/>
        <v>7165.5029302445155</v>
      </c>
      <c r="D41" s="564">
        <f>IF(B41 &lt;= VLOOKUP(Main!$N$22,Coefficients!$E$2:$H$28,4,FALSE),E41,NA())</f>
        <v>7274.62226420763</v>
      </c>
      <c r="E41" s="437">
        <f>'4th Order Polynomial Tmp vs Res'!$B$40+'4th Order Polynomial Tmp vs Res'!$C$40*POWER(B41,1)+'4th Order Polynomial Tmp vs Res'!$D$40*POWER(B41,2)+'4th Order Polynomial Tmp vs Res'!$E$40*POWER(B41,3)+'4th Order Polynomial Tmp vs Res'!$F$40*POWER(B41,4)</f>
        <v>7274.62226420763</v>
      </c>
      <c r="F41" s="564">
        <f t="shared" si="4"/>
        <v>7383.7415981707436</v>
      </c>
      <c r="G41" s="585">
        <f t="shared" si="0"/>
        <v>1.0184471169890681</v>
      </c>
      <c r="H41" s="388"/>
      <c r="I41" s="586"/>
      <c r="J41" s="388"/>
      <c r="K41" s="520">
        <f>'4th Order Polynomial Tmp vs Res'!$I$40*E41^4 + '4th Order Polynomial Tmp vs Res'!$J$40*E41^3 + '4th Order Polynomial Tmp vs Res'!$K$40*E41^2 + '4th Order Polynomial Tmp vs Res'!$L$40*E41 + '4th Order Polynomial Tmp vs Res'!$M$40</f>
        <v>-23.122670571755094</v>
      </c>
      <c r="L41" s="520">
        <f t="shared" si="1"/>
        <v>0.12267057175509422</v>
      </c>
      <c r="M41" s="388"/>
      <c r="N41" s="587">
        <v>18</v>
      </c>
      <c r="O41" s="588">
        <v>45</v>
      </c>
      <c r="P41" s="564">
        <f t="shared" ca="1" si="10"/>
        <v>11134.850933197051</v>
      </c>
      <c r="Q41" s="565">
        <f t="shared" ca="1" si="2"/>
        <v>11247.324174946516</v>
      </c>
      <c r="R41" s="564">
        <f t="shared" ca="1" si="11"/>
        <v>11359.797416695981</v>
      </c>
      <c r="S41" s="388"/>
      <c r="T41" s="388"/>
      <c r="V41" s="357">
        <f t="shared" ca="1" si="7"/>
        <v>1.574625384492512</v>
      </c>
    </row>
    <row r="42" spans="1:22" ht="15" x14ac:dyDescent="0.25">
      <c r="A42" s="562">
        <v>19</v>
      </c>
      <c r="B42" s="563">
        <f t="shared" si="8"/>
        <v>-22</v>
      </c>
      <c r="C42" s="564">
        <f t="shared" si="3"/>
        <v>7212.7047748805408</v>
      </c>
      <c r="D42" s="564">
        <f>IF(B42 &lt;= VLOOKUP(Main!$N$22,Coefficients!$E$2:$H$28,4,FALSE),E42,NA())</f>
        <v>7322.5429186604479</v>
      </c>
      <c r="E42" s="437">
        <f>'4th Order Polynomial Tmp vs Res'!$B$40+'4th Order Polynomial Tmp vs Res'!$C$40*POWER(B42,1)+'4th Order Polynomial Tmp vs Res'!$D$40*POWER(B42,2)+'4th Order Polynomial Tmp vs Res'!$E$40*POWER(B42,3)+'4th Order Polynomial Tmp vs Res'!$F$40*POWER(B42,4)</f>
        <v>7322.5429186604479</v>
      </c>
      <c r="F42" s="564">
        <f t="shared" si="4"/>
        <v>7432.3810624403541</v>
      </c>
      <c r="G42" s="585">
        <f t="shared" si="0"/>
        <v>1.0251560086124627</v>
      </c>
      <c r="H42" s="388"/>
      <c r="I42" s="586"/>
      <c r="J42" s="388"/>
      <c r="K42" s="520">
        <f>'4th Order Polynomial Tmp vs Res'!$I$40*E42^4 + '4th Order Polynomial Tmp vs Res'!$J$40*E42^3 + '4th Order Polynomial Tmp vs Res'!$K$40*E42^2 + '4th Order Polynomial Tmp vs Res'!$L$40*E42 + '4th Order Polynomial Tmp vs Res'!$M$40</f>
        <v>-22.129236915385917</v>
      </c>
      <c r="L42" s="520">
        <f t="shared" si="1"/>
        <v>0.12923691538591697</v>
      </c>
      <c r="M42" s="388"/>
      <c r="N42" s="587">
        <v>19</v>
      </c>
      <c r="O42" s="588">
        <v>50</v>
      </c>
      <c r="P42" s="564">
        <f t="shared" ca="1" si="10"/>
        <v>11478.788231086342</v>
      </c>
      <c r="Q42" s="565">
        <f t="shared" ca="1" si="2"/>
        <v>11594.735586955901</v>
      </c>
      <c r="R42" s="564">
        <f t="shared" ca="1" si="11"/>
        <v>11710.68294282546</v>
      </c>
      <c r="S42" s="388"/>
      <c r="T42" s="388"/>
      <c r="V42" s="357">
        <f t="shared" ca="1" si="7"/>
        <v>1.623262982173826</v>
      </c>
    </row>
    <row r="43" spans="1:22" ht="15" x14ac:dyDescent="0.25">
      <c r="A43" s="562">
        <v>20</v>
      </c>
      <c r="B43" s="563">
        <f t="shared" si="8"/>
        <v>-21</v>
      </c>
      <c r="C43" s="564">
        <f t="shared" si="3"/>
        <v>7260.2414707071948</v>
      </c>
      <c r="D43" s="564">
        <f>IF(B43 &lt;= VLOOKUP(Main!$N$22,Coefficients!$E$2:$H$28,4,FALSE),E43,NA())</f>
        <v>7370.8035235606039</v>
      </c>
      <c r="E43" s="437">
        <f>'4th Order Polynomial Tmp vs Res'!$B$40+'4th Order Polynomial Tmp vs Res'!$C$40*POWER(B43,1)+'4th Order Polynomial Tmp vs Res'!$D$40*POWER(B43,2)+'4th Order Polynomial Tmp vs Res'!$E$40*POWER(B43,3)+'4th Order Polynomial Tmp vs Res'!$F$40*POWER(B43,4)</f>
        <v>7370.8035235606039</v>
      </c>
      <c r="F43" s="564">
        <f t="shared" si="4"/>
        <v>7481.3655764140121</v>
      </c>
      <c r="G43" s="585">
        <f t="shared" si="0"/>
        <v>1.0319124932984844</v>
      </c>
      <c r="H43" s="388"/>
      <c r="I43" s="586"/>
      <c r="J43" s="388"/>
      <c r="K43" s="520">
        <f>'4th Order Polynomial Tmp vs Res'!$I$40*E43^4 + '4th Order Polynomial Tmp vs Res'!$J$40*E43^3 + '4th Order Polynomial Tmp vs Res'!$K$40*E43^2 + '4th Order Polynomial Tmp vs Res'!$L$40*E43 + '4th Order Polynomial Tmp vs Res'!$M$40</f>
        <v>-21.134256771060336</v>
      </c>
      <c r="L43" s="520">
        <f t="shared" si="1"/>
        <v>0.13425677106033618</v>
      </c>
      <c r="M43" s="388"/>
      <c r="N43" s="587">
        <v>20</v>
      </c>
      <c r="O43" s="588">
        <v>55</v>
      </c>
      <c r="P43" s="564">
        <f t="shared" ca="1" si="10"/>
        <v>11830.480656361045</v>
      </c>
      <c r="Q43" s="565">
        <f t="shared" ca="1" si="2"/>
        <v>11949.980460970753</v>
      </c>
      <c r="R43" s="564">
        <f t="shared" ca="1" si="11"/>
        <v>12069.480265580461</v>
      </c>
      <c r="S43" s="388"/>
      <c r="T43" s="388"/>
      <c r="V43" s="357">
        <f t="shared" ca="1" si="7"/>
        <v>1.6729972645359052</v>
      </c>
    </row>
    <row r="44" spans="1:22" ht="15" x14ac:dyDescent="0.25">
      <c r="A44" s="562">
        <v>21</v>
      </c>
      <c r="B44" s="563">
        <f t="shared" si="8"/>
        <v>-20</v>
      </c>
      <c r="C44" s="564">
        <f t="shared" si="3"/>
        <v>7308.1111400798027</v>
      </c>
      <c r="D44" s="564">
        <f>IF(B44 &lt;= VLOOKUP(Main!$N$22,Coefficients!$E$2:$H$28,4,FALSE),E44,NA())</f>
        <v>7419.4021726698502</v>
      </c>
      <c r="E44" s="437">
        <f>'4th Order Polynomial Tmp vs Res'!$B$40+'4th Order Polynomial Tmp vs Res'!$C$40*POWER(B44,1)+'4th Order Polynomial Tmp vs Res'!$D$40*POWER(B44,2)+'4th Order Polynomial Tmp vs Res'!$E$40*POWER(B44,3)+'4th Order Polynomial Tmp vs Res'!$F$40*POWER(B44,4)</f>
        <v>7419.4021726698502</v>
      </c>
      <c r="F44" s="564">
        <f t="shared" si="4"/>
        <v>7530.6932052598968</v>
      </c>
      <c r="G44" s="585">
        <f t="shared" si="0"/>
        <v>1.038716304173779</v>
      </c>
      <c r="H44" s="388"/>
      <c r="I44" s="586"/>
      <c r="J44" s="388"/>
      <c r="K44" s="520">
        <f>'4th Order Polynomial Tmp vs Res'!$I$40*E44^4 + '4th Order Polynomial Tmp vs Res'!$J$40*E44^3 + '4th Order Polynomial Tmp vs Res'!$K$40*E44^2 + '4th Order Polynomial Tmp vs Res'!$L$40*E44 + '4th Order Polynomial Tmp vs Res'!$M$40</f>
        <v>-20.137829954336951</v>
      </c>
      <c r="L44" s="520">
        <f t="shared" si="1"/>
        <v>0.13782995433695078</v>
      </c>
      <c r="M44" s="388"/>
      <c r="N44" s="587">
        <v>21</v>
      </c>
      <c r="O44" s="588">
        <v>60</v>
      </c>
      <c r="P44" s="564">
        <f t="shared" ca="1" si="10"/>
        <v>12190.088387111502</v>
      </c>
      <c r="Q44" s="565">
        <f t="shared" ca="1" si="2"/>
        <v>12313.22059304192</v>
      </c>
      <c r="R44" s="564">
        <f t="shared" ca="1" si="11"/>
        <v>12436.352798972339</v>
      </c>
      <c r="S44" s="388"/>
      <c r="T44" s="388"/>
      <c r="V44" s="357">
        <f t="shared" ca="1" si="7"/>
        <v>1.7238508830258688</v>
      </c>
    </row>
    <row r="45" spans="1:22" ht="15" x14ac:dyDescent="0.25">
      <c r="A45" s="562">
        <v>22</v>
      </c>
      <c r="B45" s="563">
        <f t="shared" si="8"/>
        <v>-19</v>
      </c>
      <c r="C45" s="564">
        <f t="shared" si="3"/>
        <v>7356.3119479563575</v>
      </c>
      <c r="D45" s="564">
        <f>IF(B45 &lt;= VLOOKUP(Main!$N$22,Coefficients!$E$2:$H$28,4,FALSE),E45,NA())</f>
        <v>7468.3370030013784</v>
      </c>
      <c r="E45" s="437">
        <f>'4th Order Polynomial Tmp vs Res'!$B$40+'4th Order Polynomial Tmp vs Res'!$C$40*POWER(B45,1)+'4th Order Polynomial Tmp vs Res'!$D$40*POWER(B45,2)+'4th Order Polynomial Tmp vs Res'!$E$40*POWER(B45,3)+'4th Order Polynomial Tmp vs Res'!$F$40*POWER(B45,4)</f>
        <v>7468.3370030013784</v>
      </c>
      <c r="F45" s="564">
        <f t="shared" si="4"/>
        <v>7580.3620580463985</v>
      </c>
      <c r="G45" s="585">
        <f t="shared" si="0"/>
        <v>1.0455671804201929</v>
      </c>
      <c r="H45" s="388"/>
      <c r="I45" s="586"/>
      <c r="J45" s="388"/>
      <c r="K45" s="520">
        <f>'4th Order Polynomial Tmp vs Res'!$I$40*E45^4 + '4th Order Polynomial Tmp vs Res'!$J$40*E45^3 + '4th Order Polynomial Tmp vs Res'!$K$40*E45^2 + '4th Order Polynomial Tmp vs Res'!$L$40*E45 + '4th Order Polynomial Tmp vs Res'!$M$40</f>
        <v>-19.140053392482969</v>
      </c>
      <c r="L45" s="520">
        <f t="shared" si="1"/>
        <v>0.14005339248296877</v>
      </c>
      <c r="M45" s="388"/>
      <c r="N45" s="587">
        <v>22</v>
      </c>
      <c r="O45" s="588">
        <v>65</v>
      </c>
      <c r="P45" s="564">
        <f t="shared" ca="1" si="10"/>
        <v>12557.798363257347</v>
      </c>
      <c r="Q45" s="565">
        <f t="shared" ca="1" si="2"/>
        <v>12684.644811371058</v>
      </c>
      <c r="R45" s="564">
        <f t="shared" ca="1" si="11"/>
        <v>12811.491259484768</v>
      </c>
      <c r="S45" s="388"/>
      <c r="T45" s="388"/>
      <c r="V45" s="357">
        <f t="shared" ca="1" si="7"/>
        <v>1.7758502735919479</v>
      </c>
    </row>
    <row r="46" spans="1:22" ht="15" x14ac:dyDescent="0.25">
      <c r="A46" s="562">
        <v>23</v>
      </c>
      <c r="B46" s="563">
        <f t="shared" si="8"/>
        <v>-18</v>
      </c>
      <c r="C46" s="564">
        <f t="shared" si="3"/>
        <v>7404.8421018975232</v>
      </c>
      <c r="D46" s="564">
        <f>IF(B46 &lt;= VLOOKUP(Main!$N$22,Coefficients!$E$2:$H$28,4,FALSE),E46,NA())</f>
        <v>7517.6061948198203</v>
      </c>
      <c r="E46" s="437">
        <f>'4th Order Polynomial Tmp vs Res'!$B$40+'4th Order Polynomial Tmp vs Res'!$C$40*POWER(B46,1)+'4th Order Polynomial Tmp vs Res'!$D$40*POWER(B46,2)+'4th Order Polynomial Tmp vs Res'!$E$40*POWER(B46,3)+'4th Order Polynomial Tmp vs Res'!$F$40*POWER(B46,4)</f>
        <v>7517.6061948198203</v>
      </c>
      <c r="F46" s="564">
        <f t="shared" si="4"/>
        <v>7630.3702877421165</v>
      </c>
      <c r="G46" s="585">
        <f t="shared" si="0"/>
        <v>1.0524648672747747</v>
      </c>
      <c r="H46" s="388"/>
      <c r="I46" s="586"/>
      <c r="J46" s="388"/>
      <c r="K46" s="520">
        <f>'4th Order Polynomial Tmp vs Res'!$I$40*E46^4 + '4th Order Polynomial Tmp vs Res'!$J$40*E46^3 + '4th Order Polynomial Tmp vs Res'!$K$40*E46^2 + '4th Order Polynomial Tmp vs Res'!$L$40*E46 + '4th Order Polynomial Tmp vs Res'!$M$40</f>
        <v>-18.141021142308091</v>
      </c>
      <c r="L46" s="520">
        <f t="shared" si="1"/>
        <v>0.14102114230809093</v>
      </c>
      <c r="M46" s="388"/>
      <c r="N46" s="587">
        <v>23</v>
      </c>
      <c r="O46" s="588">
        <v>70</v>
      </c>
      <c r="P46" s="564">
        <f t="shared" ca="1" si="10"/>
        <v>12933.824286547522</v>
      </c>
      <c r="Q46" s="565">
        <f t="shared" ca="1" si="2"/>
        <v>13064.468976310629</v>
      </c>
      <c r="R46" s="564">
        <f t="shared" ca="1" si="11"/>
        <v>13195.113666073736</v>
      </c>
      <c r="S46" s="388"/>
      <c r="T46" s="388"/>
      <c r="V46" s="357">
        <f t="shared" ca="1" si="7"/>
        <v>1.8290256566834879</v>
      </c>
    </row>
    <row r="47" spans="1:22" ht="15" x14ac:dyDescent="0.25">
      <c r="A47" s="562">
        <v>24</v>
      </c>
      <c r="B47" s="563">
        <f t="shared" si="8"/>
        <v>-17</v>
      </c>
      <c r="C47" s="564">
        <f t="shared" si="3"/>
        <v>7453.699852066633</v>
      </c>
      <c r="D47" s="564">
        <f>IF(B47 &lt;= VLOOKUP(Main!$N$22,Coefficients!$E$2:$H$28,4,FALSE),E47,NA())</f>
        <v>7567.2079716412518</v>
      </c>
      <c r="E47" s="437">
        <f>'4th Order Polynomial Tmp vs Res'!$B$40+'4th Order Polynomial Tmp vs Res'!$C$40*POWER(B47,1)+'4th Order Polynomial Tmp vs Res'!$D$40*POWER(B47,2)+'4th Order Polynomial Tmp vs Res'!$E$40*POWER(B47,3)+'4th Order Polynomial Tmp vs Res'!$F$40*POWER(B47,4)</f>
        <v>7567.2079716412518</v>
      </c>
      <c r="F47" s="564">
        <f t="shared" si="4"/>
        <v>7680.7160912158697</v>
      </c>
      <c r="G47" s="585">
        <f t="shared" si="0"/>
        <v>1.0594091160297752</v>
      </c>
      <c r="H47" s="388"/>
      <c r="I47" s="586"/>
      <c r="J47" s="388"/>
      <c r="K47" s="520">
        <f>'4th Order Polynomial Tmp vs Res'!$I$40*E47^4 + '4th Order Polynomial Tmp vs Res'!$J$40*E47^3 + '4th Order Polynomial Tmp vs Res'!$K$40*E47^2 + '4th Order Polynomial Tmp vs Res'!$L$40*E47 + '4th Order Polynomial Tmp vs Res'!$M$40</f>
        <v>-17.140824408979597</v>
      </c>
      <c r="L47" s="520">
        <f t="shared" si="1"/>
        <v>0.14082440897959714</v>
      </c>
      <c r="M47" s="388"/>
      <c r="N47" s="587">
        <v>24</v>
      </c>
      <c r="O47" s="588">
        <v>75</v>
      </c>
      <c r="P47" s="564">
        <f t="shared" ca="1" si="5"/>
        <v>13251.141940658461</v>
      </c>
      <c r="Q47" s="565">
        <f t="shared" ca="1" si="2"/>
        <v>13452.93598036392</v>
      </c>
      <c r="R47" s="564">
        <f t="shared" ca="1" si="6"/>
        <v>13654.730020069377</v>
      </c>
      <c r="S47" s="388"/>
      <c r="T47" s="388"/>
      <c r="V47" s="357">
        <f t="shared" ca="1" si="7"/>
        <v>1.8834110372509487</v>
      </c>
    </row>
    <row r="48" spans="1:22" ht="15" x14ac:dyDescent="0.25">
      <c r="A48" s="562">
        <v>25</v>
      </c>
      <c r="B48" s="563">
        <f t="shared" si="8"/>
        <v>-16</v>
      </c>
      <c r="C48" s="564">
        <f t="shared" si="3"/>
        <v>7502.8834912296907</v>
      </c>
      <c r="D48" s="564">
        <f>IF(B48 &lt;= VLOOKUP(Main!$N$22,Coefficients!$E$2:$H$28,4,FALSE),E48,NA())</f>
        <v>7617.1406002331887</v>
      </c>
      <c r="E48" s="437">
        <f>'4th Order Polynomial Tmp vs Res'!$B$40+'4th Order Polynomial Tmp vs Res'!$C$40*POWER(B48,1)+'4th Order Polynomial Tmp vs Res'!$D$40*POWER(B48,2)+'4th Order Polynomial Tmp vs Res'!$E$40*POWER(B48,3)+'4th Order Polynomial Tmp vs Res'!$F$40*POWER(B48,4)</f>
        <v>7617.1406002331887</v>
      </c>
      <c r="F48" s="564">
        <f t="shared" si="4"/>
        <v>7731.3977092366858</v>
      </c>
      <c r="G48" s="585">
        <f t="shared" si="0"/>
        <v>1.0663996840326464</v>
      </c>
      <c r="H48" s="388"/>
      <c r="I48" s="586"/>
      <c r="J48" s="388"/>
      <c r="K48" s="520">
        <f>'4th Order Polynomial Tmp vs Res'!$I$40*E48^4 + '4th Order Polynomial Tmp vs Res'!$J$40*E48^3 + '4th Order Polynomial Tmp vs Res'!$K$40*E48^2 + '4th Order Polynomial Tmp vs Res'!$L$40*E48 + '4th Order Polynomial Tmp vs Res'!$M$40</f>
        <v>-16.13955156578902</v>
      </c>
      <c r="L48" s="520">
        <f t="shared" si="1"/>
        <v>0.13955156578902006</v>
      </c>
      <c r="M48" s="388"/>
      <c r="N48" s="587">
        <v>25</v>
      </c>
      <c r="O48" s="588">
        <v>80</v>
      </c>
      <c r="P48" s="564">
        <f t="shared" ca="1" si="5"/>
        <v>13642.561011962251</v>
      </c>
      <c r="Q48" s="565">
        <f t="shared" ca="1" si="2"/>
        <v>13850.315748185027</v>
      </c>
      <c r="R48" s="564">
        <f t="shared" ca="1" si="6"/>
        <v>14058.070484407801</v>
      </c>
      <c r="S48" s="388"/>
      <c r="T48" s="388"/>
      <c r="V48" s="357">
        <f t="shared" ca="1" si="7"/>
        <v>1.9390442047459036</v>
      </c>
    </row>
    <row r="49" spans="1:22" ht="15" x14ac:dyDescent="0.25">
      <c r="A49" s="562">
        <v>26</v>
      </c>
      <c r="B49" s="563">
        <f t="shared" si="8"/>
        <v>-15</v>
      </c>
      <c r="C49" s="564">
        <f t="shared" si="3"/>
        <v>7552.3913547553675</v>
      </c>
      <c r="D49" s="564">
        <f>IF(B49 &lt;= VLOOKUP(Main!$N$22,Coefficients!$E$2:$H$28,4,FALSE),E49,NA())</f>
        <v>7667.4023906145867</v>
      </c>
      <c r="E49" s="437">
        <f>'4th Order Polynomial Tmp vs Res'!$B$40+'4th Order Polynomial Tmp vs Res'!$C$40*POWER(B49,1)+'4th Order Polynomial Tmp vs Res'!$D$40*POWER(B49,2)+'4th Order Polynomial Tmp vs Res'!$E$40*POWER(B49,3)+'4th Order Polynomial Tmp vs Res'!$F$40*POWER(B49,4)</f>
        <v>7667.4023906145867</v>
      </c>
      <c r="F49" s="564">
        <f t="shared" si="4"/>
        <v>7782.413426473805</v>
      </c>
      <c r="G49" s="585">
        <f t="shared" si="0"/>
        <v>1.073436334686042</v>
      </c>
      <c r="H49" s="388"/>
      <c r="I49" s="586"/>
      <c r="J49" s="388"/>
      <c r="K49" s="520">
        <f>'4th Order Polynomial Tmp vs Res'!$I$40*E49^4 + '4th Order Polynomial Tmp vs Res'!$J$40*E49^3 + '4th Order Polynomial Tmp vs Res'!$K$40*E49^2 + '4th Order Polynomial Tmp vs Res'!$L$40*E49 + '4th Order Polynomial Tmp vs Res'!$M$40</f>
        <v>-15.137288174835703</v>
      </c>
      <c r="L49" s="520">
        <f t="shared" si="1"/>
        <v>0.1372881748357031</v>
      </c>
      <c r="M49" s="388"/>
      <c r="N49" s="587">
        <v>26</v>
      </c>
      <c r="O49" s="588">
        <v>85</v>
      </c>
      <c r="P49" s="564">
        <f t="shared" ca="1" si="5"/>
        <v>14043.051658030174</v>
      </c>
      <c r="Q49" s="565">
        <f t="shared" ca="1" si="2"/>
        <v>14256.905236578858</v>
      </c>
      <c r="R49" s="564">
        <f t="shared" ca="1" si="6"/>
        <v>14470.758815127539</v>
      </c>
      <c r="S49" s="388"/>
      <c r="T49" s="388"/>
      <c r="V49" s="357">
        <f t="shared" ca="1" si="7"/>
        <v>1.9959667331210398</v>
      </c>
    </row>
    <row r="50" spans="1:22" ht="15" x14ac:dyDescent="0.25">
      <c r="A50" s="562">
        <v>27</v>
      </c>
      <c r="B50" s="563">
        <f t="shared" si="8"/>
        <v>-14</v>
      </c>
      <c r="C50" s="564">
        <f t="shared" si="3"/>
        <v>7602.2218206150037</v>
      </c>
      <c r="D50" s="564">
        <f>IF(B50 &lt;= VLOOKUP(Main!$N$22,Coefficients!$E$2:$H$28,4,FALSE),E50,NA())</f>
        <v>7717.9916960558412</v>
      </c>
      <c r="E50" s="437">
        <f>'4th Order Polynomial Tmp vs Res'!$B$40+'4th Order Polynomial Tmp vs Res'!$C$40*POWER(B50,1)+'4th Order Polynomial Tmp vs Res'!$D$40*POWER(B50,2)+'4th Order Polynomial Tmp vs Res'!$E$40*POWER(B50,3)+'4th Order Polynomial Tmp vs Res'!$F$40*POWER(B50,4)</f>
        <v>7717.9916960558412</v>
      </c>
      <c r="F50" s="564">
        <f t="shared" si="4"/>
        <v>7833.7615714966778</v>
      </c>
      <c r="G50" s="585">
        <f t="shared" si="0"/>
        <v>1.0805188374478176</v>
      </c>
      <c r="H50" s="388"/>
      <c r="I50" s="586"/>
      <c r="J50" s="388"/>
      <c r="K50" s="520">
        <f>'4th Order Polynomial Tmp vs Res'!$I$40*E50^4 + '4th Order Polynomial Tmp vs Res'!$J$40*E50^3 + '4th Order Polynomial Tmp vs Res'!$K$40*E50^2 + '4th Order Polynomial Tmp vs Res'!$L$40*E50 + '4th Order Polynomial Tmp vs Res'!$M$40</f>
        <v>-14.134117008597286</v>
      </c>
      <c r="L50" s="520">
        <f t="shared" si="1"/>
        <v>0.13411700859728626</v>
      </c>
      <c r="M50" s="388"/>
      <c r="N50" s="587">
        <v>27</v>
      </c>
      <c r="O50" s="588">
        <v>90</v>
      </c>
      <c r="P50" s="564">
        <f t="shared" ca="1" si="5"/>
        <v>14452.93300798362</v>
      </c>
      <c r="Q50" s="565">
        <f t="shared" ca="1" si="2"/>
        <v>14673.028434501137</v>
      </c>
      <c r="R50" s="564">
        <f t="shared" ca="1" si="6"/>
        <v>14893.123861018652</v>
      </c>
      <c r="S50" s="388"/>
      <c r="T50" s="388"/>
      <c r="V50" s="357">
        <f t="shared" ca="1" si="7"/>
        <v>2.0542239808301588</v>
      </c>
    </row>
    <row r="51" spans="1:22" ht="15" x14ac:dyDescent="0.25">
      <c r="A51" s="562">
        <v>28</v>
      </c>
      <c r="B51" s="563">
        <f t="shared" si="8"/>
        <v>-13</v>
      </c>
      <c r="C51" s="564">
        <f t="shared" si="3"/>
        <v>7652.3733093826158</v>
      </c>
      <c r="D51" s="564">
        <f>IF(B51 &lt;= VLOOKUP(Main!$N$22,Coefficients!$E$2:$H$28,4,FALSE),E51,NA())</f>
        <v>7768.9069130787975</v>
      </c>
      <c r="E51" s="437">
        <f>'4th Order Polynomial Tmp vs Res'!$B$40+'4th Order Polynomial Tmp vs Res'!$C$40*POWER(B51,1)+'4th Order Polynomial Tmp vs Res'!$D$40*POWER(B51,2)+'4th Order Polynomial Tmp vs Res'!$E$40*POWER(B51,3)+'4th Order Polynomial Tmp vs Res'!$F$40*POWER(B51,4)</f>
        <v>7768.9069130787975</v>
      </c>
      <c r="F51" s="564">
        <f t="shared" si="4"/>
        <v>7885.4405167749783</v>
      </c>
      <c r="G51" s="585">
        <f t="shared" si="0"/>
        <v>1.0876469678310317</v>
      </c>
      <c r="H51" s="388"/>
      <c r="I51" s="586"/>
      <c r="J51" s="388"/>
      <c r="K51" s="520">
        <f>'4th Order Polynomial Tmp vs Res'!$I$40*E51^4 + '4th Order Polynomial Tmp vs Res'!$J$40*E51^3 + '4th Order Polynomial Tmp vs Res'!$K$40*E51^2 + '4th Order Polynomial Tmp vs Res'!$L$40*E51 + '4th Order Polynomial Tmp vs Res'!$M$40</f>
        <v>-13.130118072354321</v>
      </c>
      <c r="L51" s="520">
        <f t="shared" si="1"/>
        <v>0.13011807235432116</v>
      </c>
      <c r="M51" s="388"/>
      <c r="N51" s="587">
        <v>28</v>
      </c>
      <c r="O51" s="588">
        <v>95</v>
      </c>
      <c r="P51" s="564">
        <f t="shared" ca="1" si="5"/>
        <v>14872.550817612526</v>
      </c>
      <c r="Q51" s="565">
        <f t="shared" ca="1" si="2"/>
        <v>15099.036363058402</v>
      </c>
      <c r="R51" s="564">
        <f t="shared" ca="1" si="6"/>
        <v>15325.521908504275</v>
      </c>
      <c r="S51" s="388"/>
      <c r="T51" s="388"/>
      <c r="V51" s="357">
        <f t="shared" ca="1" si="7"/>
        <v>2.1138650908281762</v>
      </c>
    </row>
    <row r="52" spans="1:22" ht="15" x14ac:dyDescent="0.25">
      <c r="A52" s="562">
        <v>29</v>
      </c>
      <c r="B52" s="563">
        <f t="shared" si="8"/>
        <v>-12</v>
      </c>
      <c r="C52" s="564">
        <f t="shared" si="3"/>
        <v>7702.8442842348832</v>
      </c>
      <c r="D52" s="564">
        <f>IF(B52 &lt;= VLOOKUP(Main!$N$22,Coefficients!$E$2:$H$28,4,FALSE),E52,NA())</f>
        <v>7820.1464814567344</v>
      </c>
      <c r="E52" s="437">
        <f>'4th Order Polynomial Tmp vs Res'!$B$40+'4th Order Polynomial Tmp vs Res'!$C$40*POWER(B52,1)+'4th Order Polynomial Tmp vs Res'!$D$40*POWER(B52,2)+'4th Order Polynomial Tmp vs Res'!$E$40*POWER(B52,3)+'4th Order Polynomial Tmp vs Res'!$F$40*POWER(B52,4)</f>
        <v>7820.1464814567344</v>
      </c>
      <c r="F52" s="564">
        <f t="shared" si="4"/>
        <v>7937.4486786785847</v>
      </c>
      <c r="G52" s="585">
        <f t="shared" si="0"/>
        <v>1.0948205074039428</v>
      </c>
      <c r="H52" s="388"/>
      <c r="I52" s="586"/>
      <c r="J52" s="388"/>
      <c r="K52" s="520">
        <f>'4th Order Polynomial Tmp vs Res'!$I$40*E52^4 + '4th Order Polynomial Tmp vs Res'!$J$40*E52^3 + '4th Order Polynomial Tmp vs Res'!$K$40*E52^2 + '4th Order Polynomial Tmp vs Res'!$L$40*E52 + '4th Order Polynomial Tmp vs Res'!$M$40</f>
        <v>-12.125368627441162</v>
      </c>
      <c r="L52" s="520">
        <f t="shared" si="1"/>
        <v>0.12536862744116206</v>
      </c>
      <c r="M52" s="388"/>
      <c r="N52" s="587">
        <v>29</v>
      </c>
      <c r="O52" s="588">
        <v>100</v>
      </c>
      <c r="P52" s="564">
        <f t="shared" ca="1" si="5"/>
        <v>15302.277469375378</v>
      </c>
      <c r="Q52" s="565">
        <f t="shared" ca="1" si="2"/>
        <v>15535.307075507999</v>
      </c>
      <c r="R52" s="564">
        <f t="shared" ca="1" si="6"/>
        <v>15768.336681640618</v>
      </c>
      <c r="S52" s="388"/>
      <c r="T52" s="388"/>
      <c r="V52" s="357">
        <f t="shared" ca="1" si="7"/>
        <v>2.1749429905711195</v>
      </c>
    </row>
    <row r="53" spans="1:22" ht="15" x14ac:dyDescent="0.25">
      <c r="A53" s="562">
        <v>30</v>
      </c>
      <c r="B53" s="563">
        <f t="shared" si="8"/>
        <v>-11</v>
      </c>
      <c r="C53" s="564">
        <f t="shared" si="3"/>
        <v>7753.6332509511558</v>
      </c>
      <c r="D53" s="564">
        <f>IF(B53 &lt;= VLOOKUP(Main!$N$22,Coefficients!$E$2:$H$28,4,FALSE),E53,NA())</f>
        <v>7871.7088842143712</v>
      </c>
      <c r="E53" s="437">
        <f>'4th Order Polynomial Tmp vs Res'!$B$40+'4th Order Polynomial Tmp vs Res'!$C$40*POWER(B53,1)+'4th Order Polynomial Tmp vs Res'!$D$40*POWER(B53,2)+'4th Order Polynomial Tmp vs Res'!$E$40*POWER(B53,3)+'4th Order Polynomial Tmp vs Res'!$F$40*POWER(B53,4)</f>
        <v>7871.7088842143712</v>
      </c>
      <c r="F53" s="564">
        <f t="shared" si="4"/>
        <v>7989.7845174775857</v>
      </c>
      <c r="G53" s="585">
        <f t="shared" si="0"/>
        <v>1.1020392437900119</v>
      </c>
      <c r="H53" s="388"/>
      <c r="I53" s="586"/>
      <c r="J53" s="388"/>
      <c r="K53" s="520">
        <f>'4th Order Polynomial Tmp vs Res'!$I$40*E53^4 + '4th Order Polynomial Tmp vs Res'!$J$40*E53^3 + '4th Order Polynomial Tmp vs Res'!$K$40*E53^2 + '4th Order Polynomial Tmp vs Res'!$L$40*E53 + '4th Order Polynomial Tmp vs Res'!$M$40</f>
        <v>-11.119943215291755</v>
      </c>
      <c r="L53" s="520">
        <f t="shared" si="1"/>
        <v>0.11994321529175522</v>
      </c>
      <c r="M53" s="388"/>
      <c r="N53" s="587">
        <v>30</v>
      </c>
      <c r="O53" s="588">
        <v>105</v>
      </c>
      <c r="P53" s="564">
        <f t="shared" ca="1" si="5"/>
        <v>15742.511972399228</v>
      </c>
      <c r="Q53" s="565">
        <f t="shared" ca="1" si="2"/>
        <v>15982.2456572581</v>
      </c>
      <c r="R53" s="564">
        <f t="shared" ca="1" si="6"/>
        <v>16221.979342116969</v>
      </c>
      <c r="S53" s="388"/>
      <c r="T53" s="388"/>
      <c r="V53" s="357">
        <f t="shared" ca="1" si="7"/>
        <v>2.2375143920161338</v>
      </c>
    </row>
    <row r="54" spans="1:22" ht="15" x14ac:dyDescent="0.25">
      <c r="A54" s="562">
        <v>31</v>
      </c>
      <c r="B54" s="563">
        <f t="shared" si="8"/>
        <v>-10</v>
      </c>
      <c r="C54" s="564">
        <f t="shared" si="3"/>
        <v>7804.7387579134584</v>
      </c>
      <c r="D54" s="564">
        <f>IF(B54 &lt;= VLOOKUP(Main!$N$22,Coefficients!$E$2:$H$28,4,FALSE),E54,NA())</f>
        <v>7923.5926476278764</v>
      </c>
      <c r="E54" s="437">
        <f>'4th Order Polynomial Tmp vs Res'!$B$40+'4th Order Polynomial Tmp vs Res'!$C$40*POWER(B54,1)+'4th Order Polynomial Tmp vs Res'!$D$40*POWER(B54,2)+'4th Order Polynomial Tmp vs Res'!$E$40*POWER(B54,3)+'4th Order Polynomial Tmp vs Res'!$F$40*POWER(B54,4)</f>
        <v>7923.5926476278764</v>
      </c>
      <c r="F54" s="564">
        <f t="shared" si="4"/>
        <v>8042.4465373422936</v>
      </c>
      <c r="G54" s="585">
        <f t="shared" si="0"/>
        <v>1.1093029706679025</v>
      </c>
      <c r="H54" s="388"/>
      <c r="I54" s="586"/>
      <c r="J54" s="388"/>
      <c r="K54" s="520">
        <f>'4th Order Polynomial Tmp vs Res'!$I$40*E54^4 + '4th Order Polynomial Tmp vs Res'!$J$40*E54^3 + '4th Order Polynomial Tmp vs Res'!$K$40*E54^2 + '4th Order Polynomial Tmp vs Res'!$L$40*E54 + '4th Order Polynomial Tmp vs Res'!$M$40</f>
        <v>-10.113913682253099</v>
      </c>
      <c r="L54" s="520">
        <f t="shared" si="1"/>
        <v>0.11391368225309861</v>
      </c>
      <c r="M54" s="388"/>
      <c r="N54" s="587">
        <v>31</v>
      </c>
      <c r="O54" s="588">
        <v>110</v>
      </c>
      <c r="P54" s="564">
        <f t="shared" ca="1" si="5"/>
        <v>16193.679962479657</v>
      </c>
      <c r="Q54" s="565">
        <f t="shared" ca="1" si="2"/>
        <v>16440.284225867672</v>
      </c>
      <c r="R54" s="564">
        <f t="shared" ca="1" si="6"/>
        <v>16686.888489255685</v>
      </c>
      <c r="S54" s="388"/>
      <c r="T54" s="388"/>
      <c r="V54" s="357">
        <f t="shared" ca="1" si="7"/>
        <v>2.3016397916214739</v>
      </c>
    </row>
    <row r="55" spans="1:22" ht="15" x14ac:dyDescent="0.25">
      <c r="A55" s="562">
        <v>32</v>
      </c>
      <c r="B55" s="563">
        <f t="shared" si="8"/>
        <v>-9</v>
      </c>
      <c r="C55" s="564">
        <f t="shared" si="3"/>
        <v>7856.1593961064764</v>
      </c>
      <c r="D55" s="564">
        <f>IF(B55 &lt;= VLOOKUP(Main!$N$22,Coefficients!$E$2:$H$28,4,FALSE),E55,NA())</f>
        <v>7975.7963412248491</v>
      </c>
      <c r="E55" s="437">
        <f>'4th Order Polynomial Tmp vs Res'!$B$40+'4th Order Polynomial Tmp vs Res'!$C$40*POWER(B55,1)+'4th Order Polynomial Tmp vs Res'!$D$40*POWER(B55,2)+'4th Order Polynomial Tmp vs Res'!$E$40*POWER(B55,3)+'4th Order Polynomial Tmp vs Res'!$F$40*POWER(B55,4)</f>
        <v>7975.7963412248491</v>
      </c>
      <c r="F55" s="564">
        <f t="shared" si="4"/>
        <v>8095.433286343221</v>
      </c>
      <c r="G55" s="585">
        <f t="shared" si="0"/>
        <v>1.1166114877714788</v>
      </c>
      <c r="H55" s="388"/>
      <c r="I55" s="586"/>
      <c r="J55" s="388"/>
      <c r="K55" s="520">
        <f>'4th Order Polynomial Tmp vs Res'!$I$40*E55^4 + '4th Order Polynomial Tmp vs Res'!$J$40*E55^3 + '4th Order Polynomial Tmp vs Res'!$K$40*E55^2 + '4th Order Polynomial Tmp vs Res'!$L$40*E55 + '4th Order Polynomial Tmp vs Res'!$M$40</f>
        <v>-9.1073492051386324</v>
      </c>
      <c r="L55" s="520">
        <f t="shared" si="1"/>
        <v>0.10734920513863244</v>
      </c>
      <c r="M55" s="388"/>
      <c r="N55" s="587">
        <v>32</v>
      </c>
      <c r="O55" s="588">
        <v>115</v>
      </c>
      <c r="P55" s="564">
        <f t="shared" ca="1" si="5"/>
        <v>16656.233702080815</v>
      </c>
      <c r="Q55" s="565">
        <f t="shared" ca="1" si="2"/>
        <v>16909.881931046515</v>
      </c>
      <c r="R55" s="564">
        <f t="shared" ca="1" si="6"/>
        <v>17163.530160012211</v>
      </c>
      <c r="S55" s="388"/>
      <c r="T55" s="388"/>
      <c r="V55" s="357">
        <f t="shared" ca="1" si="7"/>
        <v>2.3673834703465118</v>
      </c>
    </row>
    <row r="56" spans="1:22" ht="15" x14ac:dyDescent="0.25">
      <c r="A56" s="562">
        <v>33</v>
      </c>
      <c r="B56" s="563">
        <f t="shared" si="8"/>
        <v>-8</v>
      </c>
      <c r="C56" s="564">
        <f t="shared" si="3"/>
        <v>7907.8937991175735</v>
      </c>
      <c r="D56" s="564">
        <f>IF(B56 &lt;= VLOOKUP(Main!$N$22,Coefficients!$E$2:$H$28,4,FALSE),E56,NA())</f>
        <v>8028.3185777843391</v>
      </c>
      <c r="E56" s="437">
        <f>'4th Order Polynomial Tmp vs Res'!$B$40+'4th Order Polynomial Tmp vs Res'!$C$40*POWER(B56,1)+'4th Order Polynomial Tmp vs Res'!$D$40*POWER(B56,2)+'4th Order Polynomial Tmp vs Res'!$E$40*POWER(B56,3)+'4th Order Polynomial Tmp vs Res'!$F$40*POWER(B56,4)</f>
        <v>8028.3185777843391</v>
      </c>
      <c r="F56" s="564">
        <f t="shared" si="4"/>
        <v>8148.7433564511039</v>
      </c>
      <c r="G56" s="585">
        <f t="shared" si="0"/>
        <v>1.1239646008898074</v>
      </c>
      <c r="H56" s="388"/>
      <c r="I56" s="586"/>
      <c r="J56" s="388"/>
      <c r="K56" s="520">
        <f>'4th Order Polynomial Tmp vs Res'!$I$40*E56^4 + '4th Order Polynomial Tmp vs Res'!$J$40*E56^3 + '4th Order Polynomial Tmp vs Res'!$K$40*E56^2 + '4th Order Polynomial Tmp vs Res'!$L$40*E56 + '4th Order Polynomial Tmp vs Res'!$M$40</f>
        <v>-8.1003163174934798</v>
      </c>
      <c r="L56" s="520">
        <f t="shared" ref="L56:L87" si="12">B56-K56</f>
        <v>0.1003163174934798</v>
      </c>
      <c r="M56" s="388"/>
      <c r="N56" s="587">
        <v>33</v>
      </c>
      <c r="O56" s="588">
        <v>120</v>
      </c>
      <c r="P56" s="564">
        <f t="shared" ca="1" si="5"/>
        <v>17130.652080335392</v>
      </c>
      <c r="Q56" s="565">
        <f t="shared" ca="1" si="2"/>
        <v>17391.524954655222</v>
      </c>
      <c r="R56" s="564">
        <f t="shared" ca="1" si="6"/>
        <v>17652.397828975048</v>
      </c>
      <c r="S56" s="388"/>
      <c r="T56" s="388"/>
      <c r="V56" s="357">
        <f t="shared" ca="1" si="7"/>
        <v>2.4348134936517307</v>
      </c>
    </row>
    <row r="57" spans="1:22" ht="15" x14ac:dyDescent="0.25">
      <c r="A57" s="562">
        <v>34</v>
      </c>
      <c r="B57" s="563">
        <f t="shared" si="8"/>
        <v>-7</v>
      </c>
      <c r="C57" s="564">
        <f t="shared" si="3"/>
        <v>7959.9406431367806</v>
      </c>
      <c r="D57" s="564">
        <f>IF(B57 &lt;= VLOOKUP(Main!$N$22,Coefficients!$E$2:$H$28,4,FALSE),E57,NA())</f>
        <v>8081.1580133368334</v>
      </c>
      <c r="E57" s="437">
        <f>'4th Order Polynomial Tmp vs Res'!$B$40+'4th Order Polynomial Tmp vs Res'!$C$40*POWER(B57,1)+'4th Order Polynomial Tmp vs Res'!$D$40*POWER(B57,2)+'4th Order Polynomial Tmp vs Res'!$E$40*POWER(B57,3)+'4th Order Polynomial Tmp vs Res'!$F$40*POWER(B57,4)</f>
        <v>8081.1580133368334</v>
      </c>
      <c r="F57" s="564">
        <f t="shared" si="4"/>
        <v>8202.3753835368843</v>
      </c>
      <c r="G57" s="585">
        <f t="shared" si="0"/>
        <v>1.1313621218671566</v>
      </c>
      <c r="H57" s="388"/>
      <c r="I57" s="586"/>
      <c r="J57" s="388"/>
      <c r="K57" s="520">
        <f>'4th Order Polynomial Tmp vs Res'!$I$40*E57^4 + '4th Order Polynomial Tmp vs Res'!$J$40*E57^3 + '4th Order Polynomial Tmp vs Res'!$K$40*E57^2 + '4th Order Polynomial Tmp vs Res'!$L$40*E57 + '4th Order Polynomial Tmp vs Res'!$M$40</f>
        <v>-7.0928789365476064</v>
      </c>
      <c r="L57" s="520">
        <f t="shared" si="12"/>
        <v>9.2878936547606372E-2</v>
      </c>
      <c r="M57" s="388"/>
      <c r="N57" s="587">
        <v>34</v>
      </c>
      <c r="O57" s="588">
        <v>125</v>
      </c>
      <c r="P57" s="564">
        <f t="shared" ca="1" si="5"/>
        <v>17617.44061304464</v>
      </c>
      <c r="Q57" s="565">
        <f t="shared" ca="1" si="2"/>
        <v>17885.726510705219</v>
      </c>
      <c r="R57" s="564">
        <f t="shared" ca="1" si="6"/>
        <v>18154.012408365794</v>
      </c>
      <c r="S57" s="388"/>
      <c r="T57" s="388"/>
      <c r="V57" s="357">
        <f t="shared" ca="1" si="7"/>
        <v>2.5040017114987303</v>
      </c>
    </row>
    <row r="58" spans="1:22" ht="15" x14ac:dyDescent="0.25">
      <c r="A58" s="562">
        <v>35</v>
      </c>
      <c r="B58" s="563">
        <f t="shared" si="8"/>
        <v>-6</v>
      </c>
      <c r="C58" s="564">
        <f t="shared" si="3"/>
        <v>8012.298646956795</v>
      </c>
      <c r="D58" s="564">
        <f>IF(B58 &lt;= VLOOKUP(Main!$N$22,Coefficients!$E$2:$H$28,4,FALSE),E58,NA())</f>
        <v>8134.3133471642586</v>
      </c>
      <c r="E58" s="437">
        <f>'4th Order Polynomial Tmp vs Res'!$B$40+'4th Order Polynomial Tmp vs Res'!$C$40*POWER(B58,1)+'4th Order Polynomial Tmp vs Res'!$D$40*POWER(B58,2)+'4th Order Polynomial Tmp vs Res'!$E$40*POWER(B58,3)+'4th Order Polynomial Tmp vs Res'!$F$40*POWER(B58,4)</f>
        <v>8134.3133471642586</v>
      </c>
      <c r="F58" s="564">
        <f t="shared" si="4"/>
        <v>8256.3280473717223</v>
      </c>
      <c r="G58" s="585">
        <f t="shared" si="0"/>
        <v>1.1388038686029962</v>
      </c>
      <c r="H58" s="388"/>
      <c r="I58" s="586"/>
      <c r="J58" s="388"/>
      <c r="K58" s="520">
        <f>'4th Order Polynomial Tmp vs Res'!$I$40*E58^4 + '4th Order Polynomial Tmp vs Res'!$J$40*E58^3 + '4th Order Polynomial Tmp vs Res'!$K$40*E58^2 + '4th Order Polynomial Tmp vs Res'!$L$40*E58 + '4th Order Polynomial Tmp vs Res'!$M$40</f>
        <v>-6.0850983908298417</v>
      </c>
      <c r="L58" s="520">
        <f t="shared" si="12"/>
        <v>8.5098390829841719E-2</v>
      </c>
      <c r="M58" s="388"/>
      <c r="N58" s="587">
        <v>35</v>
      </c>
      <c r="O58" s="588">
        <v>130</v>
      </c>
      <c r="P58" s="564" t="e">
        <f t="shared" ca="1" si="5"/>
        <v>#N/A</v>
      </c>
      <c r="Q58" s="565" t="e">
        <f t="shared" ca="1" si="2"/>
        <v>#N/A</v>
      </c>
      <c r="R58" s="564" t="e">
        <f t="shared" ca="1" si="6"/>
        <v>#N/A</v>
      </c>
      <c r="S58" s="388"/>
      <c r="T58" s="388"/>
      <c r="V58" s="357" t="e">
        <f t="shared" ca="1" si="7"/>
        <v>#N/A</v>
      </c>
    </row>
    <row r="59" spans="1:22" ht="15" x14ac:dyDescent="0.25">
      <c r="A59" s="562">
        <v>36</v>
      </c>
      <c r="B59" s="563">
        <f t="shared" si="8"/>
        <v>-5</v>
      </c>
      <c r="C59" s="564">
        <f t="shared" si="3"/>
        <v>8064.9665719729874</v>
      </c>
      <c r="D59" s="564">
        <f>IF(B59 &lt;= VLOOKUP(Main!$N$22,Coefficients!$E$2:$H$28,4,FALSE),E59,NA())</f>
        <v>8187.7833217999869</v>
      </c>
      <c r="E59" s="437">
        <f>'4th Order Polynomial Tmp vs Res'!$B$40+'4th Order Polynomial Tmp vs Res'!$C$40*POWER(B59,1)+'4th Order Polynomial Tmp vs Res'!$D$40*POWER(B59,2)+'4th Order Polynomial Tmp vs Res'!$E$40*POWER(B59,3)+'4th Order Polynomial Tmp vs Res'!$F$40*POWER(B59,4)</f>
        <v>8187.7833217999869</v>
      </c>
      <c r="F59" s="564">
        <f t="shared" si="4"/>
        <v>8310.6000716269864</v>
      </c>
      <c r="G59" s="585">
        <f t="shared" si="0"/>
        <v>1.146289665051998</v>
      </c>
      <c r="H59" s="388"/>
      <c r="I59" s="586"/>
      <c r="J59" s="388"/>
      <c r="K59" s="520">
        <f>'4th Order Polynomial Tmp vs Res'!$I$40*E59^4 + '4th Order Polynomial Tmp vs Res'!$J$40*E59^3 + '4th Order Polynomial Tmp vs Res'!$K$40*E59^2 + '4th Order Polynomial Tmp vs Res'!$L$40*E59 + '4th Order Polynomial Tmp vs Res'!$M$40</f>
        <v>-5.0770334484197974</v>
      </c>
      <c r="L59" s="520">
        <f t="shared" si="12"/>
        <v>7.7033448419797423E-2</v>
      </c>
      <c r="M59" s="388"/>
      <c r="N59" s="587">
        <v>36</v>
      </c>
      <c r="O59" s="588">
        <v>135</v>
      </c>
      <c r="P59" s="564" t="e">
        <f t="shared" ca="1" si="5"/>
        <v>#N/A</v>
      </c>
      <c r="Q59" s="565" t="e">
        <f t="shared" ca="1" si="2"/>
        <v>#N/A</v>
      </c>
      <c r="R59" s="564" t="e">
        <f t="shared" ca="1" si="6"/>
        <v>#N/A</v>
      </c>
      <c r="S59" s="388"/>
      <c r="T59" s="388"/>
      <c r="V59" s="357" t="e">
        <f t="shared" ca="1" si="7"/>
        <v>#N/A</v>
      </c>
    </row>
    <row r="60" spans="1:22" ht="15" x14ac:dyDescent="0.25">
      <c r="A60" s="562">
        <v>37</v>
      </c>
      <c r="B60" s="563">
        <f t="shared" si="8"/>
        <v>-4</v>
      </c>
      <c r="C60" s="564">
        <f t="shared" si="3"/>
        <v>8117.9432221833949</v>
      </c>
      <c r="D60" s="564">
        <f>IF(B60 &lt;= VLOOKUP(Main!$N$22,Coefficients!$E$2:$H$28,4,FALSE),E60,NA())</f>
        <v>8241.5667230288273</v>
      </c>
      <c r="E60" s="437">
        <f>'4th Order Polynomial Tmp vs Res'!$B$40+'4th Order Polynomial Tmp vs Res'!$C$40*POWER(B60,1)+'4th Order Polynomial Tmp vs Res'!$D$40*POWER(B60,2)+'4th Order Polynomial Tmp vs Res'!$E$40*POWER(B60,3)+'4th Order Polynomial Tmp vs Res'!$F$40*POWER(B60,4)</f>
        <v>8241.5667230288273</v>
      </c>
      <c r="F60" s="564">
        <f t="shared" si="4"/>
        <v>8365.1902238742587</v>
      </c>
      <c r="G60" s="585">
        <f t="shared" si="0"/>
        <v>1.1538193412240356</v>
      </c>
      <c r="H60" s="388"/>
      <c r="I60" s="586"/>
      <c r="J60" s="388"/>
      <c r="K60" s="520">
        <f>'4th Order Polynomial Tmp vs Res'!$I$40*E60^4 + '4th Order Polynomial Tmp vs Res'!$J$40*E60^3 + '4th Order Polynomial Tmp vs Res'!$K$40*E60^2 + '4th Order Polynomial Tmp vs Res'!$L$40*E60 + '4th Order Polynomial Tmp vs Res'!$M$40</f>
        <v>-4.0687403458139784</v>
      </c>
      <c r="L60" s="520">
        <f t="shared" si="12"/>
        <v>6.8740345813978365E-2</v>
      </c>
      <c r="M60" s="388"/>
      <c r="N60" s="587">
        <v>37</v>
      </c>
      <c r="O60" s="588">
        <v>140</v>
      </c>
      <c r="P60" s="564" t="e">
        <f t="shared" ca="1" si="5"/>
        <v>#N/A</v>
      </c>
      <c r="Q60" s="565" t="e">
        <f t="shared" ca="1" si="2"/>
        <v>#N/A</v>
      </c>
      <c r="R60" s="564" t="e">
        <f t="shared" ca="1" si="6"/>
        <v>#N/A</v>
      </c>
      <c r="S60" s="388"/>
      <c r="T60" s="388"/>
      <c r="V60" s="357" t="e">
        <f t="shared" ca="1" si="7"/>
        <v>#N/A</v>
      </c>
    </row>
    <row r="61" spans="1:22" ht="15" x14ac:dyDescent="0.25">
      <c r="A61" s="562">
        <v>38</v>
      </c>
      <c r="B61" s="563">
        <f t="shared" si="8"/>
        <v>-3</v>
      </c>
      <c r="C61" s="564">
        <f t="shared" si="3"/>
        <v>8171.2274441887294</v>
      </c>
      <c r="D61" s="564">
        <f>IF(B61 &lt;= VLOOKUP(Main!$N$22,Coefficients!$E$2:$H$28,4,FALSE),E61,NA())</f>
        <v>8295.6623798870351</v>
      </c>
      <c r="E61" s="437">
        <f>'4th Order Polynomial Tmp vs Res'!$B$40+'4th Order Polynomial Tmp vs Res'!$C$40*POWER(B61,1)+'4th Order Polynomial Tmp vs Res'!$D$40*POWER(B61,2)+'4th Order Polynomial Tmp vs Res'!$E$40*POWER(B61,3)+'4th Order Polynomial Tmp vs Res'!$F$40*POWER(B61,4)</f>
        <v>8295.6623798870351</v>
      </c>
      <c r="F61" s="564">
        <f t="shared" si="4"/>
        <v>8420.0973155853389</v>
      </c>
      <c r="G61" s="585">
        <f t="shared" si="0"/>
        <v>1.1613927331841849</v>
      </c>
      <c r="H61" s="388"/>
      <c r="I61" s="586"/>
      <c r="J61" s="388"/>
      <c r="K61" s="520">
        <f>'4th Order Polynomial Tmp vs Res'!$I$40*E61^4 + '4th Order Polynomial Tmp vs Res'!$J$40*E61^3 + '4th Order Polynomial Tmp vs Res'!$K$40*E61^2 + '4th Order Polynomial Tmp vs Res'!$L$40*E61 + '4th Order Polynomial Tmp vs Res'!$M$40</f>
        <v>-3.0602728173835203</v>
      </c>
      <c r="L61" s="520">
        <f t="shared" si="12"/>
        <v>6.0272817383520305E-2</v>
      </c>
      <c r="M61" s="388"/>
      <c r="N61" s="587">
        <v>38</v>
      </c>
      <c r="O61" s="588">
        <v>145</v>
      </c>
      <c r="P61" s="564" t="e">
        <f t="shared" ca="1" si="5"/>
        <v>#N/A</v>
      </c>
      <c r="Q61" s="565" t="e">
        <f t="shared" ca="1" si="2"/>
        <v>#N/A</v>
      </c>
      <c r="R61" s="564" t="e">
        <f t="shared" ca="1" si="6"/>
        <v>#N/A</v>
      </c>
      <c r="S61" s="388"/>
      <c r="T61" s="388"/>
      <c r="V61" s="357" t="e">
        <f t="shared" ca="1" si="7"/>
        <v>#N/A</v>
      </c>
    </row>
    <row r="62" spans="1:22" ht="15" x14ac:dyDescent="0.25">
      <c r="A62" s="562">
        <v>39</v>
      </c>
      <c r="B62" s="563">
        <f t="shared" si="8"/>
        <v>-2</v>
      </c>
      <c r="C62" s="564">
        <f t="shared" si="3"/>
        <v>8224.8181271923695</v>
      </c>
      <c r="D62" s="564">
        <f>IF(B62 &lt;= VLOOKUP(Main!$N$22,Coefficients!$E$2:$H$28,4,FALSE),E62,NA())</f>
        <v>8350.0691646623036</v>
      </c>
      <c r="E62" s="437">
        <f>'4th Order Polynomial Tmp vs Res'!$B$40+'4th Order Polynomial Tmp vs Res'!$C$40*POWER(B62,1)+'4th Order Polynomial Tmp vs Res'!$D$40*POWER(B62,2)+'4th Order Polynomial Tmp vs Res'!$E$40*POWER(B62,3)+'4th Order Polynomial Tmp vs Res'!$F$40*POWER(B62,4)</f>
        <v>8350.0691646623036</v>
      </c>
      <c r="F62" s="564">
        <f t="shared" si="4"/>
        <v>8475.3202021322377</v>
      </c>
      <c r="G62" s="585">
        <f t="shared" si="0"/>
        <v>1.1690096830527223</v>
      </c>
      <c r="H62" s="388"/>
      <c r="I62" s="586"/>
      <c r="J62" s="388"/>
      <c r="K62" s="520">
        <f>'4th Order Polynomial Tmp vs Res'!$I$40*E62^4 + '4th Order Polynomial Tmp vs Res'!$J$40*E62^3 + '4th Order Polynomial Tmp vs Res'!$K$40*E62^2 + '4th Order Polynomial Tmp vs Res'!$L$40*E62 + '4th Order Polynomial Tmp vs Res'!$M$40</f>
        <v>-2.0516821254021238</v>
      </c>
      <c r="L62" s="520">
        <f t="shared" si="12"/>
        <v>5.1682125402123802E-2</v>
      </c>
      <c r="M62" s="388"/>
      <c r="N62" s="587">
        <v>39</v>
      </c>
      <c r="O62" s="588">
        <v>150</v>
      </c>
      <c r="P62" s="564" t="e">
        <f t="shared" ca="1" si="5"/>
        <v>#N/A</v>
      </c>
      <c r="Q62" s="565" t="e">
        <f t="shared" ca="1" si="2"/>
        <v>#N/A</v>
      </c>
      <c r="R62" s="564" t="e">
        <f t="shared" ca="1" si="6"/>
        <v>#N/A</v>
      </c>
      <c r="S62" s="388"/>
      <c r="T62" s="388"/>
      <c r="V62" s="357" t="e">
        <f t="shared" ca="1" si="7"/>
        <v>#N/A</v>
      </c>
    </row>
    <row r="63" spans="1:22" ht="15" x14ac:dyDescent="0.25">
      <c r="A63" s="562">
        <v>40</v>
      </c>
      <c r="B63" s="563">
        <f t="shared" si="8"/>
        <v>-1</v>
      </c>
      <c r="C63" s="564">
        <f t="shared" si="3"/>
        <v>8278.7142030003597</v>
      </c>
      <c r="D63" s="564">
        <f>IF(B63 &lt;= VLOOKUP(Main!$N$22,Coefficients!$E$2:$H$28,4,FALSE),E63,NA())</f>
        <v>8404.7859928937669</v>
      </c>
      <c r="E63" s="437">
        <f>'4th Order Polynomial Tmp vs Res'!$B$40+'4th Order Polynomial Tmp vs Res'!$C$40*POWER(B63,1)+'4th Order Polynomial Tmp vs Res'!$D$40*POWER(B63,2)+'4th Order Polynomial Tmp vs Res'!$E$40*POWER(B63,3)+'4th Order Polynomial Tmp vs Res'!$F$40*POWER(B63,4)</f>
        <v>8404.7859928937669</v>
      </c>
      <c r="F63" s="564">
        <f t="shared" si="4"/>
        <v>8530.8577827871723</v>
      </c>
      <c r="G63" s="585">
        <f t="shared" si="0"/>
        <v>1.1766700390051272</v>
      </c>
      <c r="H63" s="388"/>
      <c r="I63" s="586"/>
      <c r="J63" s="388"/>
      <c r="K63" s="520">
        <f>'4th Order Polynomial Tmp vs Res'!$I$40*E63^4 + '4th Order Polynomial Tmp vs Res'!$J$40*E63^3 + '4th Order Polynomial Tmp vs Res'!$K$40*E63^2 + '4th Order Polynomial Tmp vs Res'!$L$40*E63 + '4th Order Polynomial Tmp vs Res'!$M$40</f>
        <v>-1.0430170906245166</v>
      </c>
      <c r="L63" s="520">
        <f t="shared" si="12"/>
        <v>4.3017090624516641E-2</v>
      </c>
      <c r="M63" s="388"/>
      <c r="N63" s="587">
        <v>40</v>
      </c>
      <c r="O63" s="588">
        <v>155</v>
      </c>
      <c r="P63" s="564" t="e">
        <f t="shared" ca="1" si="5"/>
        <v>#N/A</v>
      </c>
      <c r="Q63" s="565" t="e">
        <f t="shared" ca="1" si="2"/>
        <v>#N/A</v>
      </c>
      <c r="R63" s="564" t="e">
        <f t="shared" ca="1" si="6"/>
        <v>#N/A</v>
      </c>
      <c r="S63" s="388"/>
      <c r="T63" s="388"/>
      <c r="V63" s="357" t="e">
        <f t="shared" ca="1" si="7"/>
        <v>#N/A</v>
      </c>
    </row>
    <row r="64" spans="1:22" ht="15" x14ac:dyDescent="0.25">
      <c r="A64" s="562">
        <v>41</v>
      </c>
      <c r="B64" s="563">
        <f t="shared" si="8"/>
        <v>0</v>
      </c>
      <c r="C64" s="564">
        <f>IFERROR(D64*0.99,NA())</f>
        <v>8375.2137051382797</v>
      </c>
      <c r="D64" s="564">
        <f>IF(B64 &lt;= VLOOKUP(Main!$N$22,Coefficients!$E$2:$H$28,4,FALSE),E64,NA())</f>
        <v>8459.8118233719997</v>
      </c>
      <c r="E64" s="437">
        <f>'4th Order Polynomial Tmp vs Res'!$B$40+'4th Order Polynomial Tmp vs Res'!$C$40*POWER(B64,1)+'4th Order Polynomial Tmp vs Res'!$D$40*POWER(B64,2)+'4th Order Polynomial Tmp vs Res'!$E$40*POWER(B64,3)+'4th Order Polynomial Tmp vs Res'!$F$40*POWER(B64,4)</f>
        <v>8459.8118233719997</v>
      </c>
      <c r="F64" s="564">
        <f>IFERROR(D64*1.01,NA())</f>
        <v>8544.4099416057197</v>
      </c>
      <c r="G64" s="585">
        <f t="shared" si="0"/>
        <v>1.1843736552720798</v>
      </c>
      <c r="H64" s="388"/>
      <c r="I64" s="586"/>
      <c r="J64" s="388"/>
      <c r="K64" s="520">
        <f>'4th Order Polynomial Tmp vs Res'!$I$40*E64^4 + '4th Order Polynomial Tmp vs Res'!$J$40*E64^3 + '4th Order Polynomial Tmp vs Res'!$K$40*E64^2 + '4th Order Polynomial Tmp vs Res'!$L$40*E64 + '4th Order Polynomial Tmp vs Res'!$M$40</f>
        <v>-3.4324123394867456E-2</v>
      </c>
      <c r="L64" s="520">
        <f t="shared" si="12"/>
        <v>3.4324123394867456E-2</v>
      </c>
      <c r="M64" s="388"/>
      <c r="N64" s="587">
        <v>41</v>
      </c>
      <c r="O64" s="588">
        <v>160</v>
      </c>
      <c r="P64" s="564" t="e">
        <f t="shared" ca="1" si="5"/>
        <v>#N/A</v>
      </c>
      <c r="Q64" s="565" t="e">
        <f t="shared" ca="1" si="2"/>
        <v>#N/A</v>
      </c>
      <c r="R64" s="564" t="e">
        <f t="shared" ca="1" si="6"/>
        <v>#N/A</v>
      </c>
      <c r="S64" s="388"/>
      <c r="T64" s="388"/>
      <c r="V64" s="357" t="e">
        <f t="shared" ca="1" si="7"/>
        <v>#N/A</v>
      </c>
    </row>
    <row r="65" spans="1:22" ht="15" x14ac:dyDescent="0.25">
      <c r="A65" s="562">
        <v>42</v>
      </c>
      <c r="B65" s="563">
        <f t="shared" si="8"/>
        <v>1</v>
      </c>
      <c r="C65" s="564">
        <f t="shared" ref="C65:C128" si="13">IFERROR(D65*0.99,NA())</f>
        <v>8429.9942015576307</v>
      </c>
      <c r="D65" s="564">
        <f>IF(B65 &lt;= VLOOKUP(Main!$N$22,Coefficients!$E$2:$H$28,4,FALSE),E65,NA())</f>
        <v>8515.1456581390212</v>
      </c>
      <c r="E65" s="437">
        <f>'4th Order Polynomial Tmp vs Res'!$B$40+'4th Order Polynomial Tmp vs Res'!$C$40*POWER(B65,1)+'4th Order Polynomial Tmp vs Res'!$D$40*POWER(B65,2)+'4th Order Polynomial Tmp vs Res'!$E$40*POWER(B65,3)+'4th Order Polynomial Tmp vs Res'!$F$40*POWER(B65,4)</f>
        <v>8515.1456581390212</v>
      </c>
      <c r="F65" s="564">
        <f t="shared" ref="F65:F128" si="14">IFERROR(D65*1.01,NA())</f>
        <v>8600.2971147204116</v>
      </c>
      <c r="G65" s="585">
        <f t="shared" si="0"/>
        <v>1.192120392139463</v>
      </c>
      <c r="H65" s="388"/>
      <c r="I65" s="586"/>
      <c r="J65" s="388"/>
      <c r="K65" s="520">
        <f>'4th Order Polynomial Tmp vs Res'!$I$40*E65^4 + '4th Order Polynomial Tmp vs Res'!$J$40*E65^3 + '4th Order Polynomial Tmp vs Res'!$K$40*E65^2 + '4th Order Polynomial Tmp vs Res'!$L$40*E65 + '4th Order Polynomial Tmp vs Res'!$M$40</f>
        <v>0.97435274473411937</v>
      </c>
      <c r="L65" s="520">
        <f t="shared" si="12"/>
        <v>2.5647255265880631E-2</v>
      </c>
      <c r="M65" s="483"/>
      <c r="N65" s="587">
        <v>42</v>
      </c>
      <c r="O65" s="588">
        <v>165</v>
      </c>
      <c r="P65" s="564" t="e">
        <f t="shared" ca="1" si="5"/>
        <v>#N/A</v>
      </c>
      <c r="Q65" s="565" t="e">
        <f t="shared" ca="1" si="2"/>
        <v>#N/A</v>
      </c>
      <c r="R65" s="564" t="e">
        <f t="shared" ca="1" si="6"/>
        <v>#N/A</v>
      </c>
      <c r="S65" s="388"/>
      <c r="T65" s="388"/>
      <c r="V65" s="357" t="e">
        <f t="shared" ca="1" si="7"/>
        <v>#N/A</v>
      </c>
    </row>
    <row r="66" spans="1:22" ht="15" x14ac:dyDescent="0.25">
      <c r="A66" s="562">
        <v>43</v>
      </c>
      <c r="B66" s="563">
        <f t="shared" si="8"/>
        <v>2</v>
      </c>
      <c r="C66" s="564">
        <f t="shared" si="13"/>
        <v>8485.0786770634095</v>
      </c>
      <c r="D66" s="564">
        <f>IF(B66 &lt;= VLOOKUP(Main!$N$22,Coefficients!$E$2:$H$28,4,FALSE),E66,NA())</f>
        <v>8570.786542488293</v>
      </c>
      <c r="E66" s="437">
        <f>'4th Order Polynomial Tmp vs Res'!$B$40+'4th Order Polynomial Tmp vs Res'!$C$40*POWER(B66,1)+'4th Order Polynomial Tmp vs Res'!$D$40*POWER(B66,2)+'4th Order Polynomial Tmp vs Res'!$E$40*POWER(B66,3)+'4th Order Polynomial Tmp vs Res'!$F$40*POWER(B66,4)</f>
        <v>8570.786542488293</v>
      </c>
      <c r="F66" s="564">
        <f t="shared" si="14"/>
        <v>8656.4944079131765</v>
      </c>
      <c r="G66" s="585">
        <f t="shared" si="0"/>
        <v>1.1999101159483609</v>
      </c>
      <c r="H66" s="388"/>
      <c r="I66" s="586"/>
      <c r="J66" s="388"/>
      <c r="K66" s="520">
        <f>'4th Order Polynomial Tmp vs Res'!$I$40*E66^4 + '4th Order Polynomial Tmp vs Res'!$J$40*E66^3 + '4th Order Polynomial Tmp vs Res'!$K$40*E66^2 + '4th Order Polynomial Tmp vs Res'!$L$40*E66 + '4th Order Polynomial Tmp vs Res'!$M$40</f>
        <v>1.9829718288860931</v>
      </c>
      <c r="L66" s="520">
        <f t="shared" si="12"/>
        <v>1.7028171113906865E-2</v>
      </c>
      <c r="M66" s="388"/>
      <c r="N66" s="587">
        <v>43</v>
      </c>
      <c r="O66" s="588">
        <v>170</v>
      </c>
      <c r="P66" s="564" t="e">
        <f t="shared" ca="1" si="5"/>
        <v>#N/A</v>
      </c>
      <c r="Q66" s="565" t="e">
        <f t="shared" ca="1" si="2"/>
        <v>#N/A</v>
      </c>
      <c r="R66" s="564" t="e">
        <f t="shared" ca="1" si="6"/>
        <v>#N/A</v>
      </c>
      <c r="S66" s="388"/>
      <c r="T66" s="388"/>
      <c r="V66" s="357" t="e">
        <f t="shared" ca="1" si="7"/>
        <v>#N/A</v>
      </c>
    </row>
    <row r="67" spans="1:22" ht="15" x14ac:dyDescent="0.25">
      <c r="A67" s="562">
        <v>44</v>
      </c>
      <c r="B67" s="563">
        <f t="shared" si="8"/>
        <v>3</v>
      </c>
      <c r="C67" s="564">
        <f t="shared" si="13"/>
        <v>8540.4662293150668</v>
      </c>
      <c r="D67" s="564">
        <f>IF(B67 &lt;= VLOOKUP(Main!$N$22,Coefficients!$E$2:$H$28,4,FALSE),E67,NA())</f>
        <v>8626.7335649647139</v>
      </c>
      <c r="E67" s="437">
        <f>'4th Order Polynomial Tmp vs Res'!$B$40+'4th Order Polynomial Tmp vs Res'!$C$40*POWER(B67,1)+'4th Order Polynomial Tmp vs Res'!$D$40*POWER(B67,2)+'4th Order Polynomial Tmp vs Res'!$E$40*POWER(B67,3)+'4th Order Polynomial Tmp vs Res'!$F$40*POWER(B67,4)</f>
        <v>8626.7335649647139</v>
      </c>
      <c r="F67" s="564">
        <f t="shared" si="14"/>
        <v>8713.0009006143609</v>
      </c>
      <c r="G67" s="585">
        <f t="shared" si="0"/>
        <v>1.2077426990950599</v>
      </c>
      <c r="H67" s="388"/>
      <c r="I67" s="586"/>
      <c r="J67" s="388"/>
      <c r="K67" s="520">
        <f>'4th Order Polynomial Tmp vs Res'!$I$40*E67^4 + '4th Order Polynomial Tmp vs Res'!$J$40*E67^3 + '4th Order Polynomial Tmp vs Res'!$K$40*E67^2 + '4th Order Polynomial Tmp vs Res'!$L$40*E67 + '4th Order Polynomial Tmp vs Res'!$M$40</f>
        <v>2.9914937582693142</v>
      </c>
      <c r="L67" s="520">
        <f t="shared" si="12"/>
        <v>8.5062417306858151E-3</v>
      </c>
      <c r="M67" s="388"/>
      <c r="N67" s="590"/>
      <c r="O67" s="591"/>
      <c r="P67" s="592"/>
      <c r="Q67" s="593"/>
      <c r="R67" s="592"/>
      <c r="S67" s="388"/>
      <c r="T67" s="388"/>
      <c r="V67" s="357">
        <f t="shared" si="7"/>
        <v>0</v>
      </c>
    </row>
    <row r="68" spans="1:22" ht="15" x14ac:dyDescent="0.25">
      <c r="A68" s="562">
        <v>45</v>
      </c>
      <c r="B68" s="563">
        <f t="shared" si="8"/>
        <v>4</v>
      </c>
      <c r="C68" s="564">
        <f t="shared" si="13"/>
        <v>8596.1559987909768</v>
      </c>
      <c r="D68" s="564">
        <f>IF(B68 &lt;= VLOOKUP(Main!$N$22,Coefficients!$E$2:$H$28,4,FALSE),E68,NA())</f>
        <v>8682.9858573646234</v>
      </c>
      <c r="E68" s="437">
        <f>'4th Order Polynomial Tmp vs Res'!$B$40+'4th Order Polynomial Tmp vs Res'!$C$40*POWER(B68,1)+'4th Order Polynomial Tmp vs Res'!$D$40*POWER(B68,2)+'4th Order Polynomial Tmp vs Res'!$E$40*POWER(B68,3)+'4th Order Polynomial Tmp vs Res'!$F$40*POWER(B68,4)</f>
        <v>8682.9858573646234</v>
      </c>
      <c r="F68" s="564">
        <f t="shared" si="14"/>
        <v>8769.8157159382699</v>
      </c>
      <c r="G68" s="585">
        <f t="shared" si="0"/>
        <v>1.2156180200310471</v>
      </c>
      <c r="H68" s="388"/>
      <c r="I68" s="586"/>
      <c r="J68" s="388"/>
      <c r="K68" s="520">
        <f>'4th Order Polynomial Tmp vs Res'!$I$40*E68^4 + '4th Order Polynomial Tmp vs Res'!$J$40*E68^3 + '4th Order Polynomial Tmp vs Res'!$K$40*E68^2 + '4th Order Polynomial Tmp vs Res'!$L$40*E68 + '4th Order Polynomial Tmp vs Res'!$M$40</f>
        <v>3.9998814431238543</v>
      </c>
      <c r="L68" s="520">
        <f t="shared" si="12"/>
        <v>1.1855687614570343E-4</v>
      </c>
      <c r="M68" s="388"/>
      <c r="N68" s="388"/>
      <c r="O68" s="388"/>
      <c r="P68" s="388"/>
      <c r="Q68" s="388"/>
      <c r="R68" s="388"/>
      <c r="S68" s="388"/>
      <c r="T68" s="388"/>
    </row>
    <row r="69" spans="1:22" ht="15" x14ac:dyDescent="0.25">
      <c r="A69" s="562">
        <v>46</v>
      </c>
      <c r="B69" s="563">
        <f t="shared" si="8"/>
        <v>5</v>
      </c>
      <c r="C69" s="564">
        <f t="shared" si="13"/>
        <v>8652.1471687884477</v>
      </c>
      <c r="D69" s="564">
        <f>IF(B69 &lt;= VLOOKUP(Main!$N$22,Coefficients!$E$2:$H$28,4,FALSE),E69,NA())</f>
        <v>8739.5425947358053</v>
      </c>
      <c r="E69" s="437">
        <f>'4th Order Polynomial Tmp vs Res'!$B$40+'4th Order Polynomial Tmp vs Res'!$C$40*POWER(B69,1)+'4th Order Polynomial Tmp vs Res'!$D$40*POWER(B69,2)+'4th Order Polynomial Tmp vs Res'!$E$40*POWER(B69,3)+'4th Order Polynomial Tmp vs Res'!$F$40*POWER(B69,4)</f>
        <v>8739.5425947358053</v>
      </c>
      <c r="F69" s="564">
        <f t="shared" si="14"/>
        <v>8826.9380206831629</v>
      </c>
      <c r="G69" s="585">
        <f t="shared" si="0"/>
        <v>1.2235359632630127</v>
      </c>
      <c r="H69" s="388"/>
      <c r="I69" s="586"/>
      <c r="J69" s="388"/>
      <c r="K69" s="520">
        <f>'4th Order Polynomial Tmp vs Res'!$I$40*E69^4 + '4th Order Polynomial Tmp vs Res'!$J$40*E69^3 + '4th Order Polynomial Tmp vs Res'!$K$40*E69^2 + '4th Order Polynomial Tmp vs Res'!$L$40*E69 + '4th Order Polynomial Tmp vs Res'!$M$40</f>
        <v>5.0081000412197909</v>
      </c>
      <c r="L69" s="520">
        <f t="shared" si="12"/>
        <v>-8.10004121979091E-3</v>
      </c>
      <c r="M69" s="388"/>
      <c r="N69" s="388"/>
      <c r="O69" s="388"/>
      <c r="P69" s="388"/>
      <c r="Q69" s="388"/>
      <c r="R69" s="388"/>
      <c r="S69" s="388"/>
      <c r="T69" s="388"/>
    </row>
    <row r="70" spans="1:22" ht="15" x14ac:dyDescent="0.25">
      <c r="A70" s="562">
        <v>47</v>
      </c>
      <c r="B70" s="563">
        <f t="shared" si="8"/>
        <v>6</v>
      </c>
      <c r="C70" s="564">
        <f t="shared" si="13"/>
        <v>8708.4389654237111</v>
      </c>
      <c r="D70" s="564">
        <f>IF(B70 &lt;= VLOOKUP(Main!$N$22,Coefficients!$E$2:$H$28,4,FALSE),E70,NA())</f>
        <v>8796.4029953774861</v>
      </c>
      <c r="E70" s="437">
        <f>'4th Order Polynomial Tmp vs Res'!$B$40+'4th Order Polynomial Tmp vs Res'!$C$40*POWER(B70,1)+'4th Order Polynomial Tmp vs Res'!$D$40*POWER(B70,2)+'4th Order Polynomial Tmp vs Res'!$E$40*POWER(B70,3)+'4th Order Polynomial Tmp vs Res'!$F$40*POWER(B70,4)</f>
        <v>8796.4029953774861</v>
      </c>
      <c r="F70" s="564">
        <f t="shared" si="14"/>
        <v>8884.3670253312612</v>
      </c>
      <c r="G70" s="585">
        <f t="shared" si="0"/>
        <v>1.2314964193528479</v>
      </c>
      <c r="H70" s="388"/>
      <c r="I70" s="586"/>
      <c r="J70" s="388"/>
      <c r="K70" s="520">
        <f>'4th Order Polynomial Tmp vs Res'!$I$40*E70^4 + '4th Order Polynomial Tmp vs Res'!$J$40*E70^3 + '4th Order Polynomial Tmp vs Res'!$K$40*E70^2 + '4th Order Polynomial Tmp vs Res'!$L$40*E70 + '4th Order Polynomial Tmp vs Res'!$M$40</f>
        <v>6.0161169239224819</v>
      </c>
      <c r="L70" s="520">
        <f t="shared" si="12"/>
        <v>-1.6116923922481874E-2</v>
      </c>
      <c r="M70" s="388"/>
      <c r="N70" s="388"/>
      <c r="O70" s="388"/>
      <c r="P70" s="388"/>
      <c r="Q70" s="388"/>
      <c r="R70" s="388"/>
      <c r="S70" s="388"/>
      <c r="T70" s="388"/>
    </row>
    <row r="71" spans="1:22" ht="15" x14ac:dyDescent="0.25">
      <c r="A71" s="562">
        <v>48</v>
      </c>
      <c r="B71" s="563">
        <f t="shared" si="8"/>
        <v>7</v>
      </c>
      <c r="C71" s="564">
        <f t="shared" si="13"/>
        <v>8765.0306576319272</v>
      </c>
      <c r="D71" s="564">
        <f>IF(B71 &lt;= VLOOKUP(Main!$N$22,Coefficients!$E$2:$H$28,4,FALSE),E71,NA())</f>
        <v>8853.5663208403312</v>
      </c>
      <c r="E71" s="437">
        <f>'4th Order Polynomial Tmp vs Res'!$B$40+'4th Order Polynomial Tmp vs Res'!$C$40*POWER(B71,1)+'4th Order Polynomial Tmp vs Res'!$D$40*POWER(B71,2)+'4th Order Polynomial Tmp vs Res'!$E$40*POWER(B71,3)+'4th Order Polynomial Tmp vs Res'!$F$40*POWER(B71,4)</f>
        <v>8853.5663208403312</v>
      </c>
      <c r="F71" s="564">
        <f t="shared" si="14"/>
        <v>8942.1019840487352</v>
      </c>
      <c r="G71" s="585">
        <f t="shared" si="0"/>
        <v>1.2394992849176463</v>
      </c>
      <c r="H71" s="388"/>
      <c r="I71" s="586"/>
      <c r="J71" s="388"/>
      <c r="K71" s="520">
        <f>'4th Order Polynomial Tmp vs Res'!$I$40*E71^4 + '4th Order Polynomial Tmp vs Res'!$J$40*E71^3 + '4th Order Polynomial Tmp vs Res'!$K$40*E71^2 + '4th Order Polynomial Tmp vs Res'!$L$40*E71 + '4th Order Polynomial Tmp vs Res'!$M$40</f>
        <v>7.0239016418365736</v>
      </c>
      <c r="L71" s="520">
        <f t="shared" si="12"/>
        <v>-2.3901641836573617E-2</v>
      </c>
      <c r="M71" s="388"/>
      <c r="N71" s="388"/>
      <c r="O71" s="388"/>
      <c r="P71" s="388"/>
      <c r="Q71" s="388"/>
      <c r="R71" s="388"/>
      <c r="S71" s="388"/>
      <c r="T71" s="388"/>
    </row>
    <row r="72" spans="1:22" ht="15" x14ac:dyDescent="0.25">
      <c r="A72" s="562">
        <v>49</v>
      </c>
      <c r="B72" s="563">
        <f t="shared" si="8"/>
        <v>8</v>
      </c>
      <c r="C72" s="564">
        <f t="shared" si="13"/>
        <v>8821.9215571671793</v>
      </c>
      <c r="D72" s="564">
        <f>IF(B72 &lt;= VLOOKUP(Main!$N$22,Coefficients!$E$2:$H$28,4,FALSE),E72,NA())</f>
        <v>8911.0318759264446</v>
      </c>
      <c r="E72" s="437">
        <f>'4th Order Polynomial Tmp vs Res'!$B$40+'4th Order Polynomial Tmp vs Res'!$C$40*POWER(B72,1)+'4th Order Polynomial Tmp vs Res'!$D$40*POWER(B72,2)+'4th Order Polynomial Tmp vs Res'!$E$40*POWER(B72,3)+'4th Order Polynomial Tmp vs Res'!$F$40*POWER(B72,4)</f>
        <v>8911.0318759264446</v>
      </c>
      <c r="F72" s="564">
        <f t="shared" si="14"/>
        <v>9000.1421946857099</v>
      </c>
      <c r="G72" s="585">
        <f t="shared" si="0"/>
        <v>1.2475444626297021</v>
      </c>
      <c r="H72" s="388"/>
      <c r="I72" s="586"/>
      <c r="J72" s="388"/>
      <c r="K72" s="520">
        <f>'4th Order Polynomial Tmp vs Res'!$I$40*E72^4 + '4th Order Polynomial Tmp vs Res'!$J$40*E72^3 + '4th Order Polynomial Tmp vs Res'!$K$40*E72^2 + '4th Order Polynomial Tmp vs Res'!$L$40*E72 + '4th Order Polynomial Tmp vs Res'!$M$40</f>
        <v>8.0314258900392019</v>
      </c>
      <c r="L72" s="520">
        <f t="shared" si="12"/>
        <v>-3.1425890039201931E-2</v>
      </c>
      <c r="M72" s="388"/>
      <c r="N72" s="388"/>
      <c r="O72" s="388"/>
      <c r="P72" s="388"/>
      <c r="Q72" s="388"/>
      <c r="R72" s="388"/>
      <c r="S72" s="388"/>
      <c r="T72" s="388"/>
    </row>
    <row r="73" spans="1:22" ht="15" x14ac:dyDescent="0.25">
      <c r="A73" s="562">
        <v>50</v>
      </c>
      <c r="B73" s="563">
        <f t="shared" si="8"/>
        <v>9</v>
      </c>
      <c r="C73" s="564">
        <f t="shared" si="13"/>
        <v>8879.1110186024816</v>
      </c>
      <c r="D73" s="564">
        <f>IF(B73 &lt;= VLOOKUP(Main!$N$22,Coefficients!$E$2:$H$28,4,FALSE),E73,NA())</f>
        <v>8968.7990086893751</v>
      </c>
      <c r="E73" s="437">
        <f>'4th Order Polynomial Tmp vs Res'!$B$40+'4th Order Polynomial Tmp vs Res'!$C$40*POWER(B73,1)+'4th Order Polynomial Tmp vs Res'!$D$40*POWER(B73,2)+'4th Order Polynomial Tmp vs Res'!$E$40*POWER(B73,3)+'4th Order Polynomial Tmp vs Res'!$F$40*POWER(B73,4)</f>
        <v>8968.7990086893751</v>
      </c>
      <c r="F73" s="564">
        <f t="shared" si="14"/>
        <v>9058.4869987762686</v>
      </c>
      <c r="G73" s="585">
        <f t="shared" si="0"/>
        <v>1.2556318612165125</v>
      </c>
      <c r="H73" s="388"/>
      <c r="I73" s="586"/>
      <c r="J73" s="388"/>
      <c r="K73" s="520">
        <f>'4th Order Polynomial Tmp vs Res'!$I$40*E73^4 + '4th Order Polynomial Tmp vs Res'!$J$40*E73^3 + '4th Order Polynomial Tmp vs Res'!$K$40*E73^2 + '4th Order Polynomial Tmp vs Res'!$L$40*E73 + '4th Order Polynomial Tmp vs Res'!$M$40</f>
        <v>9.0386634729147772</v>
      </c>
      <c r="L73" s="520">
        <f t="shared" si="12"/>
        <v>-3.866347291477723E-2</v>
      </c>
      <c r="M73" s="388"/>
      <c r="N73" s="388"/>
      <c r="O73" s="388"/>
      <c r="P73" s="388"/>
      <c r="Q73" s="388"/>
      <c r="R73" s="388"/>
      <c r="S73" s="388"/>
      <c r="T73" s="388"/>
    </row>
    <row r="74" spans="1:22" ht="15" x14ac:dyDescent="0.25">
      <c r="A74" s="562">
        <v>51</v>
      </c>
      <c r="B74" s="563">
        <f t="shared" si="8"/>
        <v>10</v>
      </c>
      <c r="C74" s="564">
        <f t="shared" si="13"/>
        <v>8936.5984393297749</v>
      </c>
      <c r="D74" s="564">
        <f>IF(B74 &lt;= VLOOKUP(Main!$N$22,Coefficients!$E$2:$H$28,4,FALSE),E74,NA())</f>
        <v>9026.8671104341156</v>
      </c>
      <c r="E74" s="437">
        <f>'4th Order Polynomial Tmp vs Res'!$B$40+'4th Order Polynomial Tmp vs Res'!$C$40*POWER(B74,1)+'4th Order Polynomial Tmp vs Res'!$D$40*POWER(B74,2)+'4th Order Polynomial Tmp vs Res'!$E$40*POWER(B74,3)+'4th Order Polynomial Tmp vs Res'!$F$40*POWER(B74,4)</f>
        <v>9026.8671104341156</v>
      </c>
      <c r="F74" s="564">
        <f t="shared" si="14"/>
        <v>9117.1357815384563</v>
      </c>
      <c r="G74" s="585">
        <f t="shared" si="0"/>
        <v>1.263761395460776</v>
      </c>
      <c r="H74" s="388"/>
      <c r="I74" s="586"/>
      <c r="J74" s="388"/>
      <c r="K74" s="520">
        <f>'4th Order Polynomial Tmp vs Res'!$I$40*E74^4 + '4th Order Polynomial Tmp vs Res'!$J$40*E74^3 + '4th Order Polynomial Tmp vs Res'!$K$40*E74^2 + '4th Order Polynomial Tmp vs Res'!$L$40*E74 + '4th Order Polynomial Tmp vs Res'!$M$40</f>
        <v>10.045590268598289</v>
      </c>
      <c r="L74" s="520">
        <f t="shared" si="12"/>
        <v>-4.5590268598289185E-2</v>
      </c>
      <c r="M74" s="388"/>
      <c r="N74" s="388"/>
      <c r="O74" s="388"/>
      <c r="P74" s="388"/>
      <c r="Q74" s="388"/>
      <c r="R74" s="388"/>
      <c r="S74" s="388"/>
      <c r="T74" s="388"/>
    </row>
    <row r="75" spans="1:22" ht="15" x14ac:dyDescent="0.25">
      <c r="A75" s="562">
        <v>52</v>
      </c>
      <c r="B75" s="563">
        <f t="shared" si="8"/>
        <v>11</v>
      </c>
      <c r="C75" s="564">
        <f t="shared" si="13"/>
        <v>8994.3832595599215</v>
      </c>
      <c r="D75" s="564">
        <f>IF(B75 &lt;= VLOOKUP(Main!$N$22,Coefficients!$E$2:$H$28,4,FALSE),E75,NA())</f>
        <v>9085.2356157170925</v>
      </c>
      <c r="E75" s="437">
        <f>'4th Order Polynomial Tmp vs Res'!$B$40+'4th Order Polynomial Tmp vs Res'!$C$40*POWER(B75,1)+'4th Order Polynomial Tmp vs Res'!$D$40*POWER(B75,2)+'4th Order Polynomial Tmp vs Res'!$E$40*POWER(B75,3)+'4th Order Polynomial Tmp vs Res'!$F$40*POWER(B75,4)</f>
        <v>9085.2356157170925</v>
      </c>
      <c r="F75" s="564">
        <f t="shared" si="14"/>
        <v>9176.0879718742635</v>
      </c>
      <c r="G75" s="585">
        <f t="shared" si="0"/>
        <v>1.2719329862003927</v>
      </c>
      <c r="H75" s="388"/>
      <c r="I75" s="586"/>
      <c r="J75" s="388"/>
      <c r="K75" s="520">
        <f>'4th Order Polynomial Tmp vs Res'!$I$40*E75^4 + '4th Order Polynomial Tmp vs Res'!$J$40*E75^3 + '4th Order Polynomial Tmp vs Res'!$K$40*E75^2 + '4th Order Polynomial Tmp vs Res'!$L$40*E75 + '4th Order Polynomial Tmp vs Res'!$M$40</f>
        <v>11.052184193037192</v>
      </c>
      <c r="L75" s="520">
        <f t="shared" si="12"/>
        <v>-5.2184193037192017E-2</v>
      </c>
      <c r="M75" s="388"/>
      <c r="N75" s="388"/>
      <c r="O75" s="388"/>
      <c r="P75" s="388"/>
      <c r="Q75" s="388"/>
      <c r="R75" s="388"/>
      <c r="S75" s="388"/>
      <c r="T75" s="388"/>
    </row>
    <row r="76" spans="1:22" ht="15" x14ac:dyDescent="0.25">
      <c r="A76" s="562">
        <v>53</v>
      </c>
      <c r="B76" s="563">
        <f t="shared" si="8"/>
        <v>12</v>
      </c>
      <c r="C76" s="564">
        <f t="shared" si="13"/>
        <v>9052.4649623227197</v>
      </c>
      <c r="D76" s="564">
        <f>IF(B76 &lt;= VLOOKUP(Main!$N$22,Coefficients!$E$2:$H$28,4,FALSE),E76,NA())</f>
        <v>9143.9040023461821</v>
      </c>
      <c r="E76" s="437">
        <f>'4th Order Polynomial Tmp vs Res'!$B$40+'4th Order Polynomial Tmp vs Res'!$C$40*POWER(B76,1)+'4th Order Polynomial Tmp vs Res'!$D$40*POWER(B76,2)+'4th Order Polynomial Tmp vs Res'!$E$40*POWER(B76,3)+'4th Order Polynomial Tmp vs Res'!$F$40*POWER(B76,4)</f>
        <v>9143.9040023461821</v>
      </c>
      <c r="F76" s="564">
        <f t="shared" si="14"/>
        <v>9235.3430423696445</v>
      </c>
      <c r="G76" s="585">
        <f t="shared" si="0"/>
        <v>1.2801465603284654</v>
      </c>
      <c r="H76" s="388"/>
      <c r="I76" s="586"/>
      <c r="J76" s="388"/>
      <c r="K76" s="520">
        <f>'4th Order Polynomial Tmp vs Res'!$I$40*E76^4 + '4th Order Polynomial Tmp vs Res'!$J$40*E76^3 + '4th Order Polynomial Tmp vs Res'!$K$40*E76^2 + '4th Order Polynomial Tmp vs Res'!$L$40*E76 + '4th Order Polynomial Tmp vs Res'!$M$40</f>
        <v>12.058425163678521</v>
      </c>
      <c r="L76" s="520">
        <f t="shared" si="12"/>
        <v>-5.842516367852113E-2</v>
      </c>
      <c r="M76" s="388"/>
      <c r="N76" s="388"/>
      <c r="O76" s="388"/>
      <c r="P76" s="388"/>
      <c r="Q76" s="388"/>
      <c r="R76" s="388"/>
      <c r="S76" s="388"/>
      <c r="T76" s="388"/>
    </row>
    <row r="77" spans="1:22" ht="15" x14ac:dyDescent="0.25">
      <c r="A77" s="562">
        <v>54</v>
      </c>
      <c r="B77" s="563">
        <f t="shared" si="8"/>
        <v>13</v>
      </c>
      <c r="C77" s="564">
        <f t="shared" si="13"/>
        <v>9110.8430734668855</v>
      </c>
      <c r="D77" s="564">
        <f>IF(B77 &lt;= VLOOKUP(Main!$N$22,Coefficients!$E$2:$H$28,4,FALSE),E77,NA())</f>
        <v>9202.8717913806922</v>
      </c>
      <c r="E77" s="437">
        <f>'4th Order Polynomial Tmp vs Res'!$B$40+'4th Order Polynomial Tmp vs Res'!$C$40*POWER(B77,1)+'4th Order Polynomial Tmp vs Res'!$D$40*POWER(B77,2)+'4th Order Polynomial Tmp vs Res'!$E$40*POWER(B77,3)+'4th Order Polynomial Tmp vs Res'!$F$40*POWER(B77,4)</f>
        <v>9202.8717913806922</v>
      </c>
      <c r="F77" s="564">
        <f t="shared" si="14"/>
        <v>9294.900509294499</v>
      </c>
      <c r="G77" s="585">
        <f t="shared" si="0"/>
        <v>1.2884020507932967</v>
      </c>
      <c r="H77" s="388"/>
      <c r="I77" s="586"/>
      <c r="J77" s="388"/>
      <c r="K77" s="520">
        <f>'4th Order Polynomial Tmp vs Res'!$I$40*E77^4 + '4th Order Polynomial Tmp vs Res'!$J$40*E77^3 + '4th Order Polynomial Tmp vs Res'!$K$40*E77^2 + '4th Order Polynomial Tmp vs Res'!$L$40*E77 + '4th Order Polynomial Tmp vs Res'!$M$40</f>
        <v>13.064295062784822</v>
      </c>
      <c r="L77" s="520">
        <f t="shared" si="12"/>
        <v>-6.4295062784822221E-2</v>
      </c>
      <c r="M77" s="388"/>
      <c r="N77" s="388"/>
      <c r="O77" s="388"/>
      <c r="P77" s="388"/>
      <c r="Q77" s="388"/>
      <c r="R77" s="388"/>
      <c r="S77" s="388"/>
      <c r="T77" s="388"/>
    </row>
    <row r="78" spans="1:22" ht="15" x14ac:dyDescent="0.25">
      <c r="A78" s="562">
        <v>55</v>
      </c>
      <c r="B78" s="563">
        <f t="shared" si="8"/>
        <v>14</v>
      </c>
      <c r="C78" s="564">
        <f t="shared" si="13"/>
        <v>9169.5171616600674</v>
      </c>
      <c r="D78" s="564">
        <f>IF(B78 &lt;= VLOOKUP(Main!$N$22,Coefficients!$E$2:$H$28,4,FALSE),E78,NA())</f>
        <v>9262.1385471313806</v>
      </c>
      <c r="E78" s="437">
        <f>'4th Order Polynomial Tmp vs Res'!$B$40+'4th Order Polynomial Tmp vs Res'!$C$40*POWER(B78,1)+'4th Order Polynomial Tmp vs Res'!$D$40*POWER(B78,2)+'4th Order Polynomial Tmp vs Res'!$E$40*POWER(B78,3)+'4th Order Polynomial Tmp vs Res'!$F$40*POWER(B78,4)</f>
        <v>9262.1385471313806</v>
      </c>
      <c r="F78" s="564">
        <f t="shared" si="14"/>
        <v>9354.7599326026939</v>
      </c>
      <c r="G78" s="585">
        <f t="shared" si="0"/>
        <v>1.2966993965983933</v>
      </c>
      <c r="H78" s="388"/>
      <c r="I78" s="586"/>
      <c r="J78" s="388"/>
      <c r="K78" s="520">
        <f>'4th Order Polynomial Tmp vs Res'!$I$40*E78^4 + '4th Order Polynomial Tmp vs Res'!$J$40*E78^3 + '4th Order Polynomial Tmp vs Res'!$K$40*E78^2 + '4th Order Polynomial Tmp vs Res'!$L$40*E78 + '4th Order Polynomial Tmp vs Res'!$M$40</f>
        <v>14.069777700389238</v>
      </c>
      <c r="L78" s="520">
        <f t="shared" si="12"/>
        <v>-6.9777700389238362E-2</v>
      </c>
      <c r="M78" s="388"/>
      <c r="N78" s="388"/>
      <c r="O78" s="388"/>
      <c r="P78" s="388"/>
      <c r="Q78" s="388"/>
      <c r="R78" s="388"/>
      <c r="S78" s="388"/>
      <c r="T78" s="388"/>
    </row>
    <row r="79" spans="1:22" ht="15" x14ac:dyDescent="0.25">
      <c r="A79" s="562">
        <v>56</v>
      </c>
      <c r="B79" s="563">
        <f t="shared" si="8"/>
        <v>15</v>
      </c>
      <c r="C79" s="564">
        <f t="shared" si="13"/>
        <v>9228.4868383888406</v>
      </c>
      <c r="D79" s="564">
        <f>IF(B79 &lt;= VLOOKUP(Main!$N$22,Coefficients!$E$2:$H$28,4,FALSE),E79,NA())</f>
        <v>9321.7038771604457</v>
      </c>
      <c r="E79" s="437">
        <f>'4th Order Polynomial Tmp vs Res'!$B$40+'4th Order Polynomial Tmp vs Res'!$C$40*POWER(B79,1)+'4th Order Polynomial Tmp vs Res'!$D$40*POWER(B79,2)+'4th Order Polynomial Tmp vs Res'!$E$40*POWER(B79,3)+'4th Order Polynomial Tmp vs Res'!$F$40*POWER(B79,4)</f>
        <v>9321.7038771604457</v>
      </c>
      <c r="F79" s="564">
        <f t="shared" si="14"/>
        <v>9414.9209159320508</v>
      </c>
      <c r="G79" s="585">
        <f t="shared" si="0"/>
        <v>1.3050385428024622</v>
      </c>
      <c r="H79" s="388"/>
      <c r="I79" s="586"/>
      <c r="J79" s="388"/>
      <c r="K79" s="520">
        <f>'4th Order Polynomial Tmp vs Res'!$I$40*E79^4 + '4th Order Polynomial Tmp vs Res'!$J$40*E79^3 + '4th Order Polynomial Tmp vs Res'!$K$40*E79^2 + '4th Order Polynomial Tmp vs Res'!$L$40*E79 + '4th Order Polynomial Tmp vs Res'!$M$40</f>
        <v>15.074858776886629</v>
      </c>
      <c r="L79" s="520">
        <f t="shared" si="12"/>
        <v>-7.4858776886628675E-2</v>
      </c>
      <c r="M79" s="388"/>
      <c r="N79" s="388"/>
      <c r="O79" s="388"/>
      <c r="P79" s="388"/>
      <c r="Q79" s="388"/>
      <c r="R79" s="388"/>
      <c r="S79" s="388"/>
      <c r="T79" s="388"/>
    </row>
    <row r="80" spans="1:22" ht="15" x14ac:dyDescent="0.25">
      <c r="A80" s="562">
        <v>57</v>
      </c>
      <c r="B80" s="563">
        <f t="shared" si="8"/>
        <v>16</v>
      </c>
      <c r="C80" s="564">
        <f t="shared" si="13"/>
        <v>9287.7517579587056</v>
      </c>
      <c r="D80" s="564">
        <f>IF(B80 &lt;= VLOOKUP(Main!$N$22,Coefficients!$E$2:$H$28,4,FALSE),E80,NA())</f>
        <v>9381.5674322815212</v>
      </c>
      <c r="E80" s="437">
        <f>'4th Order Polynomial Tmp vs Res'!$B$40+'4th Order Polynomial Tmp vs Res'!$C$40*POWER(B80,1)+'4th Order Polynomial Tmp vs Res'!$D$40*POWER(B80,2)+'4th Order Polynomial Tmp vs Res'!$E$40*POWER(B80,3)+'4th Order Polynomial Tmp vs Res'!$F$40*POWER(B80,4)</f>
        <v>9381.5674322815212</v>
      </c>
      <c r="F80" s="564">
        <f t="shared" si="14"/>
        <v>9475.3831066043367</v>
      </c>
      <c r="G80" s="585">
        <f t="shared" si="0"/>
        <v>1.3134194405194128</v>
      </c>
      <c r="H80" s="388"/>
      <c r="I80" s="586"/>
      <c r="J80" s="388"/>
      <c r="K80" s="520">
        <f>'4th Order Polynomial Tmp vs Res'!$I$40*E80^4 + '4th Order Polynomial Tmp vs Res'!$J$40*E80^3 + '4th Order Polynomial Tmp vs Res'!$K$40*E80^2 + '4th Order Polynomial Tmp vs Res'!$L$40*E80 + '4th Order Polynomial Tmp vs Res'!$M$40</f>
        <v>16.079525845268222</v>
      </c>
      <c r="L80" s="520">
        <f t="shared" si="12"/>
        <v>-7.9525845268221929E-2</v>
      </c>
      <c r="M80" s="388"/>
      <c r="N80" s="388"/>
      <c r="O80" s="388"/>
      <c r="P80" s="388"/>
      <c r="Q80" s="388"/>
      <c r="R80" s="388"/>
      <c r="S80" s="388"/>
      <c r="T80" s="388"/>
    </row>
    <row r="81" spans="1:20" ht="15" x14ac:dyDescent="0.25">
      <c r="A81" s="562">
        <v>58</v>
      </c>
      <c r="B81" s="563">
        <f t="shared" si="8"/>
        <v>17</v>
      </c>
      <c r="C81" s="564">
        <f t="shared" si="13"/>
        <v>9347.3116174940915</v>
      </c>
      <c r="D81" s="564">
        <f>IF(B81 &lt;= VLOOKUP(Main!$N$22,Coefficients!$E$2:$H$28,4,FALSE),E81,NA())</f>
        <v>9441.7289065596888</v>
      </c>
      <c r="E81" s="437">
        <f>'4th Order Polynomial Tmp vs Res'!$B$40+'4th Order Polynomial Tmp vs Res'!$C$40*POWER(B81,1)+'4th Order Polynomial Tmp vs Res'!$D$40*POWER(B81,2)+'4th Order Polynomial Tmp vs Res'!$E$40*POWER(B81,3)+'4th Order Polynomial Tmp vs Res'!$F$40*POWER(B81,4)</f>
        <v>9441.7289065596888</v>
      </c>
      <c r="F81" s="564">
        <f t="shared" si="14"/>
        <v>9536.1461956252861</v>
      </c>
      <c r="G81" s="585">
        <f t="shared" si="0"/>
        <v>1.3218420469183563</v>
      </c>
      <c r="H81" s="388"/>
      <c r="I81" s="586"/>
      <c r="J81" s="388"/>
      <c r="K81" s="520">
        <f>'4th Order Polynomial Tmp vs Res'!$I$40*E81^4 + '4th Order Polynomial Tmp vs Res'!$J$40*E81^3 + '4th Order Polynomial Tmp vs Res'!$K$40*E81^2 + '4th Order Polynomial Tmp vs Res'!$L$40*E81 + '4th Order Polynomial Tmp vs Res'!$M$40</f>
        <v>17.083768272999237</v>
      </c>
      <c r="L81" s="520">
        <f t="shared" si="12"/>
        <v>-8.3768272999236615E-2</v>
      </c>
      <c r="M81" s="388"/>
      <c r="N81" s="388"/>
      <c r="O81" s="388"/>
      <c r="P81" s="388"/>
      <c r="Q81" s="388"/>
      <c r="R81" s="388"/>
      <c r="S81" s="388"/>
      <c r="T81" s="388"/>
    </row>
    <row r="82" spans="1:20" ht="15" x14ac:dyDescent="0.25">
      <c r="A82" s="562">
        <v>59</v>
      </c>
      <c r="B82" s="563">
        <f t="shared" si="8"/>
        <v>18</v>
      </c>
      <c r="C82" s="564">
        <f t="shared" si="13"/>
        <v>9407.1661569383486</v>
      </c>
      <c r="D82" s="564">
        <f>IF(B82 &lt;= VLOOKUP(Main!$N$22,Coefficients!$E$2:$H$28,4,FALSE),E82,NA())</f>
        <v>9502.1880373114636</v>
      </c>
      <c r="E82" s="437">
        <f>'4th Order Polynomial Tmp vs Res'!$B$40+'4th Order Polynomial Tmp vs Res'!$C$40*POWER(B82,1)+'4th Order Polynomial Tmp vs Res'!$D$40*POWER(B82,2)+'4th Order Polynomial Tmp vs Res'!$E$40*POWER(B82,3)+'4th Order Polynomial Tmp vs Res'!$F$40*POWER(B82,4)</f>
        <v>9502.1880373114636</v>
      </c>
      <c r="F82" s="564">
        <f t="shared" si="14"/>
        <v>9597.2099176845786</v>
      </c>
      <c r="G82" s="585">
        <f t="shared" si="0"/>
        <v>1.3303063252236047</v>
      </c>
      <c r="H82" s="388"/>
      <c r="I82" s="586"/>
      <c r="J82" s="388"/>
      <c r="K82" s="520">
        <f>'4th Order Polynomial Tmp vs Res'!$I$40*E82^4 + '4th Order Polynomial Tmp vs Res'!$J$40*E82^3 + '4th Order Polynomial Tmp vs Res'!$K$40*E82^2 + '4th Order Polynomial Tmp vs Res'!$L$40*E82 + '4th Order Polynomial Tmp vs Res'!$M$40</f>
        <v>18.087577203540036</v>
      </c>
      <c r="L82" s="520">
        <f t="shared" si="12"/>
        <v>-8.7577203540035953E-2</v>
      </c>
      <c r="M82" s="388"/>
      <c r="N82" s="388"/>
      <c r="O82" s="388"/>
      <c r="P82" s="388"/>
      <c r="Q82" s="388"/>
      <c r="R82" s="388"/>
      <c r="S82" s="388"/>
      <c r="T82" s="388"/>
    </row>
    <row r="83" spans="1:20" ht="15" x14ac:dyDescent="0.25">
      <c r="A83" s="562">
        <v>60</v>
      </c>
      <c r="B83" s="563">
        <f t="shared" si="8"/>
        <v>19</v>
      </c>
      <c r="C83" s="564">
        <f t="shared" si="13"/>
        <v>9467.31515905376</v>
      </c>
      <c r="D83" s="564">
        <f>IF(B83 &lt;= VLOOKUP(Main!$N$22,Coefficients!$E$2:$H$28,4,FALSE),E83,NA())</f>
        <v>9562.9446051048089</v>
      </c>
      <c r="E83" s="437">
        <f>'4th Order Polynomial Tmp vs Res'!$B$40+'4th Order Polynomial Tmp vs Res'!$C$40*POWER(B83,1)+'4th Order Polynomial Tmp vs Res'!$D$40*POWER(B83,2)+'4th Order Polynomial Tmp vs Res'!$E$40*POWER(B83,3)+'4th Order Polynomial Tmp vs Res'!$F$40*POWER(B83,4)</f>
        <v>9562.9446051048089</v>
      </c>
      <c r="F83" s="564">
        <f t="shared" si="14"/>
        <v>9658.5740511558579</v>
      </c>
      <c r="G83" s="585">
        <f t="shared" si="0"/>
        <v>1.3388122447146731</v>
      </c>
      <c r="H83" s="388"/>
      <c r="I83" s="586"/>
      <c r="J83" s="388"/>
      <c r="K83" s="520">
        <f>'4th Order Polynomial Tmp vs Res'!$I$40*E83^4 + '4th Order Polynomial Tmp vs Res'!$J$40*E83^3 + '4th Order Polynomial Tmp vs Res'!$K$40*E83^2 + '4th Order Polynomial Tmp vs Res'!$L$40*E83 + '4th Order Polynomial Tmp vs Res'!$M$40</f>
        <v>19.090945517508715</v>
      </c>
      <c r="L83" s="520">
        <f t="shared" si="12"/>
        <v>-9.0945517508714602E-2</v>
      </c>
      <c r="M83" s="388"/>
      <c r="N83" s="388"/>
      <c r="O83" s="388"/>
      <c r="P83" s="388"/>
      <c r="Q83" s="388"/>
      <c r="R83" s="388"/>
      <c r="S83" s="388"/>
      <c r="T83" s="388"/>
    </row>
    <row r="84" spans="1:20" ht="15" x14ac:dyDescent="0.25">
      <c r="A84" s="562">
        <v>61</v>
      </c>
      <c r="B84" s="563">
        <f t="shared" si="8"/>
        <v>20</v>
      </c>
      <c r="C84" s="564">
        <f t="shared" si="13"/>
        <v>9527.7584494215389</v>
      </c>
      <c r="D84" s="564">
        <f>IF(B84 &lt;= VLOOKUP(Main!$N$22,Coefficients!$E$2:$H$28,4,FALSE),E84,NA())</f>
        <v>9623.9984337591304</v>
      </c>
      <c r="E84" s="437">
        <f>'4th Order Polynomial Tmp vs Res'!$B$40+'4th Order Polynomial Tmp vs Res'!$C$40*POWER(B84,1)+'4th Order Polynomial Tmp vs Res'!$D$40*POWER(B84,2)+'4th Order Polynomial Tmp vs Res'!$E$40*POWER(B84,3)+'4th Order Polynomial Tmp vs Res'!$F$40*POWER(B84,4)</f>
        <v>9623.9984337591304</v>
      </c>
      <c r="F84" s="564">
        <f t="shared" si="14"/>
        <v>9720.2384180967219</v>
      </c>
      <c r="G84" s="585">
        <f t="shared" si="0"/>
        <v>1.347359780726278</v>
      </c>
      <c r="H84" s="388"/>
      <c r="I84" s="586"/>
      <c r="J84" s="388"/>
      <c r="K84" s="520">
        <f>'4th Order Polynomial Tmp vs Res'!$I$40*E84^4 + '4th Order Polynomial Tmp vs Res'!$J$40*E84^3 + '4th Order Polynomial Tmp vs Res'!$K$40*E84^2 + '4th Order Polynomial Tmp vs Res'!$L$40*E84 + '4th Order Polynomial Tmp vs Res'!$M$40</f>
        <v>20.093867793484662</v>
      </c>
      <c r="L84" s="520">
        <f t="shared" si="12"/>
        <v>-9.3867793484662343E-2</v>
      </c>
      <c r="M84" s="388"/>
      <c r="N84" s="388"/>
      <c r="O84" s="388"/>
      <c r="P84" s="388"/>
      <c r="Q84" s="388"/>
      <c r="R84" s="388"/>
      <c r="S84" s="388"/>
      <c r="T84" s="388"/>
    </row>
    <row r="85" spans="1:20" ht="15" x14ac:dyDescent="0.25">
      <c r="A85" s="562">
        <v>62</v>
      </c>
      <c r="B85" s="563">
        <f t="shared" si="8"/>
        <v>21</v>
      </c>
      <c r="C85" s="564">
        <f t="shared" si="13"/>
        <v>9588.4958964418183</v>
      </c>
      <c r="D85" s="564">
        <f>IF(B85 &lt;= VLOOKUP(Main!$N$22,Coefficients!$E$2:$H$28,4,FALSE),E85,NA())</f>
        <v>9685.3493903452709</v>
      </c>
      <c r="E85" s="437">
        <f>'4th Order Polynomial Tmp vs Res'!$B$40+'4th Order Polynomial Tmp vs Res'!$C$40*POWER(B85,1)+'4th Order Polynomial Tmp vs Res'!$D$40*POWER(B85,2)+'4th Order Polynomial Tmp vs Res'!$E$40*POWER(B85,3)+'4th Order Polynomial Tmp vs Res'!$F$40*POWER(B85,4)</f>
        <v>9685.3493903452709</v>
      </c>
      <c r="F85" s="564">
        <f t="shared" si="14"/>
        <v>9782.2028842487234</v>
      </c>
      <c r="G85" s="585">
        <f t="shared" si="0"/>
        <v>1.3559489146483379</v>
      </c>
      <c r="H85" s="388"/>
      <c r="I85" s="586"/>
      <c r="J85" s="388"/>
      <c r="K85" s="520">
        <f>'4th Order Polynomial Tmp vs Res'!$I$40*E85^4 + '4th Order Polynomial Tmp vs Res'!$J$40*E85^3 + '4th Order Polynomial Tmp vs Res'!$K$40*E85^2 + '4th Order Polynomial Tmp vs Res'!$L$40*E85 + '4th Order Polynomial Tmp vs Res'!$M$40</f>
        <v>21.096340268447932</v>
      </c>
      <c r="L85" s="520">
        <f t="shared" si="12"/>
        <v>-9.6340268447931976E-2</v>
      </c>
      <c r="M85" s="388"/>
      <c r="N85" s="388"/>
      <c r="O85" s="388"/>
      <c r="P85" s="388"/>
      <c r="Q85" s="388"/>
      <c r="R85" s="388"/>
      <c r="S85" s="388"/>
      <c r="T85" s="388"/>
    </row>
    <row r="86" spans="1:20" ht="15" x14ac:dyDescent="0.25">
      <c r="A86" s="562">
        <v>63</v>
      </c>
      <c r="B86" s="563">
        <f t="shared" si="8"/>
        <v>22</v>
      </c>
      <c r="C86" s="564">
        <f t="shared" si="13"/>
        <v>9649.5274113336545</v>
      </c>
      <c r="D86" s="564">
        <f>IF(B86 &lt;= VLOOKUP(Main!$N$22,Coefficients!$E$2:$H$28,4,FALSE),E86,NA())</f>
        <v>9746.9973851855102</v>
      </c>
      <c r="E86" s="437">
        <f>'4th Order Polynomial Tmp vs Res'!$B$40+'4th Order Polynomial Tmp vs Res'!$C$40*POWER(B86,1)+'4th Order Polynomial Tmp vs Res'!$D$40*POWER(B86,2)+'4th Order Polynomial Tmp vs Res'!$E$40*POWER(B86,3)+'4th Order Polynomial Tmp vs Res'!$F$40*POWER(B86,4)</f>
        <v>9746.9973851855102</v>
      </c>
      <c r="F86" s="564">
        <f t="shared" si="14"/>
        <v>9844.4673590373659</v>
      </c>
      <c r="G86" s="585">
        <f t="shared" si="0"/>
        <v>1.3645796339259713</v>
      </c>
      <c r="H86" s="388"/>
      <c r="I86" s="586"/>
      <c r="J86" s="388"/>
      <c r="K86" s="520">
        <f>'4th Order Polynomial Tmp vs Res'!$I$40*E86^4 + '4th Order Polynomial Tmp vs Res'!$J$40*E86^3 + '4th Order Polynomial Tmp vs Res'!$K$40*E86^2 + '4th Order Polynomial Tmp vs Res'!$L$40*E86 + '4th Order Polynomial Tmp vs Res'!$M$40</f>
        <v>22.098360797851058</v>
      </c>
      <c r="L86" s="520">
        <f t="shared" si="12"/>
        <v>-9.8360797851057669E-2</v>
      </c>
      <c r="M86" s="388"/>
      <c r="N86" s="388"/>
      <c r="O86" s="388"/>
      <c r="P86" s="388"/>
      <c r="Q86" s="388"/>
      <c r="R86" s="388"/>
      <c r="S86" s="388"/>
      <c r="T86" s="388"/>
    </row>
    <row r="87" spans="1:20" ht="15" x14ac:dyDescent="0.25">
      <c r="A87" s="562">
        <v>64</v>
      </c>
      <c r="B87" s="563">
        <f t="shared" si="8"/>
        <v>23</v>
      </c>
      <c r="C87" s="564">
        <f t="shared" si="13"/>
        <v>9710.8529481350433</v>
      </c>
      <c r="D87" s="564">
        <f>IF(B87 &lt;= VLOOKUP(Main!$N$22,Coefficients!$E$2:$H$28,4,FALSE),E87,NA())</f>
        <v>9808.94237185358</v>
      </c>
      <c r="E87" s="437">
        <f>'4th Order Polynomial Tmp vs Res'!$B$40+'4th Order Polynomial Tmp vs Res'!$C$40*POWER(B87,1)+'4th Order Polynomial Tmp vs Res'!$D$40*POWER(B87,2)+'4th Order Polynomial Tmp vs Res'!$E$40*POWER(B87,3)+'4th Order Polynomial Tmp vs Res'!$F$40*POWER(B87,4)</f>
        <v>9808.94237185358</v>
      </c>
      <c r="F87" s="564">
        <f t="shared" si="14"/>
        <v>9907.0317955721166</v>
      </c>
      <c r="G87" s="585">
        <f t="shared" si="0"/>
        <v>1.3732519320595011</v>
      </c>
      <c r="H87" s="388"/>
      <c r="I87" s="586"/>
      <c r="J87" s="388"/>
      <c r="K87" s="520">
        <f>'4th Order Polynomial Tmp vs Res'!$I$40*E87^4 + '4th Order Polynomial Tmp vs Res'!$J$40*E87^3 + '4th Order Polynomial Tmp vs Res'!$K$40*E87^2 + '4th Order Polynomial Tmp vs Res'!$L$40*E87 + '4th Order Polynomial Tmp vs Res'!$M$40</f>
        <v>23.099928815316275</v>
      </c>
      <c r="L87" s="520">
        <f t="shared" si="12"/>
        <v>-9.9928815316275177E-2</v>
      </c>
      <c r="M87" s="388"/>
      <c r="N87" s="388"/>
      <c r="O87" s="388"/>
      <c r="P87" s="388"/>
      <c r="Q87" s="388"/>
      <c r="R87" s="388"/>
      <c r="S87" s="388"/>
      <c r="T87" s="388"/>
    </row>
    <row r="88" spans="1:20" ht="15" x14ac:dyDescent="0.25">
      <c r="A88" s="562">
        <v>65</v>
      </c>
      <c r="B88" s="563">
        <f t="shared" si="8"/>
        <v>24</v>
      </c>
      <c r="C88" s="564">
        <f t="shared" si="13"/>
        <v>9772.4725037028984</v>
      </c>
      <c r="D88" s="564">
        <f>IF(B88 &lt;= VLOOKUP(Main!$N$22,Coefficients!$E$2:$H$28,4,FALSE),E88,NA())</f>
        <v>9871.1843471746452</v>
      </c>
      <c r="E88" s="437">
        <f>'4th Order Polynomial Tmp vs Res'!$B$40+'4th Order Polynomial Tmp vs Res'!$C$40*POWER(B88,1)+'4th Order Polynomial Tmp vs Res'!$D$40*POWER(B88,2)+'4th Order Polynomial Tmp vs Res'!$E$40*POWER(B88,3)+'4th Order Polynomial Tmp vs Res'!$F$40*POWER(B88,4)</f>
        <v>9871.1843471746452</v>
      </c>
      <c r="F88" s="564">
        <f t="shared" si="14"/>
        <v>9969.8961906463919</v>
      </c>
      <c r="G88" s="585">
        <f t="shared" ref="G88:G151" si="15">IFERROR(D88*(($B$18/1000000)),NA())</f>
        <v>1.3819658086044502</v>
      </c>
      <c r="H88" s="388"/>
      <c r="I88" s="586"/>
      <c r="J88" s="388"/>
      <c r="K88" s="520">
        <f>'4th Order Polynomial Tmp vs Res'!$I$40*E88^4 + '4th Order Polynomial Tmp vs Res'!$J$40*E88^3 + '4th Order Polynomial Tmp vs Res'!$K$40*E88^2 + '4th Order Polynomial Tmp vs Res'!$L$40*E88 + '4th Order Polynomial Tmp vs Res'!$M$40</f>
        <v>24.10104529195047</v>
      </c>
      <c r="L88" s="520">
        <f t="shared" ref="L88:L119" si="16">B88-K88</f>
        <v>-0.10104529195047007</v>
      </c>
      <c r="M88" s="388"/>
      <c r="N88" s="388"/>
      <c r="O88" s="388"/>
      <c r="P88" s="388"/>
      <c r="Q88" s="388"/>
      <c r="R88" s="388"/>
      <c r="S88" s="388"/>
      <c r="T88" s="388"/>
    </row>
    <row r="89" spans="1:20" ht="15" x14ac:dyDescent="0.25">
      <c r="A89" s="562">
        <v>66</v>
      </c>
      <c r="B89" s="573">
        <f t="shared" si="8"/>
        <v>25</v>
      </c>
      <c r="C89" s="564">
        <f t="shared" si="13"/>
        <v>9834.3861177130639</v>
      </c>
      <c r="D89" s="564">
        <f>IF(B89 &lt;= VLOOKUP(Main!$N$22,Coefficients!$E$2:$H$28,4,FALSE),E89,NA())</f>
        <v>9933.7233512253169</v>
      </c>
      <c r="E89" s="437">
        <f>'4th Order Polynomial Tmp vs Res'!$B$40+'4th Order Polynomial Tmp vs Res'!$C$40*POWER(B89,1)+'4th Order Polynomial Tmp vs Res'!$D$40*POWER(B89,2)+'4th Order Polynomial Tmp vs Res'!$E$40*POWER(B89,3)+'4th Order Polynomial Tmp vs Res'!$F$40*POWER(B89,4)</f>
        <v>9933.7233512253169</v>
      </c>
      <c r="F89" s="564">
        <f t="shared" si="14"/>
        <v>10033.06058473757</v>
      </c>
      <c r="G89" s="585">
        <f t="shared" si="15"/>
        <v>1.3907212691715443</v>
      </c>
      <c r="H89" s="388"/>
      <c r="I89" s="586"/>
      <c r="J89" s="388"/>
      <c r="K89" s="520">
        <f>'4th Order Polynomial Tmp vs Res'!$I$40*E89^4 + '4th Order Polynomial Tmp vs Res'!$J$40*E89^3 + '4th Order Polynomial Tmp vs Res'!$K$40*E89^2 + '4th Order Polynomial Tmp vs Res'!$L$40*E89 + '4th Order Polynomial Tmp vs Res'!$M$40</f>
        <v>25.101712695271544</v>
      </c>
      <c r="L89" s="520">
        <f t="shared" si="16"/>
        <v>-0.10171269527154436</v>
      </c>
      <c r="M89" s="388"/>
      <c r="N89" s="388"/>
      <c r="O89" s="388"/>
      <c r="P89" s="388"/>
      <c r="Q89" s="388"/>
      <c r="R89" s="388"/>
      <c r="S89" s="388"/>
      <c r="T89" s="388"/>
    </row>
    <row r="90" spans="1:20" ht="15" x14ac:dyDescent="0.25">
      <c r="A90" s="562">
        <v>67</v>
      </c>
      <c r="B90" s="563">
        <f t="shared" ref="B90:B153" si="17">B89+1</f>
        <v>26</v>
      </c>
      <c r="C90" s="564">
        <f t="shared" si="13"/>
        <v>9896.593872660309</v>
      </c>
      <c r="D90" s="564">
        <f>IF(B90 &lt;= VLOOKUP(Main!$N$22,Coefficients!$E$2:$H$28,4,FALSE),E90,NA())</f>
        <v>9996.5594673336454</v>
      </c>
      <c r="E90" s="437">
        <f>'4th Order Polynomial Tmp vs Res'!$B$40+'4th Order Polynomial Tmp vs Res'!$C$40*POWER(B90,1)+'4th Order Polynomial Tmp vs Res'!$D$40*POWER(B90,2)+'4th Order Polynomial Tmp vs Res'!$E$40*POWER(B90,3)+'4th Order Polynomial Tmp vs Res'!$F$40*POWER(B90,4)</f>
        <v>9996.5594673336454</v>
      </c>
      <c r="F90" s="564">
        <f t="shared" si="14"/>
        <v>10096.525062006982</v>
      </c>
      <c r="G90" s="585">
        <f t="shared" si="15"/>
        <v>1.3995183254267103</v>
      </c>
      <c r="H90" s="388"/>
      <c r="I90" s="586"/>
      <c r="J90" s="388"/>
      <c r="K90" s="520">
        <f>'4th Order Polynomial Tmp vs Res'!$I$40*E90^4 + '4th Order Polynomial Tmp vs Res'!$J$40*E90^3 + '4th Order Polynomial Tmp vs Res'!$K$40*E90^2 + '4th Order Polynomial Tmp vs Res'!$L$40*E90 + '4th Order Polynomial Tmp vs Res'!$M$40</f>
        <v>26.101934947733184</v>
      </c>
      <c r="L90" s="520">
        <f t="shared" si="16"/>
        <v>-0.10193494773318434</v>
      </c>
      <c r="M90" s="388"/>
      <c r="N90" s="388"/>
      <c r="O90" s="388"/>
      <c r="P90" s="388"/>
      <c r="Q90" s="388"/>
      <c r="R90" s="388"/>
      <c r="S90" s="388"/>
      <c r="T90" s="388"/>
    </row>
    <row r="91" spans="1:20" ht="15" x14ac:dyDescent="0.25">
      <c r="A91" s="562">
        <v>68</v>
      </c>
      <c r="B91" s="563">
        <f t="shared" si="17"/>
        <v>27</v>
      </c>
      <c r="C91" s="564">
        <f t="shared" si="13"/>
        <v>9959.0958938583317</v>
      </c>
      <c r="D91" s="564">
        <f>IF(B91 &lt;= VLOOKUP(Main!$N$22,Coefficients!$E$2:$H$28,4,FALSE),E91,NA())</f>
        <v>10059.692822079123</v>
      </c>
      <c r="E91" s="437">
        <f>'4th Order Polynomial Tmp vs Res'!$B$40+'4th Order Polynomial Tmp vs Res'!$C$40*POWER(B91,1)+'4th Order Polynomial Tmp vs Res'!$D$40*POWER(B91,2)+'4th Order Polynomial Tmp vs Res'!$E$40*POWER(B91,3)+'4th Order Polynomial Tmp vs Res'!$F$40*POWER(B91,4)</f>
        <v>10059.692822079123</v>
      </c>
      <c r="F91" s="564">
        <f t="shared" si="14"/>
        <v>10160.289750299915</v>
      </c>
      <c r="G91" s="585">
        <f t="shared" si="15"/>
        <v>1.408356995091077</v>
      </c>
      <c r="H91" s="388"/>
      <c r="I91" s="586"/>
      <c r="J91" s="388"/>
      <c r="K91" s="520">
        <f>'4th Order Polynomial Tmp vs Res'!$I$40*E91^4 + '4th Order Polynomial Tmp vs Res'!$J$40*E91^3 + '4th Order Polynomial Tmp vs Res'!$K$40*E91^2 + '4th Order Polynomial Tmp vs Res'!$L$40*E91 + '4th Order Polynomial Tmp vs Res'!$M$40</f>
        <v>27.10171738483939</v>
      </c>
      <c r="L91" s="520">
        <f t="shared" si="16"/>
        <v>-0.10171738483938952</v>
      </c>
      <c r="M91" s="388"/>
      <c r="N91" s="388"/>
      <c r="O91" s="388"/>
      <c r="P91" s="388"/>
      <c r="Q91" s="388"/>
      <c r="R91" s="388"/>
      <c r="S91" s="388"/>
      <c r="T91" s="388"/>
    </row>
    <row r="92" spans="1:20" ht="15" x14ac:dyDescent="0.25">
      <c r="A92" s="562">
        <v>69</v>
      </c>
      <c r="B92" s="563">
        <f t="shared" si="17"/>
        <v>28</v>
      </c>
      <c r="C92" s="564">
        <f t="shared" si="13"/>
        <v>10021.892349439751</v>
      </c>
      <c r="D92" s="564">
        <f>IF(B92 &lt;= VLOOKUP(Main!$N$22,Coefficients!$E$2:$H$28,4,FALSE),E92,NA())</f>
        <v>10123.123585292678</v>
      </c>
      <c r="E92" s="437">
        <f>'4th Order Polynomial Tmp vs Res'!$B$40+'4th Order Polynomial Tmp vs Res'!$C$40*POWER(B92,1)+'4th Order Polynomial Tmp vs Res'!$D$40*POWER(B92,2)+'4th Order Polynomial Tmp vs Res'!$E$40*POWER(B92,3)+'4th Order Polynomial Tmp vs Res'!$F$40*POWER(B92,4)</f>
        <v>10123.123585292678</v>
      </c>
      <c r="F92" s="564">
        <f t="shared" si="14"/>
        <v>10224.354821145605</v>
      </c>
      <c r="G92" s="585">
        <f t="shared" si="15"/>
        <v>1.4172373019409747</v>
      </c>
      <c r="H92" s="388"/>
      <c r="I92" s="586"/>
      <c r="J92" s="388"/>
      <c r="K92" s="520">
        <f>'4th Order Polynomial Tmp vs Res'!$I$40*E92^4 + '4th Order Polynomial Tmp vs Res'!$J$40*E92^3 + '4th Order Polynomial Tmp vs Res'!$K$40*E92^2 + '4th Order Polynomial Tmp vs Res'!$L$40*E92 + '4th Order Polynomial Tmp vs Res'!$M$40</f>
        <v>28.10106671283404</v>
      </c>
      <c r="L92" s="520">
        <f t="shared" si="16"/>
        <v>-0.10106671283404012</v>
      </c>
      <c r="M92" s="388"/>
      <c r="N92" s="388"/>
      <c r="O92" s="388"/>
      <c r="P92" s="388"/>
      <c r="Q92" s="388"/>
      <c r="R92" s="388"/>
      <c r="S92" s="388"/>
      <c r="T92" s="388"/>
    </row>
    <row r="93" spans="1:20" ht="15" x14ac:dyDescent="0.25">
      <c r="A93" s="562">
        <v>70</v>
      </c>
      <c r="B93" s="563">
        <f t="shared" si="17"/>
        <v>29</v>
      </c>
      <c r="C93" s="564">
        <f t="shared" si="13"/>
        <v>10084.983450356121</v>
      </c>
      <c r="D93" s="564">
        <f>IF(B93 &lt;= VLOOKUP(Main!$N$22,Coefficients!$E$2:$H$28,4,FALSE),E93,NA())</f>
        <v>10186.851970056689</v>
      </c>
      <c r="E93" s="437">
        <f>'4th Order Polynomial Tmp vs Res'!$B$40+'4th Order Polynomial Tmp vs Res'!$C$40*POWER(B93,1)+'4th Order Polynomial Tmp vs Res'!$D$40*POWER(B93,2)+'4th Order Polynomial Tmp vs Res'!$E$40*POWER(B93,3)+'4th Order Polynomial Tmp vs Res'!$F$40*POWER(B93,4)</f>
        <v>10186.851970056689</v>
      </c>
      <c r="F93" s="564">
        <f t="shared" si="14"/>
        <v>10288.720489757256</v>
      </c>
      <c r="G93" s="585">
        <f t="shared" si="15"/>
        <v>1.4261592758079362</v>
      </c>
      <c r="H93" s="388"/>
      <c r="I93" s="586"/>
      <c r="J93" s="388"/>
      <c r="K93" s="520">
        <f>'4th Order Polynomial Tmp vs Res'!$I$40*E93^4 + '4th Order Polynomial Tmp vs Res'!$J$40*E93^3 + '4th Order Polynomial Tmp vs Res'!$K$40*E93^2 + '4th Order Polynomial Tmp vs Res'!$L$40*E93 + '4th Order Polynomial Tmp vs Res'!$M$40</f>
        <v>29.099990965953737</v>
      </c>
      <c r="L93" s="520">
        <f t="shared" si="16"/>
        <v>-9.9990965953736577E-2</v>
      </c>
      <c r="M93" s="388"/>
      <c r="N93" s="388"/>
      <c r="O93" s="388"/>
      <c r="P93" s="388"/>
      <c r="Q93" s="388"/>
      <c r="R93" s="388"/>
      <c r="S93" s="388"/>
      <c r="T93" s="388"/>
    </row>
    <row r="94" spans="1:20" ht="15" x14ac:dyDescent="0.25">
      <c r="A94" s="562">
        <v>71</v>
      </c>
      <c r="B94" s="563">
        <f t="shared" si="17"/>
        <v>30</v>
      </c>
      <c r="C94" s="564">
        <f t="shared" si="13"/>
        <v>10148.369450377919</v>
      </c>
      <c r="D94" s="564">
        <f>IF(B94 &lt;= VLOOKUP(Main!$N$22,Coefficients!$E$2:$H$28,4,FALSE),E94,NA())</f>
        <v>10250.878232704968</v>
      </c>
      <c r="E94" s="437">
        <f>'4th Order Polynomial Tmp vs Res'!$B$40+'4th Order Polynomial Tmp vs Res'!$C$40*POWER(B94,1)+'4th Order Polynomial Tmp vs Res'!$D$40*POWER(B94,2)+'4th Order Polynomial Tmp vs Res'!$E$40*POWER(B94,3)+'4th Order Polynomial Tmp vs Res'!$F$40*POWER(B94,4)</f>
        <v>10250.878232704968</v>
      </c>
      <c r="F94" s="564">
        <f t="shared" si="14"/>
        <v>10353.387015032018</v>
      </c>
      <c r="G94" s="585">
        <f t="shared" si="15"/>
        <v>1.4351229525786955</v>
      </c>
      <c r="H94" s="388"/>
      <c r="I94" s="586"/>
      <c r="J94" s="388"/>
      <c r="K94" s="520">
        <f>'4th Order Polynomial Tmp vs Res'!$I$40*E94^4 + '4th Order Polynomial Tmp vs Res'!$J$40*E94^3 + '4th Order Polynomial Tmp vs Res'!$K$40*E94^2 + '4th Order Polynomial Tmp vs Res'!$L$40*E94 + '4th Order Polynomial Tmp vs Res'!$M$40</f>
        <v>30.098499463225892</v>
      </c>
      <c r="L94" s="520">
        <f t="shared" si="16"/>
        <v>-9.8499463225891759E-2</v>
      </c>
      <c r="M94" s="388"/>
      <c r="N94" s="388"/>
      <c r="O94" s="388"/>
      <c r="P94" s="388"/>
      <c r="Q94" s="388"/>
      <c r="R94" s="388"/>
      <c r="S94" s="388"/>
      <c r="T94" s="388"/>
    </row>
    <row r="95" spans="1:20" ht="15" x14ac:dyDescent="0.25">
      <c r="A95" s="562">
        <v>72</v>
      </c>
      <c r="B95" s="563">
        <f t="shared" si="17"/>
        <v>31</v>
      </c>
      <c r="C95" s="564">
        <f t="shared" si="13"/>
        <v>10212.050646094551</v>
      </c>
      <c r="D95" s="564">
        <f>IF(B95 &lt;= VLOOKUP(Main!$N$22,Coefficients!$E$2:$H$28,4,FALSE),E95,NA())</f>
        <v>10315.202672822779</v>
      </c>
      <c r="E95" s="437">
        <f>'4th Order Polynomial Tmp vs Res'!$B$40+'4th Order Polynomial Tmp vs Res'!$C$40*POWER(B95,1)+'4th Order Polynomial Tmp vs Res'!$D$40*POWER(B95,2)+'4th Order Polynomial Tmp vs Res'!$E$40*POWER(B95,3)+'4th Order Polynomial Tmp vs Res'!$F$40*POWER(B95,4)</f>
        <v>10315.202672822779</v>
      </c>
      <c r="F95" s="564">
        <f t="shared" si="14"/>
        <v>10418.354699551008</v>
      </c>
      <c r="G95" s="585">
        <f t="shared" si="15"/>
        <v>1.4441283741951889</v>
      </c>
      <c r="H95" s="388"/>
      <c r="I95" s="586"/>
      <c r="J95" s="388"/>
      <c r="K95" s="520">
        <f>'4th Order Polynomial Tmp vs Res'!$I$40*E95^4 + '4th Order Polynomial Tmp vs Res'!$J$40*E95^3 + '4th Order Polynomial Tmp vs Res'!$K$40*E95^2 + '4th Order Polynomial Tmp vs Res'!$L$40*E95 + '4th Order Polynomial Tmp vs Res'!$M$40</f>
        <v>31.096602764798263</v>
      </c>
      <c r="L95" s="520">
        <f t="shared" si="16"/>
        <v>-9.6602764798262797E-2</v>
      </c>
      <c r="M95" s="388"/>
      <c r="N95" s="388"/>
      <c r="O95" s="388"/>
      <c r="P95" s="388"/>
      <c r="Q95" s="388"/>
      <c r="R95" s="388"/>
      <c r="S95" s="388"/>
      <c r="T95" s="388"/>
    </row>
    <row r="96" spans="1:20" ht="15" x14ac:dyDescent="0.25">
      <c r="A96" s="562">
        <v>73</v>
      </c>
      <c r="B96" s="563">
        <f t="shared" si="17"/>
        <v>32</v>
      </c>
      <c r="C96" s="564">
        <f t="shared" si="13"/>
        <v>10276.027376914342</v>
      </c>
      <c r="D96" s="564">
        <f>IF(B96 &lt;= VLOOKUP(Main!$N$22,Coefficients!$E$2:$H$28,4,FALSE),E96,NA())</f>
        <v>10379.82563324681</v>
      </c>
      <c r="E96" s="437">
        <f>'4th Order Polynomial Tmp vs Res'!$B$40+'4th Order Polynomial Tmp vs Res'!$C$40*POWER(B96,1)+'4th Order Polynomial Tmp vs Res'!$D$40*POWER(B96,2)+'4th Order Polynomial Tmp vs Res'!$E$40*POWER(B96,3)+'4th Order Polynomial Tmp vs Res'!$F$40*POWER(B96,4)</f>
        <v>10379.82563324681</v>
      </c>
      <c r="F96" s="564">
        <f t="shared" si="14"/>
        <v>10483.623889579278</v>
      </c>
      <c r="G96" s="585">
        <f t="shared" si="15"/>
        <v>1.4531755886545532</v>
      </c>
      <c r="H96" s="388"/>
      <c r="I96" s="586"/>
      <c r="J96" s="388"/>
      <c r="K96" s="520">
        <f>'4th Order Polynomial Tmp vs Res'!$I$40*E96^4 + '4th Order Polynomial Tmp vs Res'!$J$40*E96^3 + '4th Order Polynomial Tmp vs Res'!$K$40*E96^2 + '4th Order Polynomial Tmp vs Res'!$L$40*E96 + '4th Order Polynomial Tmp vs Res'!$M$40</f>
        <v>32.094312627778038</v>
      </c>
      <c r="L96" s="520">
        <f t="shared" si="16"/>
        <v>-9.431262777803795E-2</v>
      </c>
      <c r="M96" s="388"/>
      <c r="N96" s="388"/>
      <c r="O96" s="388"/>
      <c r="P96" s="388"/>
      <c r="Q96" s="388"/>
      <c r="R96" s="388"/>
      <c r="S96" s="388"/>
      <c r="T96" s="388"/>
    </row>
    <row r="97" spans="1:20" ht="15" x14ac:dyDescent="0.25">
      <c r="A97" s="562">
        <v>74</v>
      </c>
      <c r="B97" s="563">
        <f t="shared" si="17"/>
        <v>33</v>
      </c>
      <c r="C97" s="564">
        <f t="shared" si="13"/>
        <v>10340.300025064555</v>
      </c>
      <c r="D97" s="564">
        <f>IF(B97 &lt;= VLOOKUP(Main!$N$22,Coefficients!$E$2:$H$28,4,FALSE),E97,NA())</f>
        <v>10444.747500065207</v>
      </c>
      <c r="E97" s="437">
        <f>'4th Order Polynomial Tmp vs Res'!$B$40+'4th Order Polynomial Tmp vs Res'!$C$40*POWER(B97,1)+'4th Order Polynomial Tmp vs Res'!$D$40*POWER(B97,2)+'4th Order Polynomial Tmp vs Res'!$E$40*POWER(B97,3)+'4th Order Polynomial Tmp vs Res'!$F$40*POWER(B97,4)</f>
        <v>10444.747500065207</v>
      </c>
      <c r="F97" s="564">
        <f t="shared" si="14"/>
        <v>10549.194975065859</v>
      </c>
      <c r="G97" s="585">
        <f t="shared" si="15"/>
        <v>1.4622646500091288</v>
      </c>
      <c r="H97" s="388"/>
      <c r="I97" s="586"/>
      <c r="J97" s="388"/>
      <c r="K97" s="520">
        <f>'4th Order Polynomial Tmp vs Res'!$I$40*E97^4 + '4th Order Polynomial Tmp vs Res'!$J$40*E97^3 + '4th Order Polynomial Tmp vs Res'!$K$40*E97^2 + '4th Order Polynomial Tmp vs Res'!$L$40*E97 + '4th Order Polynomial Tmp vs Res'!$M$40</f>
        <v>33.09164196156496</v>
      </c>
      <c r="L97" s="520">
        <f t="shared" si="16"/>
        <v>-9.1641961564960184E-2</v>
      </c>
      <c r="M97" s="388"/>
      <c r="N97" s="388"/>
      <c r="O97" s="388"/>
      <c r="P97" s="388"/>
      <c r="Q97" s="388"/>
      <c r="R97" s="388"/>
      <c r="S97" s="388"/>
      <c r="T97" s="388"/>
    </row>
    <row r="98" spans="1:20" ht="15" x14ac:dyDescent="0.25">
      <c r="A98" s="562">
        <v>75</v>
      </c>
      <c r="B98" s="563">
        <f t="shared" si="17"/>
        <v>34</v>
      </c>
      <c r="C98" s="564">
        <f t="shared" si="13"/>
        <v>10404.869015591374</v>
      </c>
      <c r="D98" s="564">
        <f>IF(B98 &lt;= VLOOKUP(Main!$N$22,Coefficients!$E$2:$H$28,4,FALSE),E98,NA())</f>
        <v>10509.968702617549</v>
      </c>
      <c r="E98" s="437">
        <f>'4th Order Polynomial Tmp vs Res'!$B$40+'4th Order Polynomial Tmp vs Res'!$C$40*POWER(B98,1)+'4th Order Polynomial Tmp vs Res'!$D$40*POWER(B98,2)+'4th Order Polynomial Tmp vs Res'!$E$40*POWER(B98,3)+'4th Order Polynomial Tmp vs Res'!$F$40*POWER(B98,4)</f>
        <v>10509.968702617549</v>
      </c>
      <c r="F98" s="564">
        <f t="shared" si="14"/>
        <v>10615.068389643724</v>
      </c>
      <c r="G98" s="585">
        <f t="shared" si="15"/>
        <v>1.4713956183664567</v>
      </c>
      <c r="H98" s="388"/>
      <c r="I98" s="586"/>
      <c r="J98" s="388"/>
      <c r="K98" s="520">
        <f>'4th Order Polynomial Tmp vs Res'!$I$40*E98^4 + '4th Order Polynomial Tmp vs Res'!$J$40*E98^3 + '4th Order Polynomial Tmp vs Res'!$K$40*E98^2 + '4th Order Polynomial Tmp vs Res'!$L$40*E98 + '4th Order Polynomial Tmp vs Res'!$M$40</f>
        <v>34.088604782653533</v>
      </c>
      <c r="L98" s="520">
        <f t="shared" si="16"/>
        <v>-8.8604782653533221E-2</v>
      </c>
      <c r="M98" s="388"/>
      <c r="N98" s="388"/>
      <c r="O98" s="388"/>
      <c r="P98" s="388"/>
      <c r="Q98" s="388"/>
      <c r="R98" s="388"/>
      <c r="S98" s="388"/>
      <c r="T98" s="388"/>
    </row>
    <row r="99" spans="1:20" ht="15" x14ac:dyDescent="0.25">
      <c r="A99" s="562">
        <v>76</v>
      </c>
      <c r="B99" s="563">
        <f t="shared" si="17"/>
        <v>35</v>
      </c>
      <c r="C99" s="564">
        <f t="shared" si="13"/>
        <v>10469.734816359911</v>
      </c>
      <c r="D99" s="564">
        <f>IF(B99 &lt;= VLOOKUP(Main!$N$22,Coefficients!$E$2:$H$28,4,FALSE),E99,NA())</f>
        <v>10575.489713494859</v>
      </c>
      <c r="E99" s="437">
        <f>'4th Order Polynomial Tmp vs Res'!$B$40+'4th Order Polynomial Tmp vs Res'!$C$40*POWER(B99,1)+'4th Order Polynomial Tmp vs Res'!$D$40*POWER(B99,2)+'4th Order Polynomial Tmp vs Res'!$E$40*POWER(B99,3)+'4th Order Polynomial Tmp vs Res'!$F$40*POWER(B99,4)</f>
        <v>10575.489713494859</v>
      </c>
      <c r="F99" s="564">
        <f t="shared" si="14"/>
        <v>10681.244610629807</v>
      </c>
      <c r="G99" s="585">
        <f t="shared" si="15"/>
        <v>1.4805685598892802</v>
      </c>
      <c r="H99" s="388"/>
      <c r="I99" s="586"/>
      <c r="J99" s="388"/>
      <c r="K99" s="520">
        <f>'4th Order Polynomial Tmp vs Res'!$I$40*E99^4 + '4th Order Polynomial Tmp vs Res'!$J$40*E99^3 + '4th Order Polynomial Tmp vs Res'!$K$40*E99^2 + '4th Order Polynomial Tmp vs Res'!$L$40*E99 + '4th Order Polynomial Tmp vs Res'!$M$40</f>
        <v>35.085216168883335</v>
      </c>
      <c r="L99" s="520">
        <f t="shared" si="16"/>
        <v>-8.5216168883334831E-2</v>
      </c>
      <c r="M99" s="388"/>
      <c r="N99" s="388"/>
      <c r="O99" s="388"/>
      <c r="P99" s="388"/>
      <c r="Q99" s="388"/>
      <c r="R99" s="388"/>
      <c r="S99" s="388"/>
      <c r="T99" s="388"/>
    </row>
    <row r="100" spans="1:20" ht="15" x14ac:dyDescent="0.25">
      <c r="A100" s="562">
        <v>77</v>
      </c>
      <c r="B100" s="563">
        <f t="shared" si="17"/>
        <v>36</v>
      </c>
      <c r="C100" s="564">
        <f t="shared" si="13"/>
        <v>10534.897938054202</v>
      </c>
      <c r="D100" s="564">
        <f>IF(B100 &lt;= VLOOKUP(Main!$N$22,Coefficients!$E$2:$H$28,4,FALSE),E100,NA())</f>
        <v>10641.311048539599</v>
      </c>
      <c r="E100" s="437">
        <f>'4th Order Polynomial Tmp vs Res'!$B$40+'4th Order Polynomial Tmp vs Res'!$C$40*POWER(B100,1)+'4th Order Polynomial Tmp vs Res'!$D$40*POWER(B100,2)+'4th Order Polynomial Tmp vs Res'!$E$40*POWER(B100,3)+'4th Order Polynomial Tmp vs Res'!$F$40*POWER(B100,4)</f>
        <v>10641.311048539599</v>
      </c>
      <c r="F100" s="564">
        <f t="shared" si="14"/>
        <v>10747.724159024996</v>
      </c>
      <c r="G100" s="585">
        <f t="shared" si="15"/>
        <v>1.4897835467955438</v>
      </c>
      <c r="H100" s="388"/>
      <c r="I100" s="586"/>
      <c r="J100" s="388"/>
      <c r="K100" s="520">
        <f>'4th Order Polynomial Tmp vs Res'!$I$40*E100^4 + '4th Order Polynomial Tmp vs Res'!$J$40*E100^3 + '4th Order Polynomial Tmp vs Res'!$K$40*E100^2 + '4th Order Polynomial Tmp vs Res'!$L$40*E100 + '4th Order Polynomial Tmp vs Res'!$M$40</f>
        <v>36.081492213113279</v>
      </c>
      <c r="L100" s="520">
        <f t="shared" si="16"/>
        <v>-8.1492213113278922E-2</v>
      </c>
      <c r="M100" s="388"/>
      <c r="N100" s="388"/>
      <c r="O100" s="388"/>
      <c r="P100" s="388"/>
      <c r="Q100" s="388"/>
      <c r="R100" s="388"/>
      <c r="S100" s="388"/>
      <c r="T100" s="388"/>
    </row>
    <row r="101" spans="1:20" ht="15" x14ac:dyDescent="0.25">
      <c r="A101" s="562">
        <v>78</v>
      </c>
      <c r="B101" s="563">
        <f t="shared" si="17"/>
        <v>37</v>
      </c>
      <c r="C101" s="564">
        <f t="shared" si="13"/>
        <v>10600.358934177219</v>
      </c>
      <c r="D101" s="564">
        <f>IF(B101 &lt;= VLOOKUP(Main!$N$22,Coefficients!$E$2:$H$28,4,FALSE),E101,NA())</f>
        <v>10707.433266845675</v>
      </c>
      <c r="E101" s="437">
        <f>'4th Order Polynomial Tmp vs Res'!$B$40+'4th Order Polynomial Tmp vs Res'!$C$40*POWER(B101,1)+'4th Order Polynomial Tmp vs Res'!$D$40*POWER(B101,2)+'4th Order Polynomial Tmp vs Res'!$E$40*POWER(B101,3)+'4th Order Polynomial Tmp vs Res'!$F$40*POWER(B101,4)</f>
        <v>10707.433266845675</v>
      </c>
      <c r="F101" s="564">
        <f t="shared" si="14"/>
        <v>10814.507599514132</v>
      </c>
      <c r="G101" s="585">
        <f t="shared" si="15"/>
        <v>1.4990406573583945</v>
      </c>
      <c r="H101" s="388"/>
      <c r="I101" s="586"/>
      <c r="J101" s="388"/>
      <c r="K101" s="520">
        <f>'4th Order Polynomial Tmp vs Res'!$I$40*E101^4 + '4th Order Polynomial Tmp vs Res'!$J$40*E101^3 + '4th Order Polynomial Tmp vs Res'!$K$40*E101^2 + '4th Order Polynomial Tmp vs Res'!$L$40*E101 + '4th Order Polynomial Tmp vs Res'!$M$40</f>
        <v>37.077449976293394</v>
      </c>
      <c r="L101" s="520">
        <f t="shared" si="16"/>
        <v>-7.7449976293394229E-2</v>
      </c>
      <c r="M101" s="388"/>
      <c r="N101" s="388"/>
      <c r="O101" s="388"/>
      <c r="P101" s="388"/>
      <c r="Q101" s="388"/>
      <c r="R101" s="388"/>
      <c r="S101" s="388"/>
      <c r="T101" s="388"/>
    </row>
    <row r="102" spans="1:20" ht="15" x14ac:dyDescent="0.25">
      <c r="A102" s="562">
        <v>79</v>
      </c>
      <c r="B102" s="563">
        <f t="shared" si="17"/>
        <v>38</v>
      </c>
      <c r="C102" s="564">
        <f t="shared" si="13"/>
        <v>10666.118401050846</v>
      </c>
      <c r="D102" s="564">
        <f>IF(B102 &lt;= VLOOKUP(Main!$N$22,Coefficients!$E$2:$H$28,4,FALSE),E102,NA())</f>
        <v>10773.85697075843</v>
      </c>
      <c r="E102" s="437">
        <f>'4th Order Polynomial Tmp vs Res'!$B$40+'4th Order Polynomial Tmp vs Res'!$C$40*POWER(B102,1)+'4th Order Polynomial Tmp vs Res'!$D$40*POWER(B102,2)+'4th Order Polynomial Tmp vs Res'!$E$40*POWER(B102,3)+'4th Order Polynomial Tmp vs Res'!$F$40*POWER(B102,4)</f>
        <v>10773.85697075843</v>
      </c>
      <c r="F102" s="564">
        <f t="shared" si="14"/>
        <v>10881.595540466014</v>
      </c>
      <c r="G102" s="585">
        <f t="shared" si="15"/>
        <v>1.5083399759061802</v>
      </c>
      <c r="H102" s="388"/>
      <c r="I102" s="586"/>
      <c r="J102" s="388"/>
      <c r="K102" s="520">
        <f>'4th Order Polynomial Tmp vs Res'!$I$40*E102^4 + '4th Order Polynomial Tmp vs Res'!$J$40*E102^3 + '4th Order Polynomial Tmp vs Res'!$K$40*E102^2 + '4th Order Polynomial Tmp vs Res'!$L$40*E102 + '4th Order Polynomial Tmp vs Res'!$M$40</f>
        <v>38.073107439906039</v>
      </c>
      <c r="L102" s="520">
        <f t="shared" si="16"/>
        <v>-7.3107439906038962E-2</v>
      </c>
      <c r="M102" s="388"/>
      <c r="N102" s="388"/>
      <c r="O102" s="388"/>
      <c r="P102" s="388"/>
      <c r="Q102" s="388"/>
      <c r="R102" s="388"/>
      <c r="S102" s="388"/>
      <c r="T102" s="388"/>
    </row>
    <row r="103" spans="1:20" ht="15" x14ac:dyDescent="0.25">
      <c r="A103" s="562">
        <v>80</v>
      </c>
      <c r="B103" s="563">
        <f t="shared" si="17"/>
        <v>39</v>
      </c>
      <c r="C103" s="564">
        <f t="shared" si="13"/>
        <v>10732.176977815907</v>
      </c>
      <c r="D103" s="564">
        <f>IF(B103 &lt;= VLOOKUP(Main!$N$22,Coefficients!$E$2:$H$28,4,FALSE),E103,NA())</f>
        <v>10840.582805874654</v>
      </c>
      <c r="E103" s="437">
        <f>'4th Order Polynomial Tmp vs Res'!$B$40+'4th Order Polynomial Tmp vs Res'!$C$40*POWER(B103,1)+'4th Order Polynomial Tmp vs Res'!$D$40*POWER(B103,2)+'4th Order Polynomial Tmp vs Res'!$E$40*POWER(B103,3)+'4th Order Polynomial Tmp vs Res'!$F$40*POWER(B103,4)</f>
        <v>10840.582805874654</v>
      </c>
      <c r="F103" s="564">
        <f t="shared" si="14"/>
        <v>10948.988633933401</v>
      </c>
      <c r="G103" s="585">
        <f t="shared" si="15"/>
        <v>1.5176815928224514</v>
      </c>
      <c r="H103" s="388"/>
      <c r="I103" s="586"/>
      <c r="J103" s="388"/>
      <c r="K103" s="520">
        <f>'4th Order Polynomial Tmp vs Res'!$I$40*E103^4 + '4th Order Polynomial Tmp vs Res'!$J$40*E103^3 + '4th Order Polynomial Tmp vs Res'!$K$40*E103^2 + '4th Order Polynomial Tmp vs Res'!$L$40*E103 + '4th Order Polynomial Tmp vs Res'!$M$40</f>
        <v>39.068483457749153</v>
      </c>
      <c r="L103" s="520">
        <f t="shared" si="16"/>
        <v>-6.8483457749152876E-2</v>
      </c>
      <c r="M103" s="388"/>
      <c r="N103" s="388"/>
      <c r="O103" s="388"/>
      <c r="P103" s="388"/>
      <c r="Q103" s="388"/>
      <c r="R103" s="388"/>
      <c r="S103" s="388"/>
      <c r="T103" s="388"/>
    </row>
    <row r="104" spans="1:20" ht="15" x14ac:dyDescent="0.25">
      <c r="A104" s="562">
        <v>81</v>
      </c>
      <c r="B104" s="563">
        <f t="shared" si="17"/>
        <v>40</v>
      </c>
      <c r="C104" s="564">
        <f t="shared" si="13"/>
        <v>10798.535346432149</v>
      </c>
      <c r="D104" s="564">
        <f>IF(B104 &lt;= VLOOKUP(Main!$N$22,Coefficients!$E$2:$H$28,4,FALSE),E104,NA())</f>
        <v>10907.611461042574</v>
      </c>
      <c r="E104" s="437">
        <f>'4th Order Polynomial Tmp vs Res'!$B$40+'4th Order Polynomial Tmp vs Res'!$C$40*POWER(B104,1)+'4th Order Polynomial Tmp vs Res'!$D$40*POWER(B104,2)+'4th Order Polynomial Tmp vs Res'!$E$40*POWER(B104,3)+'4th Order Polynomial Tmp vs Res'!$F$40*POWER(B104,4)</f>
        <v>10907.611461042574</v>
      </c>
      <c r="F104" s="564">
        <f t="shared" si="14"/>
        <v>11016.687575652999</v>
      </c>
      <c r="G104" s="585">
        <f t="shared" si="15"/>
        <v>1.5270656045459603</v>
      </c>
      <c r="H104" s="388"/>
      <c r="I104" s="586"/>
      <c r="J104" s="388"/>
      <c r="K104" s="520">
        <f>'4th Order Polynomial Tmp vs Res'!$I$40*E104^4 + '4th Order Polynomial Tmp vs Res'!$J$40*E104^3 + '4th Order Polynomial Tmp vs Res'!$K$40*E104^2 + '4th Order Polynomial Tmp vs Res'!$L$40*E104 + '4th Order Polynomial Tmp vs Res'!$M$40</f>
        <v>40.063597707028805</v>
      </c>
      <c r="L104" s="520">
        <f t="shared" si="16"/>
        <v>-6.3597707028804962E-2</v>
      </c>
      <c r="M104" s="388"/>
      <c r="N104" s="388"/>
      <c r="O104" s="388"/>
      <c r="P104" s="388"/>
      <c r="Q104" s="388"/>
      <c r="R104" s="388"/>
      <c r="S104" s="388"/>
      <c r="T104" s="388"/>
    </row>
    <row r="105" spans="1:20" ht="15" x14ac:dyDescent="0.25">
      <c r="A105" s="562">
        <v>82</v>
      </c>
      <c r="B105" s="563">
        <f t="shared" si="17"/>
        <v>41</v>
      </c>
      <c r="C105" s="564">
        <f t="shared" si="13"/>
        <v>10865.194231678244</v>
      </c>
      <c r="D105" s="564">
        <f>IF(B105 &lt;= VLOOKUP(Main!$N$22,Coefficients!$E$2:$H$28,4,FALSE),E105,NA())</f>
        <v>10974.943668361862</v>
      </c>
      <c r="E105" s="437">
        <f>'4th Order Polynomial Tmp vs Res'!$B$40+'4th Order Polynomial Tmp vs Res'!$C$40*POWER(B105,1)+'4th Order Polynomial Tmp vs Res'!$D$40*POWER(B105,2)+'4th Order Polynomial Tmp vs Res'!$E$40*POWER(B105,3)+'4th Order Polynomial Tmp vs Res'!$F$40*POWER(B105,4)</f>
        <v>10974.943668361862</v>
      </c>
      <c r="F105" s="564">
        <f t="shared" si="14"/>
        <v>11084.69310504548</v>
      </c>
      <c r="G105" s="585">
        <f t="shared" si="15"/>
        <v>1.5364921135706606</v>
      </c>
      <c r="H105" s="388"/>
      <c r="I105" s="586"/>
      <c r="J105" s="388"/>
      <c r="K105" s="520">
        <f>'4th Order Polynomial Tmp vs Res'!$I$40*E105^4 + '4th Order Polynomial Tmp vs Res'!$J$40*E105^3 + '4th Order Polynomial Tmp vs Res'!$K$40*E105^2 + '4th Order Polynomial Tmp vs Res'!$L$40*E105 + '4th Order Polynomial Tmp vs Res'!$M$40</f>
        <v>41.058470638730057</v>
      </c>
      <c r="L105" s="520">
        <f t="shared" si="16"/>
        <v>-5.847063873005709E-2</v>
      </c>
      <c r="M105" s="388"/>
      <c r="N105" s="388"/>
      <c r="O105" s="388"/>
      <c r="P105" s="388"/>
      <c r="Q105" s="388"/>
      <c r="R105" s="388"/>
      <c r="S105" s="388"/>
      <c r="T105" s="388"/>
    </row>
    <row r="106" spans="1:20" ht="15" x14ac:dyDescent="0.25">
      <c r="A106" s="562">
        <v>83</v>
      </c>
      <c r="B106" s="563">
        <f t="shared" si="17"/>
        <v>42</v>
      </c>
      <c r="C106" s="564">
        <f t="shared" si="13"/>
        <v>10932.154401151791</v>
      </c>
      <c r="D106" s="564">
        <f>IF(B106 &lt;= VLOOKUP(Main!$N$22,Coefficients!$E$2:$H$28,4,FALSE),E106,NA())</f>
        <v>11042.580203183627</v>
      </c>
      <c r="E106" s="437">
        <f>'4th Order Polynomial Tmp vs Res'!$B$40+'4th Order Polynomial Tmp vs Res'!$C$40*POWER(B106,1)+'4th Order Polynomial Tmp vs Res'!$D$40*POWER(B106,2)+'4th Order Polynomial Tmp vs Res'!$E$40*POWER(B106,3)+'4th Order Polynomial Tmp vs Res'!$F$40*POWER(B106,4)</f>
        <v>11042.580203183627</v>
      </c>
      <c r="F106" s="564">
        <f t="shared" si="14"/>
        <v>11153.006005215462</v>
      </c>
      <c r="G106" s="585">
        <f t="shared" si="15"/>
        <v>1.5459612284457076</v>
      </c>
      <c r="H106" s="388"/>
      <c r="I106" s="586"/>
      <c r="J106" s="388"/>
      <c r="K106" s="520">
        <f>'4th Order Polynomial Tmp vs Res'!$I$40*E106^4 + '4th Order Polynomial Tmp vs Res'!$J$40*E106^3 + '4th Order Polynomial Tmp vs Res'!$K$40*E106^2 + '4th Order Polynomial Tmp vs Res'!$L$40*E106 + '4th Order Polynomial Tmp vs Res'!$M$40</f>
        <v>42.053123427230503</v>
      </c>
      <c r="L106" s="520">
        <f t="shared" si="16"/>
        <v>-5.3123427230502784E-2</v>
      </c>
      <c r="M106" s="388"/>
      <c r="N106" s="388"/>
      <c r="O106" s="388"/>
      <c r="P106" s="388"/>
      <c r="Q106" s="388"/>
      <c r="R106" s="388"/>
      <c r="S106" s="388"/>
      <c r="T106" s="388"/>
    </row>
    <row r="107" spans="1:20" ht="15" x14ac:dyDescent="0.25">
      <c r="A107" s="562">
        <v>84</v>
      </c>
      <c r="B107" s="563">
        <f t="shared" si="17"/>
        <v>43</v>
      </c>
      <c r="C107" s="564">
        <f t="shared" si="13"/>
        <v>10999.416665269317</v>
      </c>
      <c r="D107" s="564">
        <f>IF(B107 &lt;= VLOOKUP(Main!$N$22,Coefficients!$E$2:$H$28,4,FALSE),E107,NA())</f>
        <v>11110.521884110422</v>
      </c>
      <c r="E107" s="437">
        <f>'4th Order Polynomial Tmp vs Res'!$B$40+'4th Order Polynomial Tmp vs Res'!$C$40*POWER(B107,1)+'4th Order Polynomial Tmp vs Res'!$D$40*POWER(B107,2)+'4th Order Polynomial Tmp vs Res'!$E$40*POWER(B107,3)+'4th Order Polynomial Tmp vs Res'!$F$40*POWER(B107,4)</f>
        <v>11110.521884110422</v>
      </c>
      <c r="F107" s="564">
        <f t="shared" si="14"/>
        <v>11221.627102951526</v>
      </c>
      <c r="G107" s="585">
        <f t="shared" si="15"/>
        <v>1.5554730637754588</v>
      </c>
      <c r="H107" s="388"/>
      <c r="I107" s="586"/>
      <c r="J107" s="388"/>
      <c r="K107" s="520">
        <f>'4th Order Polynomial Tmp vs Res'!$I$40*E107^4 + '4th Order Polynomial Tmp vs Res'!$J$40*E107^3 + '4th Order Polynomial Tmp vs Res'!$K$40*E107^2 + '4th Order Polynomial Tmp vs Res'!$L$40*E107 + '4th Order Polynomial Tmp vs Res'!$M$40</f>
        <v>43.047577919121579</v>
      </c>
      <c r="L107" s="520">
        <f t="shared" si="16"/>
        <v>-4.7577919121579271E-2</v>
      </c>
      <c r="M107" s="388"/>
      <c r="N107" s="388"/>
      <c r="O107" s="388"/>
      <c r="P107" s="388"/>
      <c r="Q107" s="388"/>
      <c r="R107" s="388"/>
      <c r="S107" s="388"/>
      <c r="T107" s="388"/>
    </row>
    <row r="108" spans="1:20" ht="15" x14ac:dyDescent="0.25">
      <c r="A108" s="562">
        <v>85</v>
      </c>
      <c r="B108" s="563">
        <f t="shared" si="17"/>
        <v>44</v>
      </c>
      <c r="C108" s="564">
        <f t="shared" si="13"/>
        <v>11066.981877266275</v>
      </c>
      <c r="D108" s="564">
        <f>IF(B108 &lt;= VLOOKUP(Main!$N$22,Coefficients!$E$2:$H$28,4,FALSE),E108,NA())</f>
        <v>11178.769572996238</v>
      </c>
      <c r="E108" s="437">
        <f>'4th Order Polynomial Tmp vs Res'!$B$40+'4th Order Polynomial Tmp vs Res'!$C$40*POWER(B108,1)+'4th Order Polynomial Tmp vs Res'!$D$40*POWER(B108,2)+'4th Order Polynomial Tmp vs Res'!$E$40*POWER(B108,3)+'4th Order Polynomial Tmp vs Res'!$F$40*POWER(B108,4)</f>
        <v>11178.769572996238</v>
      </c>
      <c r="F108" s="564">
        <f t="shared" si="14"/>
        <v>11290.557268726201</v>
      </c>
      <c r="G108" s="585">
        <f t="shared" si="15"/>
        <v>1.5650277402194732</v>
      </c>
      <c r="H108" s="388"/>
      <c r="I108" s="586"/>
      <c r="J108" s="388"/>
      <c r="K108" s="520">
        <f>'4th Order Polynomial Tmp vs Res'!$I$40*E108^4 + '4th Order Polynomial Tmp vs Res'!$J$40*E108^3 + '4th Order Polynomial Tmp vs Res'!$K$40*E108^2 + '4th Order Polynomial Tmp vs Res'!$L$40*E108 + '4th Order Polynomial Tmp vs Res'!$M$40</f>
        <v>44.041856581199227</v>
      </c>
      <c r="L108" s="520">
        <f t="shared" si="16"/>
        <v>-4.1856581199226639E-2</v>
      </c>
      <c r="M108" s="388"/>
      <c r="N108" s="388"/>
      <c r="O108" s="388"/>
      <c r="P108" s="388"/>
      <c r="Q108" s="388"/>
      <c r="R108" s="388"/>
      <c r="S108" s="388"/>
      <c r="T108" s="388"/>
    </row>
    <row r="109" spans="1:20" ht="15" x14ac:dyDescent="0.25">
      <c r="A109" s="562">
        <v>86</v>
      </c>
      <c r="B109" s="563">
        <f t="shared" si="17"/>
        <v>45</v>
      </c>
      <c r="C109" s="564">
        <f t="shared" si="13"/>
        <v>11134.850933197051</v>
      </c>
      <c r="D109" s="564">
        <f>IF(B109 &lt;= VLOOKUP(Main!$N$22,Coefficients!$E$2:$H$28,4,FALSE),E109,NA())</f>
        <v>11247.324174946516</v>
      </c>
      <c r="E109" s="437">
        <f>'4th Order Polynomial Tmp vs Res'!$B$40+'4th Order Polynomial Tmp vs Res'!$C$40*POWER(B109,1)+'4th Order Polynomial Tmp vs Res'!$D$40*POWER(B109,2)+'4th Order Polynomial Tmp vs Res'!$E$40*POWER(B109,3)+'4th Order Polynomial Tmp vs Res'!$F$40*POWER(B109,4)</f>
        <v>11247.324174946516</v>
      </c>
      <c r="F109" s="564">
        <f t="shared" si="14"/>
        <v>11359.797416695981</v>
      </c>
      <c r="G109" s="585">
        <f t="shared" si="15"/>
        <v>1.574625384492512</v>
      </c>
      <c r="H109" s="388"/>
      <c r="I109" s="586"/>
      <c r="J109" s="388"/>
      <c r="K109" s="520">
        <f>'4th Order Polynomial Tmp vs Res'!$I$40*E109^4 + '4th Order Polynomial Tmp vs Res'!$J$40*E109^3 + '4th Order Polynomial Tmp vs Res'!$K$40*E109^2 + '4th Order Polynomial Tmp vs Res'!$L$40*E109 + '4th Order Polynomial Tmp vs Res'!$M$40</f>
        <v>45.035982447584161</v>
      </c>
      <c r="L109" s="520">
        <f t="shared" si="16"/>
        <v>-3.5982447584160582E-2</v>
      </c>
      <c r="M109" s="388"/>
      <c r="N109" s="388"/>
      <c r="O109" s="388"/>
      <c r="P109" s="388"/>
      <c r="Q109" s="388"/>
      <c r="R109" s="388"/>
      <c r="S109" s="388"/>
      <c r="T109" s="388"/>
    </row>
    <row r="110" spans="1:20" ht="15" x14ac:dyDescent="0.25">
      <c r="A110" s="562">
        <v>87</v>
      </c>
      <c r="B110" s="563">
        <f t="shared" si="17"/>
        <v>46</v>
      </c>
      <c r="C110" s="564">
        <f t="shared" si="13"/>
        <v>11203.024771934946</v>
      </c>
      <c r="D110" s="564">
        <f>IF(B110 &lt;= VLOOKUP(Main!$N$22,Coefficients!$E$2:$H$28,4,FALSE),E110,NA())</f>
        <v>11316.186638318128</v>
      </c>
      <c r="E110" s="437">
        <f>'4th Order Polynomial Tmp vs Res'!$B$40+'4th Order Polynomial Tmp vs Res'!$C$40*POWER(B110,1)+'4th Order Polynomial Tmp vs Res'!$D$40*POWER(B110,2)+'4th Order Polynomial Tmp vs Res'!$E$40*POWER(B110,3)+'4th Order Polynomial Tmp vs Res'!$F$40*POWER(B110,4)</f>
        <v>11316.186638318128</v>
      </c>
      <c r="F110" s="564">
        <f t="shared" si="14"/>
        <v>11429.348504701309</v>
      </c>
      <c r="G110" s="585">
        <f t="shared" si="15"/>
        <v>1.5842661293645377</v>
      </c>
      <c r="H110" s="388"/>
      <c r="I110" s="586"/>
      <c r="J110" s="388"/>
      <c r="K110" s="520">
        <f>'4th Order Polynomial Tmp vs Res'!$I$40*E110^4 + '4th Order Polynomial Tmp vs Res'!$J$40*E110^3 + '4th Order Polynomial Tmp vs Res'!$K$40*E110^2 + '4th Order Polynomial Tmp vs Res'!$L$40*E110 + '4th Order Polynomial Tmp vs Res'!$M$40</f>
        <v>46.029979065929581</v>
      </c>
      <c r="L110" s="520">
        <f t="shared" si="16"/>
        <v>-2.9979065929580884E-2</v>
      </c>
      <c r="M110" s="388"/>
      <c r="N110" s="388"/>
      <c r="O110" s="388"/>
      <c r="P110" s="388"/>
      <c r="Q110" s="388"/>
      <c r="R110" s="388"/>
      <c r="S110" s="388"/>
      <c r="T110" s="388"/>
    </row>
    <row r="111" spans="1:20" ht="15" x14ac:dyDescent="0.25">
      <c r="A111" s="562">
        <v>88</v>
      </c>
      <c r="B111" s="563">
        <f t="shared" si="17"/>
        <v>47</v>
      </c>
      <c r="C111" s="564">
        <f t="shared" si="13"/>
        <v>11271.504375172199</v>
      </c>
      <c r="D111" s="564">
        <f>IF(B111 &lt;= VLOOKUP(Main!$N$22,Coefficients!$E$2:$H$28,4,FALSE),E111,NA())</f>
        <v>11385.357954719393</v>
      </c>
      <c r="E111" s="437">
        <f>'4th Order Polynomial Tmp vs Res'!$B$40+'4th Order Polynomial Tmp vs Res'!$C$40*POWER(B111,1)+'4th Order Polynomial Tmp vs Res'!$D$40*POWER(B111,2)+'4th Order Polynomial Tmp vs Res'!$E$40*POWER(B111,3)+'4th Order Polynomial Tmp vs Res'!$F$40*POWER(B111,4)</f>
        <v>11385.357954719393</v>
      </c>
      <c r="F111" s="564">
        <f t="shared" si="14"/>
        <v>11499.211534266587</v>
      </c>
      <c r="G111" s="585">
        <f t="shared" si="15"/>
        <v>1.5939501136607148</v>
      </c>
      <c r="H111" s="388"/>
      <c r="I111" s="586"/>
      <c r="J111" s="388"/>
      <c r="K111" s="520">
        <f>'4th Order Polynomial Tmp vs Res'!$I$40*E111^4 + '4th Order Polynomial Tmp vs Res'!$J$40*E111^3 + '4th Order Polynomial Tmp vs Res'!$K$40*E111^2 + '4th Order Polynomial Tmp vs Res'!$L$40*E111 + '4th Order Polynomial Tmp vs Res'!$M$40</f>
        <v>47.023870442675388</v>
      </c>
      <c r="L111" s="520">
        <f t="shared" si="16"/>
        <v>-2.3870442675388404E-2</v>
      </c>
      <c r="M111" s="388"/>
      <c r="N111" s="388"/>
      <c r="O111" s="388"/>
      <c r="P111" s="388"/>
      <c r="Q111" s="388"/>
      <c r="R111" s="388"/>
      <c r="S111" s="388"/>
      <c r="T111" s="388"/>
    </row>
    <row r="112" spans="1:20" ht="15" x14ac:dyDescent="0.25">
      <c r="A112" s="562">
        <v>89</v>
      </c>
      <c r="B112" s="563">
        <f t="shared" si="17"/>
        <v>48</v>
      </c>
      <c r="C112" s="564">
        <f t="shared" si="13"/>
        <v>11340.290767419969</v>
      </c>
      <c r="D112" s="564">
        <f>IF(B112 &lt;= VLOOKUP(Main!$N$22,Coefficients!$E$2:$H$28,4,FALSE),E112,NA())</f>
        <v>11454.839159010069</v>
      </c>
      <c r="E112" s="437">
        <f>'4th Order Polynomial Tmp vs Res'!$B$40+'4th Order Polynomial Tmp vs Res'!$C$40*POWER(B112,1)+'4th Order Polynomial Tmp vs Res'!$D$40*POWER(B112,2)+'4th Order Polynomial Tmp vs Res'!$E$40*POWER(B112,3)+'4th Order Polynomial Tmp vs Res'!$F$40*POWER(B112,4)</f>
        <v>11454.839159010069</v>
      </c>
      <c r="F112" s="564">
        <f t="shared" si="14"/>
        <v>11569.38755060017</v>
      </c>
      <c r="G112" s="585">
        <f t="shared" si="15"/>
        <v>1.6036774822614095</v>
      </c>
      <c r="H112" s="388"/>
      <c r="I112" s="586"/>
      <c r="J112" s="388"/>
      <c r="K112" s="520">
        <f>'4th Order Polynomial Tmp vs Res'!$I$40*E112^4 + '4th Order Polynomial Tmp vs Res'!$J$40*E112^3 + '4th Order Polynomial Tmp vs Res'!$K$40*E112^2 + '4th Order Polynomial Tmp vs Res'!$L$40*E112 + '4th Order Polynomial Tmp vs Res'!$M$40</f>
        <v>48.017680987297808</v>
      </c>
      <c r="L112" s="520">
        <f t="shared" si="16"/>
        <v>-1.7680987297808315E-2</v>
      </c>
      <c r="M112" s="388"/>
      <c r="N112" s="388"/>
      <c r="O112" s="388"/>
      <c r="P112" s="388"/>
      <c r="Q112" s="388"/>
      <c r="R112" s="388"/>
      <c r="S112" s="388"/>
      <c r="T112" s="388"/>
    </row>
    <row r="113" spans="1:20" ht="15" x14ac:dyDescent="0.25">
      <c r="A113" s="562">
        <v>90</v>
      </c>
      <c r="B113" s="563">
        <f t="shared" si="17"/>
        <v>49</v>
      </c>
      <c r="C113" s="564">
        <f t="shared" si="13"/>
        <v>11409.385016008346</v>
      </c>
      <c r="D113" s="564">
        <f>IF(B113 &lt;= VLOOKUP(Main!$N$22,Coefficients!$E$2:$H$28,4,FALSE),E113,NA())</f>
        <v>11524.631329301359</v>
      </c>
      <c r="E113" s="437">
        <f>'4th Order Polynomial Tmp vs Res'!$B$40+'4th Order Polynomial Tmp vs Res'!$C$40*POWER(B113,1)+'4th Order Polynomial Tmp vs Res'!$D$40*POWER(B113,2)+'4th Order Polynomial Tmp vs Res'!$E$40*POWER(B113,3)+'4th Order Polynomial Tmp vs Res'!$F$40*POWER(B113,4)</f>
        <v>11524.631329301359</v>
      </c>
      <c r="F113" s="564">
        <f t="shared" si="14"/>
        <v>11639.877642594372</v>
      </c>
      <c r="G113" s="585">
        <f t="shared" si="15"/>
        <v>1.6134483861021902</v>
      </c>
      <c r="H113" s="388"/>
      <c r="I113" s="586"/>
      <c r="J113" s="388"/>
      <c r="K113" s="520">
        <f>'4th Order Polynomial Tmp vs Res'!$I$40*E113^4 + '4th Order Polynomial Tmp vs Res'!$J$40*E113^3 + '4th Order Polynomial Tmp vs Res'!$K$40*E113^2 + '4th Order Polynomial Tmp vs Res'!$L$40*E113 + '4th Order Polynomial Tmp vs Res'!$M$40</f>
        <v>49.011435455514402</v>
      </c>
      <c r="L113" s="520">
        <f t="shared" si="16"/>
        <v>-1.1435455514401838E-2</v>
      </c>
      <c r="M113" s="388"/>
      <c r="N113" s="388"/>
      <c r="O113" s="388"/>
      <c r="P113" s="388"/>
      <c r="Q113" s="388"/>
      <c r="R113" s="388"/>
      <c r="S113" s="388"/>
      <c r="T113" s="388"/>
    </row>
    <row r="114" spans="1:20" ht="15" x14ac:dyDescent="0.25">
      <c r="A114" s="562">
        <v>91</v>
      </c>
      <c r="B114" s="563">
        <f t="shared" si="17"/>
        <v>50</v>
      </c>
      <c r="C114" s="564">
        <f t="shared" si="13"/>
        <v>11478.788231086342</v>
      </c>
      <c r="D114" s="564">
        <f>IF(B114 &lt;= VLOOKUP(Main!$N$22,Coefficients!$E$2:$H$28,4,FALSE),E114,NA())</f>
        <v>11594.735586955901</v>
      </c>
      <c r="E114" s="437">
        <f>'4th Order Polynomial Tmp vs Res'!$B$40+'4th Order Polynomial Tmp vs Res'!$C$40*POWER(B114,1)+'4th Order Polynomial Tmp vs Res'!$D$40*POWER(B114,2)+'4th Order Polynomial Tmp vs Res'!$E$40*POWER(B114,3)+'4th Order Polynomial Tmp vs Res'!$F$40*POWER(B114,4)</f>
        <v>11594.735586955901</v>
      </c>
      <c r="F114" s="564">
        <f t="shared" si="14"/>
        <v>11710.68294282546</v>
      </c>
      <c r="G114" s="585">
        <f t="shared" si="15"/>
        <v>1.623262982173826</v>
      </c>
      <c r="H114" s="388"/>
      <c r="I114" s="586"/>
      <c r="J114" s="388"/>
      <c r="K114" s="520">
        <f>'4th Order Polynomial Tmp vs Res'!$I$40*E114^4 + '4th Order Polynomial Tmp vs Res'!$J$40*E114^3 + '4th Order Polynomial Tmp vs Res'!$K$40*E114^2 + '4th Order Polynomial Tmp vs Res'!$L$40*E114 + '4th Order Polynomial Tmp vs Res'!$M$40</f>
        <v>50.005158891386714</v>
      </c>
      <c r="L114" s="520">
        <f t="shared" si="16"/>
        <v>-5.1588913867135489E-3</v>
      </c>
      <c r="M114" s="388"/>
      <c r="N114" s="388"/>
      <c r="O114" s="388"/>
      <c r="P114" s="388"/>
      <c r="Q114" s="388"/>
      <c r="R114" s="388"/>
      <c r="S114" s="388"/>
      <c r="T114" s="388"/>
    </row>
    <row r="115" spans="1:20" ht="15" x14ac:dyDescent="0.25">
      <c r="A115" s="562">
        <v>92</v>
      </c>
      <c r="B115" s="563">
        <f t="shared" si="17"/>
        <v>51</v>
      </c>
      <c r="C115" s="564">
        <f t="shared" si="13"/>
        <v>11548.501565621902</v>
      </c>
      <c r="D115" s="564">
        <f>IF(B115 &lt;= VLOOKUP(Main!$N$22,Coefficients!$E$2:$H$28,4,FALSE),E115,NA())</f>
        <v>11665.153096587779</v>
      </c>
      <c r="E115" s="437">
        <f>'4th Order Polynomial Tmp vs Res'!$B$40+'4th Order Polynomial Tmp vs Res'!$C$40*POWER(B115,1)+'4th Order Polynomial Tmp vs Res'!$D$40*POWER(B115,2)+'4th Order Polynomial Tmp vs Res'!$E$40*POWER(B115,3)+'4th Order Polynomial Tmp vs Res'!$F$40*POWER(B115,4)</f>
        <v>11665.153096587779</v>
      </c>
      <c r="F115" s="564">
        <f t="shared" si="14"/>
        <v>11781.804627553656</v>
      </c>
      <c r="G115" s="585">
        <f t="shared" si="15"/>
        <v>1.633121433522289</v>
      </c>
      <c r="H115" s="388"/>
      <c r="I115" s="586"/>
      <c r="J115" s="388"/>
      <c r="K115" s="520">
        <f>'4th Order Polynomial Tmp vs Res'!$I$40*E115^4 + '4th Order Polynomial Tmp vs Res'!$J$40*E115^3 + '4th Order Polynomial Tmp vs Res'!$K$40*E115^2 + '4th Order Polynomial Tmp vs Res'!$L$40*E115 + '4th Order Polynomial Tmp vs Res'!$M$40</f>
        <v>50.998876568275818</v>
      </c>
      <c r="L115" s="520">
        <f t="shared" si="16"/>
        <v>1.1234317241815006E-3</v>
      </c>
      <c r="M115" s="388"/>
      <c r="N115" s="388"/>
      <c r="O115" s="388"/>
      <c r="P115" s="388"/>
      <c r="Q115" s="388"/>
      <c r="R115" s="388"/>
      <c r="S115" s="388"/>
      <c r="T115" s="388"/>
    </row>
    <row r="116" spans="1:20" ht="15" x14ac:dyDescent="0.25">
      <c r="A116" s="562">
        <v>93</v>
      </c>
      <c r="B116" s="563">
        <f t="shared" si="17"/>
        <v>52</v>
      </c>
      <c r="C116" s="564">
        <f t="shared" si="13"/>
        <v>11618.526215401893</v>
      </c>
      <c r="D116" s="564">
        <f>IF(B116 &lt;= VLOOKUP(Main!$N$22,Coefficients!$E$2:$H$28,4,FALSE),E116,NA())</f>
        <v>11735.885066062518</v>
      </c>
      <c r="E116" s="437">
        <f>'4th Order Polynomial Tmp vs Res'!$B$40+'4th Order Polynomial Tmp vs Res'!$C$40*POWER(B116,1)+'4th Order Polynomial Tmp vs Res'!$D$40*POWER(B116,2)+'4th Order Polynomial Tmp vs Res'!$E$40*POWER(B116,3)+'4th Order Polynomial Tmp vs Res'!$F$40*POWER(B116,4)</f>
        <v>11735.885066062518</v>
      </c>
      <c r="F116" s="564">
        <f t="shared" si="14"/>
        <v>11853.243916723142</v>
      </c>
      <c r="G116" s="585">
        <f t="shared" si="15"/>
        <v>1.6430239092487524</v>
      </c>
      <c r="H116" s="388"/>
      <c r="I116" s="586"/>
      <c r="J116" s="388"/>
      <c r="K116" s="520">
        <f>'4th Order Polynomial Tmp vs Res'!$I$40*E116^4 + '4th Order Polynomial Tmp vs Res'!$J$40*E116^3 + '4th Order Polynomial Tmp vs Res'!$K$40*E116^2 + '4th Order Polynomial Tmp vs Res'!$L$40*E116 + '4th Order Polynomial Tmp vs Res'!$M$40</f>
        <v>51.99261392859205</v>
      </c>
      <c r="L116" s="520">
        <f t="shared" si="16"/>
        <v>7.3860714079501122E-3</v>
      </c>
      <c r="M116" s="388"/>
      <c r="N116" s="388"/>
      <c r="O116" s="388"/>
      <c r="P116" s="388"/>
      <c r="Q116" s="388"/>
      <c r="R116" s="388"/>
      <c r="S116" s="388"/>
      <c r="T116" s="388"/>
    </row>
    <row r="117" spans="1:20" ht="15" x14ac:dyDescent="0.25">
      <c r="A117" s="562">
        <v>94</v>
      </c>
      <c r="B117" s="563">
        <f t="shared" si="17"/>
        <v>53</v>
      </c>
      <c r="C117" s="564">
        <f t="shared" si="13"/>
        <v>11688.863419032108</v>
      </c>
      <c r="D117" s="564">
        <f>IF(B117 &lt;= VLOOKUP(Main!$N$22,Coefficients!$E$2:$H$28,4,FALSE),E117,NA())</f>
        <v>11806.932746497079</v>
      </c>
      <c r="E117" s="437">
        <f>'4th Order Polynomial Tmp vs Res'!$B$40+'4th Order Polynomial Tmp vs Res'!$C$40*POWER(B117,1)+'4th Order Polynomial Tmp vs Res'!$D$40*POWER(B117,2)+'4th Order Polynomial Tmp vs Res'!$E$40*POWER(B117,3)+'4th Order Polynomial Tmp vs Res'!$F$40*POWER(B117,4)</f>
        <v>11806.932746497079</v>
      </c>
      <c r="F117" s="564">
        <f t="shared" si="14"/>
        <v>11925.00207396205</v>
      </c>
      <c r="G117" s="585">
        <f t="shared" si="15"/>
        <v>1.652970584509591</v>
      </c>
      <c r="H117" s="388"/>
      <c r="I117" s="586"/>
      <c r="J117" s="388"/>
      <c r="K117" s="520">
        <f>'4th Order Polynomial Tmp vs Res'!$I$40*E117^4 + '4th Order Polynomial Tmp vs Res'!$J$40*E117^3 + '4th Order Polynomial Tmp vs Res'!$K$40*E117^2 + '4th Order Polynomial Tmp vs Res'!$L$40*E117 + '4th Order Polynomial Tmp vs Res'!$M$40</f>
        <v>52.986396522283371</v>
      </c>
      <c r="L117" s="520">
        <f t="shared" si="16"/>
        <v>1.3603477716628731E-2</v>
      </c>
      <c r="M117" s="388"/>
      <c r="N117" s="388"/>
      <c r="O117" s="388"/>
      <c r="P117" s="388"/>
      <c r="Q117" s="388"/>
      <c r="R117" s="388"/>
      <c r="S117" s="388"/>
      <c r="T117" s="388"/>
    </row>
    <row r="118" spans="1:20" ht="15" x14ac:dyDescent="0.25">
      <c r="A118" s="562">
        <v>95</v>
      </c>
      <c r="B118" s="563">
        <f t="shared" si="17"/>
        <v>54</v>
      </c>
      <c r="C118" s="564">
        <f t="shared" si="13"/>
        <v>11759.514457937279</v>
      </c>
      <c r="D118" s="564">
        <f>IF(B118 &lt;= VLOOKUP(Main!$N$22,Coefficients!$E$2:$H$28,4,FALSE),E118,NA())</f>
        <v>11878.297432259878</v>
      </c>
      <c r="E118" s="437">
        <f>'4th Order Polynomial Tmp vs Res'!$B$40+'4th Order Polynomial Tmp vs Res'!$C$40*POWER(B118,1)+'4th Order Polynomial Tmp vs Res'!$D$40*POWER(B118,2)+'4th Order Polynomial Tmp vs Res'!$E$40*POWER(B118,3)+'4th Order Polynomial Tmp vs Res'!$F$40*POWER(B118,4)</f>
        <v>11878.297432259878</v>
      </c>
      <c r="F118" s="564">
        <f t="shared" si="14"/>
        <v>11997.080406582478</v>
      </c>
      <c r="G118" s="585">
        <f t="shared" si="15"/>
        <v>1.6629616405163827</v>
      </c>
      <c r="H118" s="388"/>
      <c r="I118" s="586"/>
      <c r="J118" s="388"/>
      <c r="K118" s="520">
        <f>'4th Order Polynomial Tmp vs Res'!$I$40*E118^4 + '4th Order Polynomial Tmp vs Res'!$J$40*E118^3 + '4th Order Polynomial Tmp vs Res'!$K$40*E118^2 + '4th Order Polynomial Tmp vs Res'!$L$40*E118 + '4th Order Polynomial Tmp vs Res'!$M$40</f>
        <v>53.980249944006687</v>
      </c>
      <c r="L118" s="520">
        <f t="shared" si="16"/>
        <v>1.9750055993313254E-2</v>
      </c>
      <c r="M118" s="388"/>
      <c r="N118" s="388"/>
      <c r="O118" s="388"/>
      <c r="P118" s="388"/>
      <c r="Q118" s="388"/>
      <c r="R118" s="388"/>
      <c r="S118" s="388"/>
      <c r="T118" s="388"/>
    </row>
    <row r="119" spans="1:20" ht="15" x14ac:dyDescent="0.25">
      <c r="A119" s="562">
        <v>96</v>
      </c>
      <c r="B119" s="563">
        <f t="shared" si="17"/>
        <v>55</v>
      </c>
      <c r="C119" s="564">
        <f t="shared" si="13"/>
        <v>11830.480656361045</v>
      </c>
      <c r="D119" s="564">
        <f>IF(B119 &lt;= VLOOKUP(Main!$N$22,Coefficients!$E$2:$H$28,4,FALSE),E119,NA())</f>
        <v>11949.980460970753</v>
      </c>
      <c r="E119" s="437">
        <f>'4th Order Polynomial Tmp vs Res'!$B$40+'4th Order Polynomial Tmp vs Res'!$C$40*POWER(B119,1)+'4th Order Polynomial Tmp vs Res'!$D$40*POWER(B119,2)+'4th Order Polynomial Tmp vs Res'!$E$40*POWER(B119,3)+'4th Order Polynomial Tmp vs Res'!$F$40*POWER(B119,4)</f>
        <v>11949.980460970753</v>
      </c>
      <c r="F119" s="564">
        <f t="shared" si="14"/>
        <v>12069.480265580461</v>
      </c>
      <c r="G119" s="585">
        <f t="shared" si="15"/>
        <v>1.6729972645359052</v>
      </c>
      <c r="H119" s="388"/>
      <c r="I119" s="586"/>
      <c r="J119" s="388"/>
      <c r="K119" s="520">
        <f>'4th Order Polynomial Tmp vs Res'!$I$40*E119^4 + '4th Order Polynomial Tmp vs Res'!$J$40*E119^3 + '4th Order Polynomial Tmp vs Res'!$K$40*E119^2 + '4th Order Polynomial Tmp vs Res'!$L$40*E119 + '4th Order Polynomial Tmp vs Res'!$M$40</f>
        <v>54.974199768918197</v>
      </c>
      <c r="L119" s="520">
        <f t="shared" si="16"/>
        <v>2.5800231081802849E-2</v>
      </c>
      <c r="M119" s="388"/>
      <c r="N119" s="388"/>
      <c r="O119" s="388"/>
      <c r="P119" s="388"/>
      <c r="Q119" s="388"/>
      <c r="R119" s="388"/>
      <c r="S119" s="388"/>
      <c r="T119" s="388"/>
    </row>
    <row r="120" spans="1:20" ht="15" x14ac:dyDescent="0.25">
      <c r="A120" s="562">
        <v>97</v>
      </c>
      <c r="B120" s="563">
        <f t="shared" si="17"/>
        <v>56</v>
      </c>
      <c r="C120" s="564">
        <f t="shared" si="13"/>
        <v>11901.763381365992</v>
      </c>
      <c r="D120" s="564">
        <f>IF(B120 &lt;= VLOOKUP(Main!$N$22,Coefficients!$E$2:$H$28,4,FALSE),E120,NA())</f>
        <v>12021.983213501002</v>
      </c>
      <c r="E120" s="437">
        <f>'4th Order Polynomial Tmp vs Res'!$B$40+'4th Order Polynomial Tmp vs Res'!$C$40*POWER(B120,1)+'4th Order Polynomial Tmp vs Res'!$D$40*POWER(B120,2)+'4th Order Polynomial Tmp vs Res'!$E$40*POWER(B120,3)+'4th Order Polynomial Tmp vs Res'!$F$40*POWER(B120,4)</f>
        <v>12021.983213501002</v>
      </c>
      <c r="F120" s="564">
        <f t="shared" si="14"/>
        <v>12142.203045636012</v>
      </c>
      <c r="G120" s="585">
        <f t="shared" si="15"/>
        <v>1.6830776498901401</v>
      </c>
      <c r="H120" s="388"/>
      <c r="I120" s="586"/>
      <c r="J120" s="388"/>
      <c r="K120" s="520">
        <f>'4th Order Polynomial Tmp vs Res'!$I$40*E120^4 + '4th Order Polynomial Tmp vs Res'!$J$40*E120^3 + '4th Order Polynomial Tmp vs Res'!$K$40*E120^2 + '4th Order Polynomial Tmp vs Res'!$L$40*E120 + '4th Order Polynomial Tmp vs Res'!$M$40</f>
        <v>55.968271487019024</v>
      </c>
      <c r="L120" s="520">
        <f t="shared" ref="L120:L151" si="18">B120-K120</f>
        <v>3.172851298097612E-2</v>
      </c>
      <c r="M120" s="388"/>
      <c r="N120" s="388"/>
      <c r="O120" s="388"/>
      <c r="P120" s="388"/>
      <c r="Q120" s="388"/>
      <c r="R120" s="388"/>
      <c r="S120" s="388"/>
      <c r="T120" s="388"/>
    </row>
    <row r="121" spans="1:20" ht="15" x14ac:dyDescent="0.25">
      <c r="A121" s="562">
        <v>98</v>
      </c>
      <c r="B121" s="563">
        <f t="shared" si="17"/>
        <v>57</v>
      </c>
      <c r="C121" s="564">
        <f t="shared" si="13"/>
        <v>11973.364042833613</v>
      </c>
      <c r="D121" s="564">
        <f>IF(B121 &lt;= VLOOKUP(Main!$N$22,Coefficients!$E$2:$H$28,4,FALSE),E121,NA())</f>
        <v>12094.307113973347</v>
      </c>
      <c r="E121" s="437">
        <f>'4th Order Polynomial Tmp vs Res'!$B$40+'4th Order Polynomial Tmp vs Res'!$C$40*POWER(B121,1)+'4th Order Polynomial Tmp vs Res'!$D$40*POWER(B121,2)+'4th Order Polynomial Tmp vs Res'!$E$40*POWER(B121,3)+'4th Order Polynomial Tmp vs Res'!$F$40*POWER(B121,4)</f>
        <v>12094.307113973347</v>
      </c>
      <c r="F121" s="564">
        <f t="shared" si="14"/>
        <v>12215.250185113082</v>
      </c>
      <c r="G121" s="585">
        <f t="shared" si="15"/>
        <v>1.6932029959562684</v>
      </c>
      <c r="H121" s="388"/>
      <c r="I121" s="586"/>
      <c r="J121" s="388"/>
      <c r="K121" s="520">
        <f>'4th Order Polynomial Tmp vs Res'!$I$40*E121^4 + '4th Order Polynomial Tmp vs Res'!$J$40*E121^3 + '4th Order Polynomial Tmp vs Res'!$K$40*E121^2 + '4th Order Polynomial Tmp vs Res'!$L$40*E121 + '4th Order Polynomial Tmp vs Res'!$M$40</f>
        <v>56.962490435993573</v>
      </c>
      <c r="L121" s="520">
        <f t="shared" si="18"/>
        <v>3.7509564006427354E-2</v>
      </c>
      <c r="M121" s="388"/>
      <c r="N121" s="388"/>
      <c r="O121" s="388"/>
      <c r="P121" s="388"/>
      <c r="Q121" s="388"/>
      <c r="R121" s="388"/>
      <c r="S121" s="388"/>
      <c r="T121" s="388"/>
    </row>
    <row r="122" spans="1:20" ht="15" x14ac:dyDescent="0.25">
      <c r="A122" s="562">
        <v>99</v>
      </c>
      <c r="B122" s="563">
        <f t="shared" si="17"/>
        <v>58</v>
      </c>
      <c r="C122" s="564">
        <f t="shared" si="13"/>
        <v>12045.284093464348</v>
      </c>
      <c r="D122" s="564">
        <f>IF(B122 &lt;= VLOOKUP(Main!$N$22,Coefficients!$E$2:$H$28,4,FALSE),E122,NA())</f>
        <v>12166.953629761969</v>
      </c>
      <c r="E122" s="437">
        <f>'4th Order Polynomial Tmp vs Res'!$B$40+'4th Order Polynomial Tmp vs Res'!$C$40*POWER(B122,1)+'4th Order Polynomial Tmp vs Res'!$D$40*POWER(B122,2)+'4th Order Polynomial Tmp vs Res'!$E$40*POWER(B122,3)+'4th Order Polynomial Tmp vs Res'!$F$40*POWER(B122,4)</f>
        <v>12166.953629761969</v>
      </c>
      <c r="F122" s="564">
        <f t="shared" si="14"/>
        <v>12288.623166059589</v>
      </c>
      <c r="G122" s="585">
        <f t="shared" si="15"/>
        <v>1.7033735081666754</v>
      </c>
      <c r="H122" s="388"/>
      <c r="I122" s="586"/>
      <c r="J122" s="388"/>
      <c r="K122" s="520">
        <f>'4th Order Polynomial Tmp vs Res'!$I$40*E122^4 + '4th Order Polynomial Tmp vs Res'!$J$40*E122^3 + '4th Order Polynomial Tmp vs Res'!$K$40*E122^2 + '4th Order Polynomial Tmp vs Res'!$L$40*E122 + '4th Order Polynomial Tmp vs Res'!$M$40</f>
        <v>57.956881732469469</v>
      </c>
      <c r="L122" s="520">
        <f t="shared" si="18"/>
        <v>4.3118267530530829E-2</v>
      </c>
      <c r="M122" s="388"/>
      <c r="N122" s="388"/>
      <c r="O122" s="388"/>
      <c r="P122" s="388"/>
      <c r="Q122" s="388"/>
      <c r="R122" s="388"/>
      <c r="S122" s="388"/>
      <c r="T122" s="388"/>
    </row>
    <row r="123" spans="1:20" ht="15" x14ac:dyDescent="0.25">
      <c r="A123" s="562">
        <v>100</v>
      </c>
      <c r="B123" s="563">
        <f t="shared" si="17"/>
        <v>59</v>
      </c>
      <c r="C123" s="564">
        <f t="shared" si="13"/>
        <v>12117.525028777553</v>
      </c>
      <c r="D123" s="564">
        <f>IF(B123 &lt;= VLOOKUP(Main!$N$22,Coefficients!$E$2:$H$28,4,FALSE),E123,NA())</f>
        <v>12239.924271492477</v>
      </c>
      <c r="E123" s="437">
        <f>'4th Order Polynomial Tmp vs Res'!$B$40+'4th Order Polynomial Tmp vs Res'!$C$40*POWER(B123,1)+'4th Order Polynomial Tmp vs Res'!$D$40*POWER(B123,2)+'4th Order Polynomial Tmp vs Res'!$E$40*POWER(B123,3)+'4th Order Polynomial Tmp vs Res'!$F$40*POWER(B123,4)</f>
        <v>12239.924271492477</v>
      </c>
      <c r="F123" s="564">
        <f t="shared" si="14"/>
        <v>12362.323514207401</v>
      </c>
      <c r="G123" s="585">
        <f t="shared" si="15"/>
        <v>1.7135893980089465</v>
      </c>
      <c r="H123" s="388"/>
      <c r="I123" s="586"/>
      <c r="J123" s="388"/>
      <c r="K123" s="520">
        <f>'4th Order Polynomial Tmp vs Res'!$I$40*E123^4 + '4th Order Polynomial Tmp vs Res'!$J$40*E123^3 + '4th Order Polynomial Tmp vs Res'!$K$40*E123^2 + '4th Order Polynomial Tmp vs Res'!$L$40*E123 + '4th Order Polynomial Tmp vs Res'!$M$40</f>
        <v>58.951470201628467</v>
      </c>
      <c r="L123" s="520">
        <f t="shared" si="18"/>
        <v>4.8529798371532706E-2</v>
      </c>
      <c r="M123" s="388"/>
      <c r="N123" s="388"/>
      <c r="O123" s="388"/>
      <c r="P123" s="388"/>
      <c r="Q123" s="388"/>
      <c r="R123" s="388"/>
      <c r="S123" s="388"/>
      <c r="T123" s="388"/>
    </row>
    <row r="124" spans="1:20" ht="15" x14ac:dyDescent="0.25">
      <c r="A124" s="562">
        <v>101</v>
      </c>
      <c r="B124" s="563">
        <f t="shared" si="17"/>
        <v>60</v>
      </c>
      <c r="C124" s="564">
        <f t="shared" si="13"/>
        <v>12190.088387111502</v>
      </c>
      <c r="D124" s="564">
        <f>IF(B124 &lt;= VLOOKUP(Main!$N$22,Coefficients!$E$2:$H$28,4,FALSE),E124,NA())</f>
        <v>12313.22059304192</v>
      </c>
      <c r="E124" s="437">
        <f>'4th Order Polynomial Tmp vs Res'!$B$40+'4th Order Polynomial Tmp vs Res'!$C$40*POWER(B124,1)+'4th Order Polynomial Tmp vs Res'!$D$40*POWER(B124,2)+'4th Order Polynomial Tmp vs Res'!$E$40*POWER(B124,3)+'4th Order Polynomial Tmp vs Res'!$F$40*POWER(B124,4)</f>
        <v>12313.22059304192</v>
      </c>
      <c r="F124" s="564">
        <f t="shared" si="14"/>
        <v>12436.352798972339</v>
      </c>
      <c r="G124" s="585">
        <f t="shared" si="15"/>
        <v>1.7238508830258688</v>
      </c>
      <c r="H124" s="388"/>
      <c r="I124" s="586"/>
      <c r="J124" s="388"/>
      <c r="K124" s="520">
        <f>'4th Order Polynomial Tmp vs Res'!$I$40*E124^4 + '4th Order Polynomial Tmp vs Res'!$J$40*E124^3 + '4th Order Polynomial Tmp vs Res'!$K$40*E124^2 + '4th Order Polynomial Tmp vs Res'!$L$40*E124 + '4th Order Polynomial Tmp vs Res'!$M$40</f>
        <v>59.946280305095456</v>
      </c>
      <c r="L124" s="520">
        <f t="shared" si="18"/>
        <v>5.3719694904543758E-2</v>
      </c>
      <c r="M124" s="388"/>
      <c r="N124" s="388"/>
      <c r="O124" s="388"/>
      <c r="P124" s="388"/>
      <c r="Q124" s="388"/>
      <c r="R124" s="388"/>
      <c r="S124" s="388"/>
      <c r="T124" s="388"/>
    </row>
    <row r="125" spans="1:20" ht="15" x14ac:dyDescent="0.25">
      <c r="A125" s="562">
        <v>102</v>
      </c>
      <c r="B125" s="563">
        <f t="shared" si="17"/>
        <v>61</v>
      </c>
      <c r="C125" s="564">
        <f t="shared" si="13"/>
        <v>12262.975749623414</v>
      </c>
      <c r="D125" s="564">
        <f>IF(B125 &lt;= VLOOKUP(Main!$N$22,Coefficients!$E$2:$H$28,4,FALSE),E125,NA())</f>
        <v>12386.844191538803</v>
      </c>
      <c r="E125" s="437">
        <f>'4th Order Polynomial Tmp vs Res'!$B$40+'4th Order Polynomial Tmp vs Res'!$C$40*POWER(B125,1)+'4th Order Polynomial Tmp vs Res'!$D$40*POWER(B125,2)+'4th Order Polynomial Tmp vs Res'!$E$40*POWER(B125,3)+'4th Order Polynomial Tmp vs Res'!$F$40*POWER(B125,4)</f>
        <v>12386.844191538803</v>
      </c>
      <c r="F125" s="564">
        <f t="shared" si="14"/>
        <v>12510.712633454192</v>
      </c>
      <c r="G125" s="585">
        <f t="shared" si="15"/>
        <v>1.7341581868154323</v>
      </c>
      <c r="H125" s="388"/>
      <c r="I125" s="586"/>
      <c r="J125" s="388"/>
      <c r="K125" s="520">
        <f>'4th Order Polynomial Tmp vs Res'!$I$40*E125^4 + '4th Order Polynomial Tmp vs Res'!$J$40*E125^3 + '4th Order Polynomial Tmp vs Res'!$K$40*E125^2 + '4th Order Polynomial Tmp vs Res'!$L$40*E125 + '4th Order Polynomial Tmp vs Res'!$M$40</f>
        <v>60.941336067028544</v>
      </c>
      <c r="L125" s="520">
        <f t="shared" si="18"/>
        <v>5.8663932971455779E-2</v>
      </c>
      <c r="M125" s="388"/>
      <c r="N125" s="388"/>
      <c r="O125" s="388"/>
      <c r="P125" s="388"/>
      <c r="Q125" s="388"/>
      <c r="R125" s="388"/>
      <c r="S125" s="388"/>
      <c r="T125" s="388"/>
    </row>
    <row r="126" spans="1:20" ht="15" x14ac:dyDescent="0.25">
      <c r="A126" s="562">
        <v>103</v>
      </c>
      <c r="B126" s="563">
        <f t="shared" si="17"/>
        <v>62</v>
      </c>
      <c r="C126" s="564">
        <f t="shared" si="13"/>
        <v>12336.188740289428</v>
      </c>
      <c r="D126" s="564">
        <f>IF(B126 &lt;= VLOOKUP(Main!$N$22,Coefficients!$E$2:$H$28,4,FALSE),E126,NA())</f>
        <v>12460.796707363059</v>
      </c>
      <c r="E126" s="437">
        <f>'4th Order Polynomial Tmp vs Res'!$B$40+'4th Order Polynomial Tmp vs Res'!$C$40*POWER(B126,1)+'4th Order Polynomial Tmp vs Res'!$D$40*POWER(B126,2)+'4th Order Polynomial Tmp vs Res'!$E$40*POWER(B126,3)+'4th Order Polynomial Tmp vs Res'!$F$40*POWER(B126,4)</f>
        <v>12460.796707363059</v>
      </c>
      <c r="F126" s="564">
        <f t="shared" si="14"/>
        <v>12585.40467443669</v>
      </c>
      <c r="G126" s="585">
        <f t="shared" si="15"/>
        <v>1.7445115390308281</v>
      </c>
      <c r="H126" s="388"/>
      <c r="I126" s="586"/>
      <c r="J126" s="388"/>
      <c r="K126" s="520">
        <f>'4th Order Polynomial Tmp vs Res'!$I$40*E126^4 + '4th Order Polynomial Tmp vs Res'!$J$40*E126^3 + '4th Order Polynomial Tmp vs Res'!$K$40*E126^2 + '4th Order Polynomial Tmp vs Res'!$L$40*E126 + '4th Order Polynomial Tmp vs Res'!$M$40</f>
        <v>61.936660998331263</v>
      </c>
      <c r="L126" s="520">
        <f t="shared" si="18"/>
        <v>6.3339001668737183E-2</v>
      </c>
      <c r="M126" s="388"/>
      <c r="N126" s="388"/>
      <c r="O126" s="388"/>
      <c r="P126" s="388"/>
      <c r="Q126" s="388"/>
      <c r="R126" s="388"/>
      <c r="S126" s="388"/>
      <c r="T126" s="388"/>
    </row>
    <row r="127" spans="1:20" ht="15" x14ac:dyDescent="0.25">
      <c r="A127" s="562">
        <v>104</v>
      </c>
      <c r="B127" s="563">
        <f t="shared" si="17"/>
        <v>63</v>
      </c>
      <c r="C127" s="564">
        <f t="shared" si="13"/>
        <v>12409.729025904606</v>
      </c>
      <c r="D127" s="564">
        <f>IF(B127 &lt;= VLOOKUP(Main!$N$22,Coefficients!$E$2:$H$28,4,FALSE),E127,NA())</f>
        <v>12535.079824146067</v>
      </c>
      <c r="E127" s="437">
        <f>'4th Order Polynomial Tmp vs Res'!$B$40+'4th Order Polynomial Tmp vs Res'!$C$40*POWER(B127,1)+'4th Order Polynomial Tmp vs Res'!$D$40*POWER(B127,2)+'4th Order Polynomial Tmp vs Res'!$E$40*POWER(B127,3)+'4th Order Polynomial Tmp vs Res'!$F$40*POWER(B127,4)</f>
        <v>12535.079824146067</v>
      </c>
      <c r="F127" s="564">
        <f t="shared" si="14"/>
        <v>12660.430622387528</v>
      </c>
      <c r="G127" s="585">
        <f t="shared" si="15"/>
        <v>1.7549111753804492</v>
      </c>
      <c r="H127" s="388"/>
      <c r="I127" s="586"/>
      <c r="J127" s="388"/>
      <c r="K127" s="520">
        <f>'4th Order Polynomial Tmp vs Res'!$I$40*E127^4 + '4th Order Polynomial Tmp vs Res'!$J$40*E127^3 + '4th Order Polynomial Tmp vs Res'!$K$40*E127^2 + '4th Order Polynomial Tmp vs Res'!$L$40*E127 + '4th Order Polynomial Tmp vs Res'!$M$40</f>
        <v>62.932278018903844</v>
      </c>
      <c r="L127" s="520">
        <f t="shared" si="18"/>
        <v>6.7721981096156014E-2</v>
      </c>
      <c r="M127" s="388"/>
      <c r="N127" s="388"/>
      <c r="O127" s="388"/>
      <c r="P127" s="388"/>
      <c r="Q127" s="388"/>
      <c r="R127" s="388"/>
      <c r="S127" s="388"/>
      <c r="T127" s="388"/>
    </row>
    <row r="128" spans="1:20" ht="15" x14ac:dyDescent="0.25">
      <c r="A128" s="562">
        <v>105</v>
      </c>
      <c r="B128" s="563">
        <f t="shared" si="17"/>
        <v>64</v>
      </c>
      <c r="C128" s="564">
        <f t="shared" si="13"/>
        <v>12483.598316082936</v>
      </c>
      <c r="D128" s="564">
        <f>IF(B128 &lt;= VLOOKUP(Main!$N$22,Coefficients!$E$2:$H$28,4,FALSE),E128,NA())</f>
        <v>12609.695268770643</v>
      </c>
      <c r="E128" s="437">
        <f>'4th Order Polynomial Tmp vs Res'!$B$40+'4th Order Polynomial Tmp vs Res'!$C$40*POWER(B128,1)+'4th Order Polynomial Tmp vs Res'!$D$40*POWER(B128,2)+'4th Order Polynomial Tmp vs Res'!$E$40*POWER(B128,3)+'4th Order Polynomial Tmp vs Res'!$F$40*POWER(B128,4)</f>
        <v>12609.695268770643</v>
      </c>
      <c r="F128" s="564">
        <f t="shared" si="14"/>
        <v>12735.79222145835</v>
      </c>
      <c r="G128" s="585">
        <f t="shared" si="15"/>
        <v>1.7653573376278899</v>
      </c>
      <c r="H128" s="388"/>
      <c r="I128" s="586"/>
      <c r="J128" s="388"/>
      <c r="K128" s="520">
        <f>'4th Order Polynomial Tmp vs Res'!$I$40*E128^4 + '4th Order Polynomial Tmp vs Res'!$J$40*E128^3 + '4th Order Polynomial Tmp vs Res'!$K$40*E128^2 + '4th Order Polynomial Tmp vs Res'!$L$40*E128 + '4th Order Polynomial Tmp vs Res'!$M$40</f>
        <v>63.928209377849953</v>
      </c>
      <c r="L128" s="520">
        <f t="shared" si="18"/>
        <v>7.1790622150047056E-2</v>
      </c>
      <c r="M128" s="388"/>
      <c r="N128" s="388"/>
      <c r="O128" s="388"/>
      <c r="P128" s="388"/>
      <c r="Q128" s="388"/>
      <c r="R128" s="388"/>
      <c r="S128" s="388"/>
      <c r="T128" s="388"/>
    </row>
    <row r="129" spans="1:20" ht="15" x14ac:dyDescent="0.25">
      <c r="A129" s="562">
        <v>106</v>
      </c>
      <c r="B129" s="563">
        <f t="shared" si="17"/>
        <v>65</v>
      </c>
      <c r="C129" s="564">
        <f t="shared" ref="C129:C134" si="19">IFERROR(D129*0.99,NA())</f>
        <v>12557.798363257347</v>
      </c>
      <c r="D129" s="564">
        <f>IF(B129 &lt;= VLOOKUP(Main!$N$22,Coefficients!$E$2:$H$28,4,FALSE),E129,NA())</f>
        <v>12684.644811371058</v>
      </c>
      <c r="E129" s="437">
        <f>'4th Order Polynomial Tmp vs Res'!$B$40+'4th Order Polynomial Tmp vs Res'!$C$40*POWER(B129,1)+'4th Order Polynomial Tmp vs Res'!$D$40*POWER(B129,2)+'4th Order Polynomial Tmp vs Res'!$E$40*POWER(B129,3)+'4th Order Polynomial Tmp vs Res'!$F$40*POWER(B129,4)</f>
        <v>12684.644811371058</v>
      </c>
      <c r="F129" s="564">
        <f t="shared" ref="F129:F134" si="20">IFERROR(D129*1.01,NA())</f>
        <v>12811.491259484768</v>
      </c>
      <c r="G129" s="585">
        <f t="shared" si="15"/>
        <v>1.7758502735919479</v>
      </c>
      <c r="H129" s="388"/>
      <c r="I129" s="586"/>
      <c r="J129" s="388"/>
      <c r="K129" s="520">
        <f>'4th Order Polynomial Tmp vs Res'!$I$40*E129^4 + '4th Order Polynomial Tmp vs Res'!$J$40*E129^3 + '4th Order Polynomial Tmp vs Res'!$K$40*E129^2 + '4th Order Polynomial Tmp vs Res'!$L$40*E129 + '4th Order Polynomial Tmp vs Res'!$M$40</f>
        <v>64.924476571548212</v>
      </c>
      <c r="L129" s="520">
        <f t="shared" si="18"/>
        <v>7.5523428451788277E-2</v>
      </c>
      <c r="M129" s="388"/>
      <c r="N129" s="388"/>
      <c r="O129" s="388"/>
      <c r="P129" s="388"/>
      <c r="Q129" s="388"/>
      <c r="R129" s="388"/>
      <c r="S129" s="388"/>
      <c r="T129" s="388"/>
    </row>
    <row r="130" spans="1:20" ht="15" x14ac:dyDescent="0.25">
      <c r="A130" s="562">
        <v>107</v>
      </c>
      <c r="B130" s="563">
        <f t="shared" si="17"/>
        <v>66</v>
      </c>
      <c r="C130" s="564">
        <f t="shared" si="19"/>
        <v>12632.330962679673</v>
      </c>
      <c r="D130" s="564">
        <f>IF(B130 &lt;= VLOOKUP(Main!$N$22,Coefficients!$E$2:$H$28,4,FALSE),E130,NA())</f>
        <v>12759.930265333003</v>
      </c>
      <c r="E130" s="437">
        <f>'4th Order Polynomial Tmp vs Res'!$B$40+'4th Order Polynomial Tmp vs Res'!$C$40*POWER(B130,1)+'4th Order Polynomial Tmp vs Res'!$D$40*POWER(B130,2)+'4th Order Polynomial Tmp vs Res'!$E$40*POWER(B130,3)+'4th Order Polynomial Tmp vs Res'!$F$40*POWER(B130,4)</f>
        <v>12759.930265333003</v>
      </c>
      <c r="F130" s="564">
        <f t="shared" si="20"/>
        <v>12887.529567986334</v>
      </c>
      <c r="G130" s="585">
        <f t="shared" si="15"/>
        <v>1.7863902371466203</v>
      </c>
      <c r="H130" s="388"/>
      <c r="I130" s="586"/>
      <c r="J130" s="388"/>
      <c r="K130" s="520">
        <f>'4th Order Polynomial Tmp vs Res'!$I$40*E130^4 + '4th Order Polynomial Tmp vs Res'!$J$40*E130^3 + '4th Order Polynomial Tmp vs Res'!$K$40*E130^2 + '4th Order Polynomial Tmp vs Res'!$L$40*E130 + '4th Order Polynomial Tmp vs Res'!$M$40</f>
        <v>65.921100259500122</v>
      </c>
      <c r="L130" s="520">
        <f t="shared" si="18"/>
        <v>7.8899740499878135E-2</v>
      </c>
      <c r="M130" s="388"/>
      <c r="N130" s="388"/>
      <c r="O130" s="388"/>
      <c r="P130" s="388"/>
      <c r="Q130" s="388"/>
      <c r="R130" s="388"/>
      <c r="S130" s="388"/>
      <c r="T130" s="388"/>
    </row>
    <row r="131" spans="1:20" ht="15" x14ac:dyDescent="0.25">
      <c r="A131" s="562">
        <v>108</v>
      </c>
      <c r="B131" s="563">
        <f t="shared" si="17"/>
        <v>67</v>
      </c>
      <c r="C131" s="564">
        <f t="shared" si="19"/>
        <v>12707.197952420691</v>
      </c>
      <c r="D131" s="564">
        <f>IF(B131 &lt;= VLOOKUP(Main!$N$22,Coefficients!$E$2:$H$28,4,FALSE),E131,NA())</f>
        <v>12835.553487293628</v>
      </c>
      <c r="E131" s="437">
        <f>'4th Order Polynomial Tmp vs Res'!$B$40+'4th Order Polynomial Tmp vs Res'!$C$40*POWER(B131,1)+'4th Order Polynomial Tmp vs Res'!$D$40*POWER(B131,2)+'4th Order Polynomial Tmp vs Res'!$E$40*POWER(B131,3)+'4th Order Polynomial Tmp vs Res'!$F$40*POWER(B131,4)</f>
        <v>12835.553487293628</v>
      </c>
      <c r="F131" s="564">
        <f t="shared" si="20"/>
        <v>12963.909022166565</v>
      </c>
      <c r="G131" s="585">
        <f t="shared" si="15"/>
        <v>1.7969774882211078</v>
      </c>
      <c r="H131" s="388"/>
      <c r="I131" s="586"/>
      <c r="J131" s="388"/>
      <c r="K131" s="520">
        <f>'4th Order Polynomial Tmp vs Res'!$I$40*E131^4 + '4th Order Polynomial Tmp vs Res'!$J$40*E131^3 + '4th Order Polynomial Tmp vs Res'!$K$40*E131^2 + '4th Order Polynomial Tmp vs Res'!$L$40*E131 + '4th Order Polynomial Tmp vs Res'!$M$40</f>
        <v>66.91810017785582</v>
      </c>
      <c r="L131" s="520">
        <f t="shared" si="18"/>
        <v>8.1899822144180234E-2</v>
      </c>
      <c r="M131" s="388"/>
      <c r="N131" s="388"/>
      <c r="O131" s="388"/>
      <c r="P131" s="388"/>
      <c r="Q131" s="388"/>
      <c r="R131" s="388"/>
      <c r="S131" s="388"/>
      <c r="T131" s="388"/>
    </row>
    <row r="132" spans="1:20" ht="15" x14ac:dyDescent="0.25">
      <c r="A132" s="562">
        <v>109</v>
      </c>
      <c r="B132" s="563">
        <f t="shared" si="17"/>
        <v>68</v>
      </c>
      <c r="C132" s="564">
        <f t="shared" si="19"/>
        <v>12782.4012133701</v>
      </c>
      <c r="D132" s="564">
        <f>IF(B132 &lt;= VLOOKUP(Main!$N$22,Coefficients!$E$2:$H$28,4,FALSE),E132,NA())</f>
        <v>12911.516377141515</v>
      </c>
      <c r="E132" s="437">
        <f>'4th Order Polynomial Tmp vs Res'!$B$40+'4th Order Polynomial Tmp vs Res'!$C$40*POWER(B132,1)+'4th Order Polynomial Tmp vs Res'!$D$40*POWER(B132,2)+'4th Order Polynomial Tmp vs Res'!$E$40*POWER(B132,3)+'4th Order Polynomial Tmp vs Res'!$F$40*POWER(B132,4)</f>
        <v>12911.516377141515</v>
      </c>
      <c r="F132" s="564">
        <f t="shared" si="20"/>
        <v>13040.631540912931</v>
      </c>
      <c r="G132" s="585">
        <f t="shared" si="15"/>
        <v>1.8076122927998119</v>
      </c>
      <c r="H132" s="388"/>
      <c r="I132" s="586"/>
      <c r="J132" s="388"/>
      <c r="K132" s="520">
        <f>'4th Order Polynomial Tmp vs Res'!$I$40*E132^4 + '4th Order Polynomial Tmp vs Res'!$J$40*E132^3 + '4th Order Polynomial Tmp vs Res'!$K$40*E132^2 + '4th Order Polynomial Tmp vs Res'!$L$40*E132 + '4th Order Polynomial Tmp vs Res'!$M$40</f>
        <v>67.915495050523873</v>
      </c>
      <c r="L132" s="520">
        <f t="shared" si="18"/>
        <v>8.4504949476126967E-2</v>
      </c>
      <c r="M132" s="388"/>
      <c r="N132" s="388"/>
      <c r="O132" s="388"/>
      <c r="P132" s="388"/>
      <c r="Q132" s="388"/>
      <c r="R132" s="388"/>
      <c r="S132" s="388"/>
      <c r="T132" s="388"/>
    </row>
    <row r="133" spans="1:20" ht="15" x14ac:dyDescent="0.25">
      <c r="A133" s="562">
        <v>110</v>
      </c>
      <c r="B133" s="563">
        <f t="shared" si="17"/>
        <v>69</v>
      </c>
      <c r="C133" s="564">
        <f t="shared" si="19"/>
        <v>12857.942669236529</v>
      </c>
      <c r="D133" s="564">
        <f>IF(B133 &lt;= VLOOKUP(Main!$N$22,Coefficients!$E$2:$H$28,4,FALSE),E133,NA())</f>
        <v>12987.820878016695</v>
      </c>
      <c r="E133" s="437">
        <f>'4th Order Polynomial Tmp vs Res'!$B$40+'4th Order Polynomial Tmp vs Res'!$C$40*POWER(B133,1)+'4th Order Polynomial Tmp vs Res'!$D$40*POWER(B133,2)+'4th Order Polynomial Tmp vs Res'!$E$40*POWER(B133,3)+'4th Order Polynomial Tmp vs Res'!$F$40*POWER(B133,4)</f>
        <v>12987.820878016695</v>
      </c>
      <c r="F133" s="564">
        <f t="shared" si="20"/>
        <v>13117.699086796862</v>
      </c>
      <c r="G133" s="585">
        <f t="shared" si="15"/>
        <v>1.8182949229223371</v>
      </c>
      <c r="H133" s="388"/>
      <c r="I133" s="586"/>
      <c r="J133" s="388"/>
      <c r="K133" s="520">
        <f>'4th Order Polynomial Tmp vs Res'!$I$40*E133^4 + '4th Order Polynomial Tmp vs Res'!$J$40*E133^3 + '4th Order Polynomial Tmp vs Res'!$K$40*E133^2 + '4th Order Polynomial Tmp vs Res'!$L$40*E133 + '4th Order Polynomial Tmp vs Res'!$M$40</f>
        <v>68.913302497760014</v>
      </c>
      <c r="L133" s="520">
        <f t="shared" si="18"/>
        <v>8.6697502239985624E-2</v>
      </c>
      <c r="M133" s="388"/>
      <c r="N133" s="388"/>
      <c r="O133" s="388"/>
      <c r="P133" s="388"/>
      <c r="Q133" s="388"/>
      <c r="R133" s="388"/>
      <c r="S133" s="388"/>
      <c r="T133" s="388"/>
    </row>
    <row r="134" spans="1:20" ht="15" x14ac:dyDescent="0.25">
      <c r="A134" s="562">
        <v>111</v>
      </c>
      <c r="B134" s="563">
        <f t="shared" si="17"/>
        <v>70</v>
      </c>
      <c r="C134" s="564">
        <f t="shared" si="19"/>
        <v>12933.824286547522</v>
      </c>
      <c r="D134" s="564">
        <f>IF(B134 &lt;= VLOOKUP(Main!$N$22,Coefficients!$E$2:$H$28,4,FALSE),E134,NA())</f>
        <v>13064.468976310629</v>
      </c>
      <c r="E134" s="437">
        <f>'4th Order Polynomial Tmp vs Res'!$B$40+'4th Order Polynomial Tmp vs Res'!$C$40*POWER(B134,1)+'4th Order Polynomial Tmp vs Res'!$D$40*POWER(B134,2)+'4th Order Polynomial Tmp vs Res'!$E$40*POWER(B134,3)+'4th Order Polynomial Tmp vs Res'!$F$40*POWER(B134,4)</f>
        <v>13064.468976310629</v>
      </c>
      <c r="F134" s="564">
        <f t="shared" si="20"/>
        <v>13195.113666073736</v>
      </c>
      <c r="G134" s="585">
        <f t="shared" si="15"/>
        <v>1.8290256566834879</v>
      </c>
      <c r="H134" s="388"/>
      <c r="I134" s="586"/>
      <c r="J134" s="388"/>
      <c r="K134" s="520">
        <f>'4th Order Polynomial Tmp vs Res'!$I$40*E134^4 + '4th Order Polynomial Tmp vs Res'!$J$40*E134^3 + '4th Order Polynomial Tmp vs Res'!$K$40*E134^2 + '4th Order Polynomial Tmp vs Res'!$L$40*E134 + '4th Order Polynomial Tmp vs Res'!$M$40</f>
        <v>69.911538942130733</v>
      </c>
      <c r="L134" s="520">
        <f t="shared" si="18"/>
        <v>8.8461057869267279E-2</v>
      </c>
      <c r="M134" s="388"/>
      <c r="N134" s="388"/>
      <c r="O134" s="388"/>
      <c r="P134" s="388"/>
      <c r="Q134" s="388"/>
      <c r="R134" s="388"/>
      <c r="S134" s="388"/>
      <c r="T134" s="388"/>
    </row>
    <row r="135" spans="1:20" ht="15" x14ac:dyDescent="0.25">
      <c r="A135" s="562">
        <v>112</v>
      </c>
      <c r="B135" s="563">
        <f t="shared" si="17"/>
        <v>71</v>
      </c>
      <c r="C135" s="564">
        <f t="shared" ref="C135:C179" si="21">IFERROR(D135*0.985,NA())</f>
        <v>12944.340761141235</v>
      </c>
      <c r="D135" s="564">
        <f>IF(B135 &lt;= VLOOKUP(Main!$N$22,Coefficients!$E$2:$H$28,4,FALSE),E135,NA())</f>
        <v>13141.462701666229</v>
      </c>
      <c r="E135" s="437">
        <f>'4th Order Polynomial Tmp vs Res'!$B$40+'4th Order Polynomial Tmp vs Res'!$C$40*POWER(B135,1)+'4th Order Polynomial Tmp vs Res'!$D$40*POWER(B135,2)+'4th Order Polynomial Tmp vs Res'!$E$40*POWER(B135,3)+'4th Order Polynomial Tmp vs Res'!$F$40*POWER(B135,4)</f>
        <v>13141.462701666229</v>
      </c>
      <c r="F135" s="564">
        <f t="shared" ref="F135:F179" si="22">IFERROR(D135*1.015,NA())</f>
        <v>13338.584642191221</v>
      </c>
      <c r="G135" s="585">
        <f t="shared" si="15"/>
        <v>1.8398047782332718</v>
      </c>
      <c r="H135" s="388"/>
      <c r="I135" s="586"/>
      <c r="J135" s="388"/>
      <c r="K135" s="520">
        <f>'4th Order Polynomial Tmp vs Res'!$I$40*E135^4 + '4th Order Polynomial Tmp vs Res'!$J$40*E135^3 + '4th Order Polynomial Tmp vs Res'!$K$40*E135^2 + '4th Order Polynomial Tmp vs Res'!$L$40*E135 + '4th Order Polynomial Tmp vs Res'!$M$40</f>
        <v>70.910219511744856</v>
      </c>
      <c r="L135" s="520">
        <f t="shared" si="18"/>
        <v>8.9780488255144064E-2</v>
      </c>
      <c r="M135" s="388"/>
      <c r="N135" s="388"/>
      <c r="O135" s="388"/>
      <c r="P135" s="388"/>
      <c r="Q135" s="388"/>
      <c r="R135" s="388"/>
      <c r="S135" s="388"/>
      <c r="T135" s="388"/>
    </row>
    <row r="136" spans="1:20" ht="15" x14ac:dyDescent="0.25">
      <c r="A136" s="562">
        <v>113</v>
      </c>
      <c r="B136" s="563">
        <f t="shared" si="17"/>
        <v>72</v>
      </c>
      <c r="C136" s="564">
        <f t="shared" si="21"/>
        <v>13020.522065073181</v>
      </c>
      <c r="D136" s="564">
        <f>IF(B136 &lt;= VLOOKUP(Main!$N$22,Coefficients!$E$2:$H$28,4,FALSE),E136,NA())</f>
        <v>13218.804126977848</v>
      </c>
      <c r="E136" s="437">
        <f>'4th Order Polynomial Tmp vs Res'!$B$40+'4th Order Polynomial Tmp vs Res'!$C$40*POWER(B136,1)+'4th Order Polynomial Tmp vs Res'!$D$40*POWER(B136,2)+'4th Order Polynomial Tmp vs Res'!$E$40*POWER(B136,3)+'4th Order Polynomial Tmp vs Res'!$F$40*POWER(B136,4)</f>
        <v>13218.804126977848</v>
      </c>
      <c r="F136" s="564">
        <f t="shared" si="22"/>
        <v>13417.086188882515</v>
      </c>
      <c r="G136" s="585">
        <f t="shared" si="15"/>
        <v>1.8506325777768986</v>
      </c>
      <c r="H136" s="388"/>
      <c r="I136" s="586"/>
      <c r="J136" s="388"/>
      <c r="K136" s="520">
        <f>'4th Order Polynomial Tmp vs Res'!$I$40*E136^4 + '4th Order Polynomial Tmp vs Res'!$J$40*E136^3 + '4th Order Polynomial Tmp vs Res'!$K$40*E136^2 + '4th Order Polynomial Tmp vs Res'!$L$40*E136 + '4th Order Polynomial Tmp vs Res'!$M$40</f>
        <v>71.909357940637051</v>
      </c>
      <c r="L136" s="520">
        <f t="shared" si="18"/>
        <v>9.0642059362949112E-2</v>
      </c>
      <c r="M136" s="388"/>
      <c r="N136" s="388"/>
      <c r="O136" s="388"/>
      <c r="P136" s="388"/>
      <c r="Q136" s="388"/>
      <c r="R136" s="388"/>
      <c r="S136" s="388"/>
      <c r="T136" s="388"/>
    </row>
    <row r="137" spans="1:20" ht="15" x14ac:dyDescent="0.25">
      <c r="A137" s="562">
        <v>114</v>
      </c>
      <c r="B137" s="563">
        <f t="shared" si="17"/>
        <v>73</v>
      </c>
      <c r="C137" s="564">
        <f t="shared" si="21"/>
        <v>13097.047937865404</v>
      </c>
      <c r="D137" s="564">
        <f>IF(B137 &lt;= VLOOKUP(Main!$N$22,Coefficients!$E$2:$H$28,4,FALSE),E137,NA())</f>
        <v>13296.495368391274</v>
      </c>
      <c r="E137" s="437">
        <f>'4th Order Polynomial Tmp vs Res'!$B$40+'4th Order Polynomial Tmp vs Res'!$C$40*POWER(B137,1)+'4th Order Polynomial Tmp vs Res'!$D$40*POWER(B137,2)+'4th Order Polynomial Tmp vs Res'!$E$40*POWER(B137,3)+'4th Order Polynomial Tmp vs Res'!$F$40*POWER(B137,4)</f>
        <v>13296.495368391274</v>
      </c>
      <c r="F137" s="564">
        <f t="shared" si="22"/>
        <v>13495.942798917142</v>
      </c>
      <c r="G137" s="585">
        <f t="shared" si="15"/>
        <v>1.861509351574778</v>
      </c>
      <c r="H137" s="388"/>
      <c r="I137" s="586"/>
      <c r="J137" s="388"/>
      <c r="K137" s="520">
        <f>'4th Order Polynomial Tmp vs Res'!$I$40*E137^4 + '4th Order Polynomial Tmp vs Res'!$J$40*E137^3 + '4th Order Polynomial Tmp vs Res'!$K$40*E137^2 + '4th Order Polynomial Tmp vs Res'!$L$40*E137 + '4th Order Polynomial Tmp vs Res'!$M$40</f>
        <v>72.908966466190975</v>
      </c>
      <c r="L137" s="520">
        <f t="shared" si="18"/>
        <v>9.1033533809024902E-2</v>
      </c>
      <c r="M137" s="388"/>
      <c r="N137" s="388"/>
      <c r="O137" s="388"/>
      <c r="P137" s="388"/>
      <c r="Q137" s="388"/>
      <c r="R137" s="388"/>
      <c r="S137" s="388"/>
      <c r="T137" s="388"/>
    </row>
    <row r="138" spans="1:20" ht="15" x14ac:dyDescent="0.25">
      <c r="A138" s="562">
        <v>115</v>
      </c>
      <c r="B138" s="563">
        <f t="shared" si="17"/>
        <v>74</v>
      </c>
      <c r="C138" s="564">
        <f t="shared" si="21"/>
        <v>13173.920506524179</v>
      </c>
      <c r="D138" s="564">
        <f>IF(B138 &lt;= VLOOKUP(Main!$N$22,Coefficients!$E$2:$H$28,4,FALSE),E138,NA())</f>
        <v>13374.538585303735</v>
      </c>
      <c r="E138" s="437">
        <f>'4th Order Polynomial Tmp vs Res'!$B$40+'4th Order Polynomial Tmp vs Res'!$C$40*POWER(B138,1)+'4th Order Polynomial Tmp vs Res'!$D$40*POWER(B138,2)+'4th Order Polynomial Tmp vs Res'!$E$40*POWER(B138,3)+'4th Order Polynomial Tmp vs Res'!$F$40*POWER(B138,4)</f>
        <v>13374.538585303735</v>
      </c>
      <c r="F138" s="564">
        <f t="shared" si="22"/>
        <v>13575.15666408329</v>
      </c>
      <c r="G138" s="585">
        <f t="shared" si="15"/>
        <v>1.8724354019425227</v>
      </c>
      <c r="H138" s="388"/>
      <c r="I138" s="586"/>
      <c r="J138" s="388"/>
      <c r="K138" s="520">
        <f>'4th Order Polynomial Tmp vs Res'!$I$40*E138^4 + '4th Order Polynomial Tmp vs Res'!$J$40*E138^3 + '4th Order Polynomial Tmp vs Res'!$K$40*E138^2 + '4th Order Polynomial Tmp vs Res'!$L$40*E138 + '4th Order Polynomial Tmp vs Res'!$M$40</f>
        <v>73.909055723477195</v>
      </c>
      <c r="L138" s="520">
        <f t="shared" si="18"/>
        <v>9.0944276522805012E-2</v>
      </c>
      <c r="M138" s="388"/>
      <c r="N138" s="388"/>
      <c r="O138" s="388"/>
      <c r="P138" s="388"/>
      <c r="Q138" s="388"/>
      <c r="R138" s="388"/>
      <c r="S138" s="388"/>
      <c r="T138" s="388"/>
    </row>
    <row r="139" spans="1:20" ht="15" x14ac:dyDescent="0.25">
      <c r="A139" s="562">
        <v>116</v>
      </c>
      <c r="B139" s="563">
        <f t="shared" si="17"/>
        <v>75</v>
      </c>
      <c r="C139" s="564">
        <f t="shared" si="21"/>
        <v>13251.141940658461</v>
      </c>
      <c r="D139" s="564">
        <f>IF(B139 &lt;= VLOOKUP(Main!$N$22,Coefficients!$E$2:$H$28,4,FALSE),E139,NA())</f>
        <v>13452.93598036392</v>
      </c>
      <c r="E139" s="437">
        <f>'4th Order Polynomial Tmp vs Res'!$B$40+'4th Order Polynomial Tmp vs Res'!$C$40*POWER(B139,1)+'4th Order Polynomial Tmp vs Res'!$D$40*POWER(B139,2)+'4th Order Polynomial Tmp vs Res'!$E$40*POWER(B139,3)+'4th Order Polynomial Tmp vs Res'!$F$40*POWER(B139,4)</f>
        <v>13452.93598036392</v>
      </c>
      <c r="F139" s="564">
        <f t="shared" si="22"/>
        <v>13654.730020069377</v>
      </c>
      <c r="G139" s="585">
        <f t="shared" si="15"/>
        <v>1.8834110372509487</v>
      </c>
      <c r="H139" s="388"/>
      <c r="I139" s="586"/>
      <c r="J139" s="388"/>
      <c r="K139" s="520">
        <f>'4th Order Polynomial Tmp vs Res'!$I$40*E139^4 + '4th Order Polynomial Tmp vs Res'!$J$40*E139^3 + '4th Order Polynomial Tmp vs Res'!$K$40*E139^2 + '4th Order Polynomial Tmp vs Res'!$L$40*E139 + '4th Order Polynomial Tmp vs Res'!$M$40</f>
        <v>74.909634636385022</v>
      </c>
      <c r="L139" s="520">
        <f t="shared" si="18"/>
        <v>9.0365363614978378E-2</v>
      </c>
      <c r="M139" s="388"/>
      <c r="N139" s="388"/>
      <c r="O139" s="388"/>
      <c r="P139" s="388"/>
      <c r="Q139" s="388"/>
      <c r="R139" s="388"/>
      <c r="S139" s="388"/>
      <c r="T139" s="388"/>
    </row>
    <row r="140" spans="1:20" ht="15" x14ac:dyDescent="0.25">
      <c r="A140" s="562">
        <v>117</v>
      </c>
      <c r="B140" s="563">
        <f t="shared" si="17"/>
        <v>76</v>
      </c>
      <c r="C140" s="564">
        <f t="shared" si="21"/>
        <v>13328.71445247985</v>
      </c>
      <c r="D140" s="564">
        <f>IF(B140 &lt;= VLOOKUP(Main!$N$22,Coefficients!$E$2:$H$28,4,FALSE),E140,NA())</f>
        <v>13531.689799471929</v>
      </c>
      <c r="E140" s="437">
        <f>'4th Order Polynomial Tmp vs Res'!$B$40+'4th Order Polynomial Tmp vs Res'!$C$40*POWER(B140,1)+'4th Order Polynomial Tmp vs Res'!$D$40*POWER(B140,2)+'4th Order Polynomial Tmp vs Res'!$E$40*POWER(B140,3)+'4th Order Polynomial Tmp vs Res'!$F$40*POWER(B140,4)</f>
        <v>13531.689799471929</v>
      </c>
      <c r="F140" s="564">
        <f t="shared" si="22"/>
        <v>13734.665146464007</v>
      </c>
      <c r="G140" s="585">
        <f t="shared" si="15"/>
        <v>1.8944365719260698</v>
      </c>
      <c r="H140" s="388"/>
      <c r="I140" s="586"/>
      <c r="J140" s="388"/>
      <c r="K140" s="520">
        <f>'4th Order Polynomial Tmp vs Res'!$I$40*E140^4 + '4th Order Polynomial Tmp vs Res'!$J$40*E140^3 + '4th Order Polynomial Tmp vs Res'!$K$40*E140^2 + '4th Order Polynomial Tmp vs Res'!$L$40*E140 + '4th Order Polynomial Tmp vs Res'!$M$40</f>
        <v>75.910710305417922</v>
      </c>
      <c r="L140" s="520">
        <f t="shared" si="18"/>
        <v>8.9289694582078027E-2</v>
      </c>
      <c r="M140" s="388"/>
      <c r="N140" s="388"/>
      <c r="O140" s="388"/>
      <c r="P140" s="388"/>
      <c r="Q140" s="388"/>
      <c r="R140" s="388"/>
      <c r="S140" s="388"/>
      <c r="T140" s="388"/>
    </row>
    <row r="141" spans="1:20" ht="15" x14ac:dyDescent="0.25">
      <c r="A141" s="562">
        <v>118</v>
      </c>
      <c r="B141" s="563">
        <f t="shared" si="17"/>
        <v>77</v>
      </c>
      <c r="C141" s="564">
        <f t="shared" si="21"/>
        <v>13406.640296802636</v>
      </c>
      <c r="D141" s="564">
        <f>IF(B141 &lt;= VLOOKUP(Main!$N$22,Coefficients!$E$2:$H$28,4,FALSE),E141,NA())</f>
        <v>13610.802331779327</v>
      </c>
      <c r="E141" s="437">
        <f>'4th Order Polynomial Tmp vs Res'!$B$40+'4th Order Polynomial Tmp vs Res'!$C$40*POWER(B141,1)+'4th Order Polynomial Tmp vs Res'!$D$40*POWER(B141,2)+'4th Order Polynomial Tmp vs Res'!$E$40*POWER(B141,3)+'4th Order Polynomial Tmp vs Res'!$F$40*POWER(B141,4)</f>
        <v>13610.802331779327</v>
      </c>
      <c r="F141" s="564">
        <f t="shared" si="22"/>
        <v>13814.964366756016</v>
      </c>
      <c r="G141" s="585">
        <f t="shared" si="15"/>
        <v>1.9055123264491056</v>
      </c>
      <c r="H141" s="388"/>
      <c r="I141" s="586"/>
      <c r="J141" s="388"/>
      <c r="K141" s="520">
        <f>'4th Order Polynomial Tmp vs Res'!$I$40*E141^4 + '4th Order Polynomial Tmp vs Res'!$J$40*E141^3 + '4th Order Polynomial Tmp vs Res'!$K$40*E141^2 + '4th Order Polynomial Tmp vs Res'!$L$40*E141 + '4th Order Polynomial Tmp vs Res'!$M$40</f>
        <v>76.912287892019549</v>
      </c>
      <c r="L141" s="520">
        <f t="shared" si="18"/>
        <v>8.7712107980451037E-2</v>
      </c>
      <c r="M141" s="388"/>
      <c r="N141" s="388"/>
      <c r="O141" s="388"/>
      <c r="P141" s="388"/>
      <c r="Q141" s="388"/>
      <c r="R141" s="388"/>
      <c r="S141" s="388"/>
      <c r="T141" s="388"/>
    </row>
    <row r="142" spans="1:20" ht="15" x14ac:dyDescent="0.25">
      <c r="A142" s="562">
        <v>119</v>
      </c>
      <c r="B142" s="563">
        <f t="shared" si="17"/>
        <v>78</v>
      </c>
      <c r="C142" s="564">
        <f t="shared" si="21"/>
        <v>13484.921771043775</v>
      </c>
      <c r="D142" s="564">
        <f>IF(B142 &lt;= VLOOKUP(Main!$N$22,Coefficients!$E$2:$H$28,4,FALSE),E142,NA())</f>
        <v>13690.275909689111</v>
      </c>
      <c r="E142" s="437">
        <f>'4th Order Polynomial Tmp vs Res'!$B$40+'4th Order Polynomial Tmp vs Res'!$C$40*POWER(B142,1)+'4th Order Polynomial Tmp vs Res'!$D$40*POWER(B142,2)+'4th Order Polynomial Tmp vs Res'!$E$40*POWER(B142,3)+'4th Order Polynomial Tmp vs Res'!$F$40*POWER(B142,4)</f>
        <v>13690.275909689111</v>
      </c>
      <c r="F142" s="564">
        <f t="shared" si="22"/>
        <v>13895.630048334448</v>
      </c>
      <c r="G142" s="585">
        <f t="shared" si="15"/>
        <v>1.9166386273564755</v>
      </c>
      <c r="H142" s="388"/>
      <c r="I142" s="586"/>
      <c r="J142" s="388"/>
      <c r="K142" s="520">
        <f>'4th Order Polynomial Tmp vs Res'!$I$40*E142^4 + '4th Order Polynomial Tmp vs Res'!$J$40*E142^3 + '4th Order Polynomial Tmp vs Res'!$K$40*E142^2 + '4th Order Polynomial Tmp vs Res'!$L$40*E142 + '4th Order Polynomial Tmp vs Res'!$M$40</f>
        <v>77.914370499292716</v>
      </c>
      <c r="L142" s="520">
        <f t="shared" si="18"/>
        <v>8.5629500707284478E-2</v>
      </c>
      <c r="M142" s="388"/>
      <c r="N142" s="388"/>
      <c r="O142" s="388"/>
      <c r="P142" s="388"/>
      <c r="Q142" s="388"/>
      <c r="R142" s="388"/>
      <c r="S142" s="388"/>
      <c r="T142" s="388"/>
    </row>
    <row r="143" spans="1:20" ht="15" x14ac:dyDescent="0.25">
      <c r="A143" s="562">
        <v>120</v>
      </c>
      <c r="B143" s="563">
        <f t="shared" si="17"/>
        <v>79</v>
      </c>
      <c r="C143" s="564">
        <f t="shared" si="21"/>
        <v>13563.561215222879</v>
      </c>
      <c r="D143" s="564">
        <f>IF(B143 &lt;= VLOOKUP(Main!$N$22,Coefficients!$E$2:$H$28,4,FALSE),E143,NA())</f>
        <v>13770.112908855715</v>
      </c>
      <c r="E143" s="437">
        <f>'4th Order Polynomial Tmp vs Res'!$B$40+'4th Order Polynomial Tmp vs Res'!$C$40*POWER(B143,1)+'4th Order Polynomial Tmp vs Res'!$D$40*POWER(B143,2)+'4th Order Polynomial Tmp vs Res'!$E$40*POWER(B143,3)+'4th Order Polynomial Tmp vs Res'!$F$40*POWER(B143,4)</f>
        <v>13770.112908855715</v>
      </c>
      <c r="F143" s="564">
        <f t="shared" si="22"/>
        <v>13976.66460248855</v>
      </c>
      <c r="G143" s="585">
        <f t="shared" si="15"/>
        <v>1.9278158072398</v>
      </c>
      <c r="H143" s="388"/>
      <c r="I143" s="586"/>
      <c r="J143" s="388"/>
      <c r="K143" s="520">
        <f>'4th Order Polynomial Tmp vs Res'!$I$40*E143^4 + '4th Order Polynomial Tmp vs Res'!$J$40*E143^3 + '4th Order Polynomial Tmp vs Res'!$K$40*E143^2 + '4th Order Polynomial Tmp vs Res'!$L$40*E143 + '4th Order Polynomial Tmp vs Res'!$M$40</f>
        <v>78.916959048968465</v>
      </c>
      <c r="L143" s="520">
        <f t="shared" si="18"/>
        <v>8.304095103153486E-2</v>
      </c>
      <c r="M143" s="388"/>
      <c r="N143" s="388"/>
      <c r="O143" s="388"/>
      <c r="P143" s="388"/>
      <c r="Q143" s="388"/>
      <c r="R143" s="388"/>
      <c r="S143" s="388"/>
      <c r="T143" s="388"/>
    </row>
    <row r="144" spans="1:20" ht="15" x14ac:dyDescent="0.25">
      <c r="A144" s="562">
        <v>121</v>
      </c>
      <c r="B144" s="563">
        <f t="shared" si="17"/>
        <v>80</v>
      </c>
      <c r="C144" s="564">
        <f t="shared" si="21"/>
        <v>13642.561011962251</v>
      </c>
      <c r="D144" s="564">
        <f>IF(B144 &lt;= VLOOKUP(Main!$N$22,Coefficients!$E$2:$H$28,4,FALSE),E144,NA())</f>
        <v>13850.315748185027</v>
      </c>
      <c r="E144" s="437">
        <f>'4th Order Polynomial Tmp vs Res'!$B$40+'4th Order Polynomial Tmp vs Res'!$C$40*POWER(B144,1)+'4th Order Polynomial Tmp vs Res'!$D$40*POWER(B144,2)+'4th Order Polynomial Tmp vs Res'!$E$40*POWER(B144,3)+'4th Order Polynomial Tmp vs Res'!$F$40*POWER(B144,4)</f>
        <v>13850.315748185027</v>
      </c>
      <c r="F144" s="564">
        <f t="shared" si="22"/>
        <v>14058.070484407801</v>
      </c>
      <c r="G144" s="585">
        <f t="shared" si="15"/>
        <v>1.9390442047459036</v>
      </c>
      <c r="H144" s="388"/>
      <c r="I144" s="586"/>
      <c r="J144" s="388"/>
      <c r="K144" s="520">
        <f>'4th Order Polynomial Tmp vs Res'!$I$40*E144^4 + '4th Order Polynomial Tmp vs Res'!$J$40*E144^3 + '4th Order Polynomial Tmp vs Res'!$K$40*E144^2 + '4th Order Polynomial Tmp vs Res'!$L$40*E144 + '4th Order Polynomial Tmp vs Res'!$M$40</f>
        <v>79.920052154480516</v>
      </c>
      <c r="L144" s="520">
        <f t="shared" si="18"/>
        <v>7.9947845519484417E-2</v>
      </c>
      <c r="M144" s="388"/>
      <c r="N144" s="388"/>
      <c r="O144" s="388"/>
      <c r="P144" s="388"/>
      <c r="Q144" s="388"/>
      <c r="R144" s="388"/>
      <c r="S144" s="388"/>
      <c r="T144" s="388"/>
    </row>
    <row r="145" spans="1:20" ht="15" x14ac:dyDescent="0.25">
      <c r="A145" s="562">
        <v>122</v>
      </c>
      <c r="B145" s="563">
        <f t="shared" si="17"/>
        <v>81</v>
      </c>
      <c r="C145" s="564">
        <f t="shared" si="21"/>
        <v>13721.923586486848</v>
      </c>
      <c r="D145" s="564">
        <f>IF(B145 &lt;= VLOOKUP(Main!$N$22,Coefficients!$E$2:$H$28,4,FALSE),E145,NA())</f>
        <v>13930.886889834363</v>
      </c>
      <c r="E145" s="437">
        <f>'4th Order Polynomial Tmp vs Res'!$B$40+'4th Order Polynomial Tmp vs Res'!$C$40*POWER(B145,1)+'4th Order Polynomial Tmp vs Res'!$D$40*POWER(B145,2)+'4th Order Polynomial Tmp vs Res'!$E$40*POWER(B145,3)+'4th Order Polynomial Tmp vs Res'!$F$40*POWER(B145,4)</f>
        <v>13930.886889834363</v>
      </c>
      <c r="F145" s="564">
        <f t="shared" si="22"/>
        <v>14139.850193181877</v>
      </c>
      <c r="G145" s="585">
        <f t="shared" si="15"/>
        <v>1.9503241645768106</v>
      </c>
      <c r="H145" s="388"/>
      <c r="I145" s="586"/>
      <c r="J145" s="388"/>
      <c r="K145" s="520">
        <f>'4th Order Polynomial Tmp vs Res'!$I$40*E145^4 + '4th Order Polynomial Tmp vs Res'!$J$40*E145^3 + '4th Order Polynomial Tmp vs Res'!$K$40*E145^2 + '4th Order Polynomial Tmp vs Res'!$L$40*E145 + '4th Order Polynomial Tmp vs Res'!$M$40</f>
        <v>80.923645989990746</v>
      </c>
      <c r="L145" s="520">
        <f t="shared" si="18"/>
        <v>7.6354010009254125E-2</v>
      </c>
      <c r="M145" s="388"/>
      <c r="N145" s="388"/>
      <c r="O145" s="388"/>
      <c r="P145" s="388"/>
      <c r="Q145" s="388"/>
      <c r="R145" s="388"/>
      <c r="S145" s="388"/>
      <c r="T145" s="388"/>
    </row>
    <row r="146" spans="1:20" ht="15" x14ac:dyDescent="0.25">
      <c r="A146" s="562">
        <v>123</v>
      </c>
      <c r="B146" s="563">
        <f t="shared" si="17"/>
        <v>82</v>
      </c>
      <c r="C146" s="564">
        <f t="shared" si="21"/>
        <v>13801.651406624303</v>
      </c>
      <c r="D146" s="564">
        <f>IF(B146 &lt;= VLOOKUP(Main!$N$22,Coefficients!$E$2:$H$28,4,FALSE),E146,NA())</f>
        <v>14011.82883921249</v>
      </c>
      <c r="E146" s="437">
        <f>'4th Order Polynomial Tmp vs Res'!$B$40+'4th Order Polynomial Tmp vs Res'!$C$40*POWER(B146,1)+'4th Order Polynomial Tmp vs Res'!$D$40*POWER(B146,2)+'4th Order Polynomial Tmp vs Res'!$E$40*POWER(B146,3)+'4th Order Polynomial Tmp vs Res'!$F$40*POWER(B146,4)</f>
        <v>14011.82883921249</v>
      </c>
      <c r="F146" s="564">
        <f t="shared" si="22"/>
        <v>14222.006271800676</v>
      </c>
      <c r="G146" s="585">
        <f t="shared" si="15"/>
        <v>1.9616560374897485</v>
      </c>
      <c r="H146" s="388"/>
      <c r="I146" s="586"/>
      <c r="J146" s="388"/>
      <c r="K146" s="520">
        <f>'4th Order Polynomial Tmp vs Res'!$I$40*E146^4 + '4th Order Polynomial Tmp vs Res'!$J$40*E146^3 + '4th Order Polynomial Tmp vs Res'!$K$40*E146^2 + '4th Order Polynomial Tmp vs Res'!$L$40*E146 + '4th Order Polynomial Tmp vs Res'!$M$40</f>
        <v>81.927734155208782</v>
      </c>
      <c r="L146" s="520">
        <f t="shared" si="18"/>
        <v>7.2265844791218115E-2</v>
      </c>
      <c r="M146" s="388"/>
      <c r="N146" s="388"/>
      <c r="O146" s="388"/>
      <c r="P146" s="388"/>
      <c r="Q146" s="388"/>
      <c r="R146" s="388"/>
      <c r="S146" s="388"/>
      <c r="T146" s="388"/>
    </row>
    <row r="147" spans="1:20" ht="15" x14ac:dyDescent="0.25">
      <c r="A147" s="562">
        <v>124</v>
      </c>
      <c r="B147" s="563">
        <f t="shared" si="17"/>
        <v>83</v>
      </c>
      <c r="C147" s="564">
        <f t="shared" si="21"/>
        <v>13881.746982804914</v>
      </c>
      <c r="D147" s="564">
        <f>IF(B147 &lt;= VLOOKUP(Main!$N$22,Coefficients!$E$2:$H$28,4,FALSE),E147,NA())</f>
        <v>14093.144144979609</v>
      </c>
      <c r="E147" s="437">
        <f>'4th Order Polynomial Tmp vs Res'!$B$40+'4th Order Polynomial Tmp vs Res'!$C$40*POWER(B147,1)+'4th Order Polynomial Tmp vs Res'!$D$40*POWER(B147,2)+'4th Order Polynomial Tmp vs Res'!$E$40*POWER(B147,3)+'4th Order Polynomial Tmp vs Res'!$F$40*POWER(B147,4)</f>
        <v>14093.144144979609</v>
      </c>
      <c r="F147" s="564">
        <f t="shared" si="22"/>
        <v>14304.541307154303</v>
      </c>
      <c r="G147" s="585">
        <f t="shared" si="15"/>
        <v>1.9730401802971451</v>
      </c>
      <c r="H147" s="388"/>
      <c r="I147" s="586"/>
      <c r="J147" s="388"/>
      <c r="K147" s="520">
        <f>'4th Order Polynomial Tmp vs Res'!$I$40*E147^4 + '4th Order Polynomial Tmp vs Res'!$J$40*E147^3 + '4th Order Polynomial Tmp vs Res'!$K$40*E147^2 + '4th Order Polynomial Tmp vs Res'!$L$40*E147 + '4th Order Polynomial Tmp vs Res'!$M$40</f>
        <v>82.932307535844529</v>
      </c>
      <c r="L147" s="520">
        <f t="shared" si="18"/>
        <v>6.7692464155470589E-2</v>
      </c>
      <c r="M147" s="388"/>
      <c r="N147" s="388"/>
      <c r="O147" s="388"/>
      <c r="P147" s="388"/>
      <c r="Q147" s="388"/>
      <c r="R147" s="388"/>
      <c r="S147" s="388"/>
      <c r="T147" s="388"/>
    </row>
    <row r="148" spans="1:20" ht="15" x14ac:dyDescent="0.25">
      <c r="A148" s="562">
        <v>125</v>
      </c>
      <c r="B148" s="563">
        <f t="shared" si="17"/>
        <v>84</v>
      </c>
      <c r="C148" s="564">
        <f t="shared" si="21"/>
        <v>13962.212868061657</v>
      </c>
      <c r="D148" s="564">
        <f>IF(B148 &lt;= VLOOKUP(Main!$N$22,Coefficients!$E$2:$H$28,4,FALSE),E148,NA())</f>
        <v>14174.835399047368</v>
      </c>
      <c r="E148" s="437">
        <f>'4th Order Polynomial Tmp vs Res'!$B$40+'4th Order Polynomial Tmp vs Res'!$C$40*POWER(B148,1)+'4th Order Polynomial Tmp vs Res'!$D$40*POWER(B148,2)+'4th Order Polynomial Tmp vs Res'!$E$40*POWER(B148,3)+'4th Order Polynomial Tmp vs Res'!$F$40*POWER(B148,4)</f>
        <v>14174.835399047368</v>
      </c>
      <c r="F148" s="564">
        <f t="shared" si="22"/>
        <v>14387.457930033077</v>
      </c>
      <c r="G148" s="585">
        <f t="shared" si="15"/>
        <v>1.9844769558666313</v>
      </c>
      <c r="H148" s="388"/>
      <c r="I148" s="586"/>
      <c r="J148" s="388"/>
      <c r="K148" s="520">
        <f>'4th Order Polynomial Tmp vs Res'!$I$40*E148^4 + '4th Order Polynomial Tmp vs Res'!$J$40*E148^3 + '4th Order Polynomial Tmp vs Res'!$K$40*E148^2 + '4th Order Polynomial Tmp vs Res'!$L$40*E148 + '4th Order Polynomial Tmp vs Res'!$M$40</f>
        <v>83.937354159527729</v>
      </c>
      <c r="L148" s="520">
        <f t="shared" si="18"/>
        <v>6.2645840472271175E-2</v>
      </c>
      <c r="M148" s="388"/>
      <c r="N148" s="388"/>
      <c r="O148" s="388"/>
      <c r="P148" s="388"/>
      <c r="Q148" s="388"/>
      <c r="R148" s="388"/>
      <c r="S148" s="388"/>
      <c r="T148" s="388"/>
    </row>
    <row r="149" spans="1:20" ht="15" x14ac:dyDescent="0.25">
      <c r="A149" s="562">
        <v>126</v>
      </c>
      <c r="B149" s="563">
        <f t="shared" si="17"/>
        <v>85</v>
      </c>
      <c r="C149" s="564">
        <f t="shared" si="21"/>
        <v>14043.051658030174</v>
      </c>
      <c r="D149" s="564">
        <f>IF(B149 &lt;= VLOOKUP(Main!$N$22,Coefficients!$E$2:$H$28,4,FALSE),E149,NA())</f>
        <v>14256.905236578858</v>
      </c>
      <c r="E149" s="437">
        <f>'4th Order Polynomial Tmp vs Res'!$B$40+'4th Order Polynomial Tmp vs Res'!$C$40*POWER(B149,1)+'4th Order Polynomial Tmp vs Res'!$D$40*POWER(B149,2)+'4th Order Polynomial Tmp vs Res'!$E$40*POWER(B149,3)+'4th Order Polynomial Tmp vs Res'!$F$40*POWER(B149,4)</f>
        <v>14256.905236578858</v>
      </c>
      <c r="F149" s="564">
        <f t="shared" si="22"/>
        <v>14470.758815127539</v>
      </c>
      <c r="G149" s="585">
        <f t="shared" si="15"/>
        <v>1.9959667331210398</v>
      </c>
      <c r="H149" s="388"/>
      <c r="I149" s="586"/>
      <c r="J149" s="388"/>
      <c r="K149" s="520">
        <f>'4th Order Polynomial Tmp vs Res'!$I$40*E149^4 + '4th Order Polynomial Tmp vs Res'!$J$40*E149^3 + '4th Order Polynomial Tmp vs Res'!$K$40*E149^2 + '4th Order Polynomial Tmp vs Res'!$L$40*E149 + '4th Order Polynomial Tmp vs Res'!$M$40</f>
        <v>84.942859047016498</v>
      </c>
      <c r="L149" s="520">
        <f t="shared" si="18"/>
        <v>5.7140952983502302E-2</v>
      </c>
      <c r="M149" s="388"/>
      <c r="N149" s="388"/>
      <c r="O149" s="388"/>
      <c r="P149" s="388"/>
      <c r="Q149" s="388"/>
      <c r="R149" s="388"/>
      <c r="S149" s="388"/>
      <c r="T149" s="388"/>
    </row>
    <row r="150" spans="1:20" ht="15" x14ac:dyDescent="0.25">
      <c r="A150" s="562">
        <v>127</v>
      </c>
      <c r="B150" s="563">
        <f t="shared" si="17"/>
        <v>86</v>
      </c>
      <c r="C150" s="564">
        <f t="shared" si="21"/>
        <v>14124.26599094877</v>
      </c>
      <c r="D150" s="564">
        <f>IF(B150 &lt;= VLOOKUP(Main!$N$22,Coefficients!$E$2:$H$28,4,FALSE),E150,NA())</f>
        <v>14339.356335988599</v>
      </c>
      <c r="E150" s="437">
        <f>'4th Order Polynomial Tmp vs Res'!$B$40+'4th Order Polynomial Tmp vs Res'!$C$40*POWER(B150,1)+'4th Order Polynomial Tmp vs Res'!$D$40*POWER(B150,2)+'4th Order Polynomial Tmp vs Res'!$E$40*POWER(B150,3)+'4th Order Polynomial Tmp vs Res'!$F$40*POWER(B150,4)</f>
        <v>14339.356335988599</v>
      </c>
      <c r="F150" s="564">
        <f t="shared" si="22"/>
        <v>14554.446681028427</v>
      </c>
      <c r="G150" s="585">
        <f t="shared" si="15"/>
        <v>2.0075098870384038</v>
      </c>
      <c r="H150" s="388"/>
      <c r="I150" s="586"/>
      <c r="J150" s="388"/>
      <c r="K150" s="520">
        <f>'4th Order Polynomial Tmp vs Res'!$I$40*E150^4 + '4th Order Polynomial Tmp vs Res'!$J$40*E150^3 + '4th Order Polynomial Tmp vs Res'!$K$40*E150^2 + '4th Order Polynomial Tmp vs Res'!$L$40*E150 + '4th Order Polynomial Tmp vs Res'!$M$40</f>
        <v>85.948804058520409</v>
      </c>
      <c r="L150" s="520">
        <f t="shared" si="18"/>
        <v>5.1195941479591056E-2</v>
      </c>
      <c r="M150" s="388"/>
      <c r="N150" s="388"/>
      <c r="O150" s="388"/>
      <c r="P150" s="388"/>
      <c r="Q150" s="388"/>
      <c r="R150" s="388"/>
      <c r="S150" s="388"/>
      <c r="T150" s="388"/>
    </row>
    <row r="151" spans="1:20" ht="15" x14ac:dyDescent="0.25">
      <c r="A151" s="562">
        <v>128</v>
      </c>
      <c r="B151" s="563">
        <f t="shared" si="17"/>
        <v>87</v>
      </c>
      <c r="C151" s="564">
        <f t="shared" si="21"/>
        <v>14205.85854765843</v>
      </c>
      <c r="D151" s="564">
        <f>IF(B151 &lt;= VLOOKUP(Main!$N$22,Coefficients!$E$2:$H$28,4,FALSE),E151,NA())</f>
        <v>14422.19141894257</v>
      </c>
      <c r="E151" s="437">
        <f>'4th Order Polynomial Tmp vs Res'!$B$40+'4th Order Polynomial Tmp vs Res'!$C$40*POWER(B151,1)+'4th Order Polynomial Tmp vs Res'!$D$40*POWER(B151,2)+'4th Order Polynomial Tmp vs Res'!$E$40*POWER(B151,3)+'4th Order Polynomial Tmp vs Res'!$F$40*POWER(B151,4)</f>
        <v>14422.19141894257</v>
      </c>
      <c r="F151" s="564">
        <f t="shared" si="22"/>
        <v>14638.524290226707</v>
      </c>
      <c r="G151" s="585">
        <f t="shared" si="15"/>
        <v>2.0191067986519595</v>
      </c>
      <c r="H151" s="388"/>
      <c r="I151" s="586"/>
      <c r="J151" s="388"/>
      <c r="K151" s="520">
        <f>'4th Order Polynomial Tmp vs Res'!$I$40*E151^4 + '4th Order Polynomial Tmp vs Res'!$J$40*E151^3 + '4th Order Polynomial Tmp vs Res'!$K$40*E151^2 + '4th Order Polynomial Tmp vs Res'!$L$40*E151 + '4th Order Polynomial Tmp vs Res'!$M$40</f>
        <v>86.955167734952454</v>
      </c>
      <c r="L151" s="520">
        <f t="shared" si="18"/>
        <v>4.4832265047546116E-2</v>
      </c>
      <c r="M151" s="388"/>
      <c r="N151" s="388"/>
      <c r="O151" s="388"/>
      <c r="P151" s="388"/>
      <c r="Q151" s="388"/>
      <c r="R151" s="388"/>
      <c r="S151" s="388"/>
      <c r="T151" s="388"/>
    </row>
    <row r="152" spans="1:20" ht="15" x14ac:dyDescent="0.25">
      <c r="A152" s="562">
        <v>129</v>
      </c>
      <c r="B152" s="563">
        <f t="shared" si="17"/>
        <v>88</v>
      </c>
      <c r="C152" s="564">
        <f t="shared" si="21"/>
        <v>14287.832051602798</v>
      </c>
      <c r="D152" s="564">
        <f>IF(B152 &lt;= VLOOKUP(Main!$N$22,Coefficients!$E$2:$H$28,4,FALSE),E152,NA())</f>
        <v>14505.413250358171</v>
      </c>
      <c r="E152" s="437">
        <f>'4th Order Polynomial Tmp vs Res'!$B$40+'4th Order Polynomial Tmp vs Res'!$C$40*POWER(B152,1)+'4th Order Polynomial Tmp vs Res'!$D$40*POWER(B152,2)+'4th Order Polynomial Tmp vs Res'!$E$40*POWER(B152,3)+'4th Order Polynomial Tmp vs Res'!$F$40*POWER(B152,4)</f>
        <v>14505.413250358171</v>
      </c>
      <c r="F152" s="564">
        <f t="shared" si="22"/>
        <v>14722.994449113543</v>
      </c>
      <c r="G152" s="585">
        <f t="shared" ref="G152:G215" si="23">IFERROR(D152*(($B$18/1000000)),NA())</f>
        <v>2.0307578550501439</v>
      </c>
      <c r="H152" s="388"/>
      <c r="I152" s="586"/>
      <c r="J152" s="388"/>
      <c r="K152" s="520">
        <f>'4th Order Polynomial Tmp vs Res'!$I$40*E152^4 + '4th Order Polynomial Tmp vs Res'!$J$40*E152^3 + '4th Order Polynomial Tmp vs Res'!$K$40*E152^2 + '4th Order Polynomial Tmp vs Res'!$L$40*E152 + '4th Order Polynomial Tmp vs Res'!$M$40</f>
        <v>87.96192513391685</v>
      </c>
      <c r="L152" s="520">
        <f t="shared" ref="L152:L183" si="24">B152-K152</f>
        <v>3.8074866083150027E-2</v>
      </c>
      <c r="M152" s="388"/>
      <c r="N152" s="388"/>
      <c r="O152" s="388"/>
      <c r="P152" s="388"/>
      <c r="Q152" s="388"/>
      <c r="R152" s="388"/>
      <c r="S152" s="388"/>
      <c r="T152" s="388"/>
    </row>
    <row r="153" spans="1:20" ht="15" x14ac:dyDescent="0.25">
      <c r="A153" s="562">
        <v>130</v>
      </c>
      <c r="B153" s="563">
        <f t="shared" si="17"/>
        <v>89</v>
      </c>
      <c r="C153" s="564">
        <f t="shared" si="21"/>
        <v>14370.189268828199</v>
      </c>
      <c r="D153" s="564">
        <f>IF(B153 &lt;= VLOOKUP(Main!$N$22,Coefficients!$E$2:$H$28,4,FALSE),E153,NA())</f>
        <v>14589.024638404262</v>
      </c>
      <c r="E153" s="437">
        <f>'4th Order Polynomial Tmp vs Res'!$B$40+'4th Order Polynomial Tmp vs Res'!$C$40*POWER(B153,1)+'4th Order Polynomial Tmp vs Res'!$D$40*POWER(B153,2)+'4th Order Polynomial Tmp vs Res'!$E$40*POWER(B153,3)+'4th Order Polynomial Tmp vs Res'!$F$40*POWER(B153,4)</f>
        <v>14589.024638404262</v>
      </c>
      <c r="F153" s="564">
        <f t="shared" si="22"/>
        <v>14807.860007980325</v>
      </c>
      <c r="G153" s="585">
        <f t="shared" si="23"/>
        <v>2.0424634493765965</v>
      </c>
      <c r="H153" s="388"/>
      <c r="I153" s="586"/>
      <c r="J153" s="388"/>
      <c r="K153" s="520">
        <f>'4th Order Polynomial Tmp vs Res'!$I$40*E153^4 + '4th Order Polynomial Tmp vs Res'!$J$40*E153^3 + '4th Order Polynomial Tmp vs Res'!$K$40*E153^2 + '4th Order Polynomial Tmp vs Res'!$L$40*E153 + '4th Order Polynomial Tmp vs Res'!$M$40</f>
        <v>88.969047660239767</v>
      </c>
      <c r="L153" s="520">
        <f t="shared" si="24"/>
        <v>3.0952339760233372E-2</v>
      </c>
      <c r="M153" s="388"/>
      <c r="N153" s="388"/>
      <c r="O153" s="388"/>
      <c r="P153" s="388"/>
      <c r="Q153" s="388"/>
      <c r="R153" s="388"/>
      <c r="S153" s="388"/>
      <c r="T153" s="388"/>
    </row>
    <row r="154" spans="1:20" ht="15" x14ac:dyDescent="0.25">
      <c r="A154" s="562">
        <v>131</v>
      </c>
      <c r="B154" s="563">
        <f t="shared" ref="B154:B217" si="25">B153+1</f>
        <v>90</v>
      </c>
      <c r="C154" s="564">
        <f t="shared" si="21"/>
        <v>14452.93300798362</v>
      </c>
      <c r="D154" s="564">
        <f>IF(B154 &lt;= VLOOKUP(Main!$N$22,Coefficients!$E$2:$H$28,4,FALSE),E154,NA())</f>
        <v>14673.028434501137</v>
      </c>
      <c r="E154" s="437">
        <f>'4th Order Polynomial Tmp vs Res'!$B$40+'4th Order Polynomial Tmp vs Res'!$C$40*POWER(B154,1)+'4th Order Polynomial Tmp vs Res'!$D$40*POWER(B154,2)+'4th Order Polynomial Tmp vs Res'!$E$40*POWER(B154,3)+'4th Order Polynomial Tmp vs Res'!$F$40*POWER(B154,4)</f>
        <v>14673.028434501137</v>
      </c>
      <c r="F154" s="564">
        <f t="shared" si="22"/>
        <v>14893.123861018652</v>
      </c>
      <c r="G154" s="585">
        <f t="shared" si="23"/>
        <v>2.0542239808301588</v>
      </c>
      <c r="H154" s="388"/>
      <c r="I154" s="586"/>
      <c r="J154" s="388"/>
      <c r="K154" s="520">
        <f>'4th Order Polynomial Tmp vs Res'!$I$40*E154^4 + '4th Order Polynomial Tmp vs Res'!$J$40*E154^3 + '4th Order Polynomial Tmp vs Res'!$K$40*E154^2 + '4th Order Polynomial Tmp vs Res'!$L$40*E154 + '4th Order Polynomial Tmp vs Res'!$M$40</f>
        <v>89.976502890834013</v>
      </c>
      <c r="L154" s="520">
        <f t="shared" si="24"/>
        <v>2.349710916598724E-2</v>
      </c>
      <c r="M154" s="388"/>
      <c r="N154" s="388"/>
      <c r="O154" s="388"/>
      <c r="P154" s="388"/>
      <c r="Q154" s="388"/>
      <c r="R154" s="388"/>
      <c r="S154" s="388"/>
      <c r="T154" s="388"/>
    </row>
    <row r="155" spans="1:20" ht="15" x14ac:dyDescent="0.25">
      <c r="A155" s="562">
        <v>132</v>
      </c>
      <c r="B155" s="563">
        <f t="shared" si="25"/>
        <v>91</v>
      </c>
      <c r="C155" s="564">
        <f t="shared" si="21"/>
        <v>14536.066120320718</v>
      </c>
      <c r="D155" s="564">
        <f>IF(B155 &lt;= VLOOKUP(Main!$N$22,Coefficients!$E$2:$H$28,4,FALSE),E155,NA())</f>
        <v>14757.427533320526</v>
      </c>
      <c r="E155" s="437">
        <f>'4th Order Polynomial Tmp vs Res'!$B$40+'4th Order Polynomial Tmp vs Res'!$C$40*POWER(B155,1)+'4th Order Polynomial Tmp vs Res'!$D$40*POWER(B155,2)+'4th Order Polynomial Tmp vs Res'!$E$40*POWER(B155,3)+'4th Order Polynomial Tmp vs Res'!$F$40*POWER(B155,4)</f>
        <v>14757.427533320526</v>
      </c>
      <c r="F155" s="564">
        <f t="shared" si="22"/>
        <v>14978.788946320332</v>
      </c>
      <c r="G155" s="585">
        <f t="shared" si="23"/>
        <v>2.0660398546648735</v>
      </c>
      <c r="H155" s="388"/>
      <c r="I155" s="586"/>
      <c r="J155" s="388"/>
      <c r="K155" s="520">
        <f>'4th Order Polynomial Tmp vs Res'!$I$40*E155^4 + '4th Order Polynomial Tmp vs Res'!$J$40*E155^3 + '4th Order Polynomial Tmp vs Res'!$K$40*E155^2 + '4th Order Polynomial Tmp vs Res'!$L$40*E155 + '4th Order Polynomial Tmp vs Res'!$M$40</f>
        <v>90.984254393694187</v>
      </c>
      <c r="L155" s="520">
        <f t="shared" si="24"/>
        <v>1.5745606305813453E-2</v>
      </c>
      <c r="M155" s="388"/>
      <c r="N155" s="388"/>
      <c r="O155" s="388"/>
      <c r="P155" s="388"/>
      <c r="Q155" s="388"/>
      <c r="R155" s="388"/>
      <c r="S155" s="388"/>
      <c r="T155" s="388"/>
    </row>
    <row r="156" spans="1:20" ht="15" x14ac:dyDescent="0.25">
      <c r="A156" s="562">
        <v>133</v>
      </c>
      <c r="B156" s="563">
        <f t="shared" si="25"/>
        <v>92</v>
      </c>
      <c r="C156" s="564">
        <f t="shared" si="21"/>
        <v>14619.591499693828</v>
      </c>
      <c r="D156" s="564">
        <f>IF(B156 &lt;= VLOOKUP(Main!$N$22,Coefficients!$E$2:$H$28,4,FALSE),E156,NA())</f>
        <v>14842.224872785613</v>
      </c>
      <c r="E156" s="437">
        <f>'4th Order Polynomial Tmp vs Res'!$B$40+'4th Order Polynomial Tmp vs Res'!$C$40*POWER(B156,1)+'4th Order Polynomial Tmp vs Res'!$D$40*POWER(B156,2)+'4th Order Polynomial Tmp vs Res'!$E$40*POWER(B156,3)+'4th Order Polynomial Tmp vs Res'!$F$40*POWER(B156,4)</f>
        <v>14842.224872785613</v>
      </c>
      <c r="F156" s="564">
        <f t="shared" si="22"/>
        <v>15064.858245877396</v>
      </c>
      <c r="G156" s="585">
        <f t="shared" si="23"/>
        <v>2.0779114821899856</v>
      </c>
      <c r="H156" s="388"/>
      <c r="I156" s="586"/>
      <c r="J156" s="388"/>
      <c r="K156" s="520">
        <f>'4th Order Polynomial Tmp vs Res'!$I$40*E156^4 + '4th Order Polynomial Tmp vs Res'!$J$40*E156^3 + '4th Order Polynomial Tmp vs Res'!$K$40*E156^2 + '4th Order Polynomial Tmp vs Res'!$L$40*E156 + '4th Order Polynomial Tmp vs Res'!$M$40</f>
        <v>91.992261540797472</v>
      </c>
      <c r="L156" s="520">
        <f t="shared" si="24"/>
        <v>7.7384592025282473E-3</v>
      </c>
      <c r="M156" s="388"/>
      <c r="N156" s="388"/>
      <c r="O156" s="388"/>
      <c r="P156" s="388"/>
      <c r="Q156" s="388"/>
      <c r="R156" s="388"/>
      <c r="S156" s="388"/>
      <c r="T156" s="388"/>
    </row>
    <row r="157" spans="1:20" ht="15" x14ac:dyDescent="0.25">
      <c r="A157" s="562">
        <v>134</v>
      </c>
      <c r="B157" s="563">
        <f t="shared" si="25"/>
        <v>93</v>
      </c>
      <c r="C157" s="564">
        <f t="shared" si="21"/>
        <v>14703.512082559939</v>
      </c>
      <c r="D157" s="564">
        <f>IF(B157 &lt;= VLOOKUP(Main!$N$22,Coefficients!$E$2:$H$28,4,FALSE),E157,NA())</f>
        <v>14927.423434071005</v>
      </c>
      <c r="E157" s="437">
        <f>'4th Order Polynomial Tmp vs Res'!$B$40+'4th Order Polynomial Tmp vs Res'!$C$40*POWER(B157,1)+'4th Order Polynomial Tmp vs Res'!$D$40*POWER(B157,2)+'4th Order Polynomial Tmp vs Res'!$E$40*POWER(B157,3)+'4th Order Polynomial Tmp vs Res'!$F$40*POWER(B157,4)</f>
        <v>14927.423434071005</v>
      </c>
      <c r="F157" s="564">
        <f t="shared" si="22"/>
        <v>15151.334785582068</v>
      </c>
      <c r="G157" s="585">
        <f t="shared" si="23"/>
        <v>2.0898392807699406</v>
      </c>
      <c r="H157" s="388"/>
      <c r="I157" s="586"/>
      <c r="J157" s="388"/>
      <c r="K157" s="520">
        <f>'4th Order Polynomial Tmp vs Res'!$I$40*E157^4 + '4th Order Polynomial Tmp vs Res'!$J$40*E157^3 + '4th Order Polynomial Tmp vs Res'!$K$40*E157^2 + '4th Order Polynomial Tmp vs Res'!$L$40*E157 + '4th Order Polynomial Tmp vs Res'!$M$40</f>
        <v>93.000479314693735</v>
      </c>
      <c r="L157" s="520">
        <f t="shared" si="24"/>
        <v>-4.7931469373452273E-4</v>
      </c>
      <c r="M157" s="388"/>
      <c r="N157" s="388"/>
      <c r="O157" s="388"/>
      <c r="P157" s="388"/>
      <c r="Q157" s="388"/>
      <c r="R157" s="388"/>
      <c r="S157" s="388"/>
      <c r="T157" s="388"/>
    </row>
    <row r="158" spans="1:20" ht="15" x14ac:dyDescent="0.25">
      <c r="A158" s="562">
        <v>135</v>
      </c>
      <c r="B158" s="563">
        <f t="shared" si="25"/>
        <v>94</v>
      </c>
      <c r="C158" s="564">
        <f t="shared" si="21"/>
        <v>14787.830847978728</v>
      </c>
      <c r="D158" s="564">
        <f>IF(B158 &lt;= VLOOKUP(Main!$N$22,Coefficients!$E$2:$H$28,4,FALSE),E158,NA())</f>
        <v>15013.026241602771</v>
      </c>
      <c r="E158" s="437">
        <f>'4th Order Polynomial Tmp vs Res'!$B$40+'4th Order Polynomial Tmp vs Res'!$C$40*POWER(B158,1)+'4th Order Polynomial Tmp vs Res'!$D$40*POWER(B158,2)+'4th Order Polynomial Tmp vs Res'!$E$40*POWER(B158,3)+'4th Order Polynomial Tmp vs Res'!$F$40*POWER(B158,4)</f>
        <v>15013.026241602771</v>
      </c>
      <c r="F158" s="564">
        <f t="shared" si="22"/>
        <v>15238.221635226811</v>
      </c>
      <c r="G158" s="585">
        <f t="shared" si="23"/>
        <v>2.1018236738243878</v>
      </c>
      <c r="H158" s="388"/>
      <c r="I158" s="586"/>
      <c r="J158" s="388"/>
      <c r="K158" s="520">
        <f>'4th Order Polynomial Tmp vs Res'!$I$40*E158^4 + '4th Order Polynomial Tmp vs Res'!$J$40*E158^3 + '4th Order Polynomial Tmp vs Res'!$K$40*E158^2 + '4th Order Polynomial Tmp vs Res'!$L$40*E158 + '4th Order Polynomial Tmp vs Res'!$M$40</f>
        <v>94.008858108548679</v>
      </c>
      <c r="L158" s="520">
        <f t="shared" si="24"/>
        <v>-8.8581085486794109E-3</v>
      </c>
      <c r="M158" s="388"/>
      <c r="N158" s="388"/>
      <c r="O158" s="388"/>
      <c r="P158" s="388"/>
      <c r="Q158" s="388"/>
      <c r="R158" s="388"/>
      <c r="S158" s="388"/>
      <c r="T158" s="388"/>
    </row>
    <row r="159" spans="1:20" ht="15" x14ac:dyDescent="0.25">
      <c r="A159" s="562">
        <v>136</v>
      </c>
      <c r="B159" s="563">
        <f t="shared" si="25"/>
        <v>95</v>
      </c>
      <c r="C159" s="564">
        <f t="shared" si="21"/>
        <v>14872.550817612526</v>
      </c>
      <c r="D159" s="564">
        <f>IF(B159 &lt;= VLOOKUP(Main!$N$22,Coefficients!$E$2:$H$28,4,FALSE),E159,NA())</f>
        <v>15099.036363058402</v>
      </c>
      <c r="E159" s="437">
        <f>'4th Order Polynomial Tmp vs Res'!$B$40+'4th Order Polynomial Tmp vs Res'!$C$40*POWER(B159,1)+'4th Order Polynomial Tmp vs Res'!$D$40*POWER(B159,2)+'4th Order Polynomial Tmp vs Res'!$E$40*POWER(B159,3)+'4th Order Polynomial Tmp vs Res'!$F$40*POWER(B159,4)</f>
        <v>15099.036363058402</v>
      </c>
      <c r="F159" s="564">
        <f t="shared" si="22"/>
        <v>15325.521908504275</v>
      </c>
      <c r="G159" s="585">
        <f t="shared" si="23"/>
        <v>2.1138650908281762</v>
      </c>
      <c r="H159" s="388"/>
      <c r="I159" s="586"/>
      <c r="J159" s="388"/>
      <c r="K159" s="520">
        <f>'4th Order Polynomial Tmp vs Res'!$I$40*E159^4 + '4th Order Polynomial Tmp vs Res'!$J$40*E159^3 + '4th Order Polynomial Tmp vs Res'!$K$40*E159^2 + '4th Order Polynomial Tmp vs Res'!$L$40*E159 + '4th Order Polynomial Tmp vs Res'!$M$40</f>
        <v>95.017343519402743</v>
      </c>
      <c r="L159" s="520">
        <f t="shared" si="24"/>
        <v>-1.7343519402743368E-2</v>
      </c>
      <c r="M159" s="388"/>
      <c r="N159" s="388"/>
      <c r="O159" s="388"/>
      <c r="P159" s="388"/>
      <c r="Q159" s="388"/>
      <c r="R159" s="388"/>
      <c r="S159" s="388"/>
      <c r="T159" s="388"/>
    </row>
    <row r="160" spans="1:20" ht="15" x14ac:dyDescent="0.25">
      <c r="A160" s="562">
        <v>137</v>
      </c>
      <c r="B160" s="563">
        <f t="shared" si="25"/>
        <v>96</v>
      </c>
      <c r="C160" s="564">
        <f t="shared" si="21"/>
        <v>14957.67505572634</v>
      </c>
      <c r="D160" s="564">
        <f>IF(B160 &lt;= VLOOKUP(Main!$N$22,Coefficients!$E$2:$H$28,4,FALSE),E160,NA())</f>
        <v>15185.456909366843</v>
      </c>
      <c r="E160" s="437">
        <f>'4th Order Polynomial Tmp vs Res'!$B$40+'4th Order Polynomial Tmp vs Res'!$C$40*POWER(B160,1)+'4th Order Polynomial Tmp vs Res'!$D$40*POWER(B160,2)+'4th Order Polynomial Tmp vs Res'!$E$40*POWER(B160,3)+'4th Order Polynomial Tmp vs Res'!$F$40*POWER(B160,4)</f>
        <v>15185.456909366843</v>
      </c>
      <c r="F160" s="564">
        <f t="shared" si="22"/>
        <v>15413.238763007344</v>
      </c>
      <c r="G160" s="585">
        <f t="shared" si="23"/>
        <v>2.1259639673113577</v>
      </c>
      <c r="H160" s="388"/>
      <c r="I160" s="586"/>
      <c r="J160" s="388"/>
      <c r="K160" s="520">
        <f>'4th Order Polynomial Tmp vs Res'!$I$40*E160^4 + '4th Order Polynomial Tmp vs Res'!$J$40*E160^3 + '4th Order Polynomial Tmp vs Res'!$K$40*E160^2 + '4th Order Polynomial Tmp vs Res'!$L$40*E160 + '4th Order Polynomial Tmp vs Res'!$M$40</f>
        <v>96.025876134398231</v>
      </c>
      <c r="L160" s="520">
        <f t="shared" si="24"/>
        <v>-2.5876134398231443E-2</v>
      </c>
      <c r="M160" s="388"/>
      <c r="N160" s="388"/>
      <c r="O160" s="388"/>
      <c r="P160" s="388"/>
      <c r="Q160" s="388"/>
      <c r="R160" s="388"/>
      <c r="S160" s="388"/>
      <c r="T160" s="388"/>
    </row>
    <row r="161" spans="1:20" ht="15" x14ac:dyDescent="0.25">
      <c r="A161" s="562">
        <v>138</v>
      </c>
      <c r="B161" s="563">
        <f t="shared" si="25"/>
        <v>97</v>
      </c>
      <c r="C161" s="564">
        <f t="shared" si="21"/>
        <v>15043.206669187855</v>
      </c>
      <c r="D161" s="564">
        <f>IF(B161 &lt;= VLOOKUP(Main!$N$22,Coefficients!$E$2:$H$28,4,FALSE),E161,NA())</f>
        <v>15272.291034708483</v>
      </c>
      <c r="E161" s="437">
        <f>'4th Order Polynomial Tmp vs Res'!$B$40+'4th Order Polynomial Tmp vs Res'!$C$40*POWER(B161,1)+'4th Order Polynomial Tmp vs Res'!$D$40*POWER(B161,2)+'4th Order Polynomial Tmp vs Res'!$E$40*POWER(B161,3)+'4th Order Polynomial Tmp vs Res'!$F$40*POWER(B161,4)</f>
        <v>15272.291034708483</v>
      </c>
      <c r="F161" s="564">
        <f t="shared" si="22"/>
        <v>15501.37540022911</v>
      </c>
      <c r="G161" s="585">
        <f t="shared" si="23"/>
        <v>2.1381207448591875</v>
      </c>
      <c r="H161" s="388"/>
      <c r="I161" s="586"/>
      <c r="J161" s="388"/>
      <c r="K161" s="520">
        <f>'4th Order Polynomial Tmp vs Res'!$I$40*E161^4 + '4th Order Polynomial Tmp vs Res'!$J$40*E161^3 + '4th Order Polynomial Tmp vs Res'!$K$40*E161^2 + '4th Order Polynomial Tmp vs Res'!$L$40*E161 + '4th Order Polynomial Tmp vs Res'!$M$40</f>
        <v>97.034391309722935</v>
      </c>
      <c r="L161" s="520">
        <f t="shared" si="24"/>
        <v>-3.4391309722934693E-2</v>
      </c>
      <c r="M161" s="388"/>
      <c r="N161" s="388"/>
      <c r="O161" s="388"/>
      <c r="P161" s="388"/>
      <c r="Q161" s="388"/>
      <c r="R161" s="388"/>
      <c r="S161" s="388"/>
      <c r="T161" s="388"/>
    </row>
    <row r="162" spans="1:20" ht="15" x14ac:dyDescent="0.25">
      <c r="A162" s="562">
        <v>139</v>
      </c>
      <c r="B162" s="563">
        <f t="shared" si="25"/>
        <v>98</v>
      </c>
      <c r="C162" s="564">
        <f t="shared" si="21"/>
        <v>15129.148807467409</v>
      </c>
      <c r="D162" s="564">
        <f>IF(B162 &lt;= VLOOKUP(Main!$N$22,Coefficients!$E$2:$H$28,4,FALSE),E162,NA())</f>
        <v>15359.541936515136</v>
      </c>
      <c r="E162" s="437">
        <f>'4th Order Polynomial Tmp vs Res'!$B$40+'4th Order Polynomial Tmp vs Res'!$C$40*POWER(B162,1)+'4th Order Polynomial Tmp vs Res'!$D$40*POWER(B162,2)+'4th Order Polynomial Tmp vs Res'!$E$40*POWER(B162,3)+'4th Order Polynomial Tmp vs Res'!$F$40*POWER(B162,4)</f>
        <v>15359.541936515136</v>
      </c>
      <c r="F162" s="564">
        <f t="shared" si="22"/>
        <v>15589.93506556286</v>
      </c>
      <c r="G162" s="585">
        <f t="shared" si="23"/>
        <v>2.150335871112119</v>
      </c>
      <c r="H162" s="388"/>
      <c r="I162" s="586"/>
      <c r="J162" s="388"/>
      <c r="K162" s="520">
        <f>'4th Order Polynomial Tmp vs Res'!$I$40*E162^4 + '4th Order Polynomial Tmp vs Res'!$J$40*E162^3 + '4th Order Polynomial Tmp vs Res'!$K$40*E162^2 + '4th Order Polynomial Tmp vs Res'!$L$40*E162 + '4th Order Polynomial Tmp vs Res'!$M$40</f>
        <v>98.042818942003237</v>
      </c>
      <c r="L162" s="520">
        <f t="shared" si="24"/>
        <v>-4.2818942003236771E-2</v>
      </c>
      <c r="M162" s="388"/>
      <c r="N162" s="388"/>
      <c r="O162" s="388"/>
      <c r="P162" s="388"/>
      <c r="Q162" s="388"/>
      <c r="R162" s="388"/>
      <c r="S162" s="388"/>
      <c r="T162" s="388"/>
    </row>
    <row r="163" spans="1:20" ht="15" x14ac:dyDescent="0.25">
      <c r="A163" s="562">
        <v>140</v>
      </c>
      <c r="B163" s="563">
        <f t="shared" si="25"/>
        <v>99</v>
      </c>
      <c r="C163" s="564">
        <f t="shared" si="21"/>
        <v>15215.504662638023</v>
      </c>
      <c r="D163" s="564">
        <f>IF(B163 &lt;= VLOOKUP(Main!$N$22,Coefficients!$E$2:$H$28,4,FALSE),E163,NA())</f>
        <v>15447.212855470074</v>
      </c>
      <c r="E163" s="437">
        <f>'4th Order Polynomial Tmp vs Res'!$B$40+'4th Order Polynomial Tmp vs Res'!$C$40*POWER(B163,1)+'4th Order Polynomial Tmp vs Res'!$D$40*POWER(B163,2)+'4th Order Polynomial Tmp vs Res'!$E$40*POWER(B163,3)+'4th Order Polynomial Tmp vs Res'!$F$40*POWER(B163,4)</f>
        <v>15447.212855470074</v>
      </c>
      <c r="F163" s="564">
        <f t="shared" si="22"/>
        <v>15678.921048302123</v>
      </c>
      <c r="G163" s="585">
        <f t="shared" si="23"/>
        <v>2.1626097997658102</v>
      </c>
      <c r="H163" s="388"/>
      <c r="I163" s="586"/>
      <c r="J163" s="388"/>
      <c r="K163" s="520">
        <f>'4th Order Polynomial Tmp vs Res'!$I$40*E163^4 + '4th Order Polynomial Tmp vs Res'!$J$40*E163^3 + '4th Order Polynomial Tmp vs Res'!$K$40*E163^2 + '4th Order Polynomial Tmp vs Res'!$L$40*E163 + '4th Order Polynomial Tmp vs Res'!$M$40</f>
        <v>99.05108323187892</v>
      </c>
      <c r="L163" s="520">
        <f t="shared" si="24"/>
        <v>-5.1083231878919833E-2</v>
      </c>
      <c r="M163" s="388"/>
      <c r="N163" s="388"/>
      <c r="O163" s="388"/>
      <c r="P163" s="388"/>
      <c r="Q163" s="388"/>
      <c r="R163" s="388"/>
      <c r="S163" s="388"/>
      <c r="T163" s="388"/>
    </row>
    <row r="164" spans="1:20" ht="15" x14ac:dyDescent="0.25">
      <c r="A164" s="562">
        <v>141</v>
      </c>
      <c r="B164" s="563">
        <f t="shared" si="25"/>
        <v>100</v>
      </c>
      <c r="C164" s="564">
        <f t="shared" si="21"/>
        <v>15302.277469375378</v>
      </c>
      <c r="D164" s="564">
        <f>IF(B164 &lt;= VLOOKUP(Main!$N$22,Coefficients!$E$2:$H$28,4,FALSE),E164,NA())</f>
        <v>15535.307075507999</v>
      </c>
      <c r="E164" s="437">
        <f>'4th Order Polynomial Tmp vs Res'!$B$40+'4th Order Polynomial Tmp vs Res'!$C$40*POWER(B164,1)+'4th Order Polynomial Tmp vs Res'!$D$40*POWER(B164,2)+'4th Order Polynomial Tmp vs Res'!$E$40*POWER(B164,3)+'4th Order Polynomial Tmp vs Res'!$F$40*POWER(B164,4)</f>
        <v>15535.307075507999</v>
      </c>
      <c r="F164" s="564">
        <f t="shared" si="22"/>
        <v>15768.336681640618</v>
      </c>
      <c r="G164" s="585">
        <f t="shared" si="23"/>
        <v>2.1749429905711195</v>
      </c>
      <c r="H164" s="388"/>
      <c r="I164" s="586"/>
      <c r="J164" s="388"/>
      <c r="K164" s="520">
        <f>'4th Order Polynomial Tmp vs Res'!$I$40*E164^4 + '4th Order Polynomial Tmp vs Res'!$J$40*E164^3 + '4th Order Polynomial Tmp vs Res'!$K$40*E164^2 + '4th Order Polynomial Tmp vs Res'!$L$40*E164 + '4th Order Polynomial Tmp vs Res'!$M$40</f>
        <v>100.05910243947847</v>
      </c>
      <c r="L164" s="520">
        <f t="shared" si="24"/>
        <v>-5.9102439478465385E-2</v>
      </c>
      <c r="M164" s="388"/>
      <c r="N164" s="388"/>
      <c r="O164" s="388"/>
      <c r="P164" s="388"/>
      <c r="Q164" s="388"/>
      <c r="R164" s="388"/>
      <c r="S164" s="388"/>
      <c r="T164" s="388"/>
    </row>
    <row r="165" spans="1:20" ht="15" x14ac:dyDescent="0.25">
      <c r="A165" s="562">
        <v>142</v>
      </c>
      <c r="B165" s="563">
        <f t="shared" si="25"/>
        <v>101</v>
      </c>
      <c r="C165" s="564">
        <f t="shared" si="21"/>
        <v>15389.470504957839</v>
      </c>
      <c r="D165" s="564">
        <f>IF(B165 &lt;= VLOOKUP(Main!$N$22,Coefficients!$E$2:$H$28,4,FALSE),E165,NA())</f>
        <v>15623.827923815064</v>
      </c>
      <c r="E165" s="437">
        <f>'4th Order Polynomial Tmp vs Res'!$B$40+'4th Order Polynomial Tmp vs Res'!$C$40*POWER(B165,1)+'4th Order Polynomial Tmp vs Res'!$D$40*POWER(B165,2)+'4th Order Polynomial Tmp vs Res'!$E$40*POWER(B165,3)+'4th Order Polynomial Tmp vs Res'!$F$40*POWER(B165,4)</f>
        <v>15623.827923815064</v>
      </c>
      <c r="F165" s="564">
        <f t="shared" si="22"/>
        <v>15858.185342672288</v>
      </c>
      <c r="G165" s="585">
        <f t="shared" si="23"/>
        <v>2.1873359093341089</v>
      </c>
      <c r="H165" s="388"/>
      <c r="I165" s="586"/>
      <c r="J165" s="388"/>
      <c r="K165" s="520">
        <f>'4th Order Polynomial Tmp vs Res'!$I$40*E165^4 + '4th Order Polynomial Tmp vs Res'!$J$40*E165^3 + '4th Order Polynomial Tmp vs Res'!$K$40*E165^2 + '4th Order Polynomial Tmp vs Res'!$L$40*E165 + '4th Order Polynomial Tmp vs Res'!$M$40</f>
        <v>101.06678863150648</v>
      </c>
      <c r="L165" s="520">
        <f t="shared" si="24"/>
        <v>-6.6788631506483398E-2</v>
      </c>
      <c r="M165" s="388"/>
      <c r="N165" s="388"/>
      <c r="O165" s="388"/>
      <c r="P165" s="388"/>
      <c r="Q165" s="388"/>
      <c r="R165" s="388"/>
      <c r="S165" s="388"/>
      <c r="T165" s="388"/>
    </row>
    <row r="166" spans="1:20" ht="15" x14ac:dyDescent="0.25">
      <c r="A166" s="562">
        <v>143</v>
      </c>
      <c r="B166" s="563">
        <f t="shared" si="25"/>
        <v>102</v>
      </c>
      <c r="C166" s="564">
        <f t="shared" si="21"/>
        <v>15477.087089266421</v>
      </c>
      <c r="D166" s="564">
        <f>IF(B166 &lt;= VLOOKUP(Main!$N$22,Coefficients!$E$2:$H$28,4,FALSE),E166,NA())</f>
        <v>15712.778770828854</v>
      </c>
      <c r="E166" s="437">
        <f>'4th Order Polynomial Tmp vs Res'!$B$40+'4th Order Polynomial Tmp vs Res'!$C$40*POWER(B166,1)+'4th Order Polynomial Tmp vs Res'!$D$40*POWER(B166,2)+'4th Order Polynomial Tmp vs Res'!$E$40*POWER(B166,3)+'4th Order Polynomial Tmp vs Res'!$F$40*POWER(B166,4)</f>
        <v>15712.778770828854</v>
      </c>
      <c r="F166" s="564">
        <f t="shared" si="22"/>
        <v>15948.470452391286</v>
      </c>
      <c r="G166" s="585">
        <f t="shared" si="23"/>
        <v>2.1997890279160393</v>
      </c>
      <c r="H166" s="388"/>
      <c r="I166" s="586"/>
      <c r="J166" s="388"/>
      <c r="K166" s="520">
        <f>'4th Order Polynomial Tmp vs Res'!$I$40*E166^4 + '4th Order Polynomial Tmp vs Res'!$J$40*E166^3 + '4th Order Polynomial Tmp vs Res'!$K$40*E166^2 + '4th Order Polynomial Tmp vs Res'!$L$40*E166 + '4th Order Polynomial Tmp vs Res'!$M$40</f>
        <v>102.07404741964234</v>
      </c>
      <c r="L166" s="520">
        <f t="shared" si="24"/>
        <v>-7.4047419642340628E-2</v>
      </c>
      <c r="M166" s="388"/>
      <c r="N166" s="388"/>
      <c r="O166" s="388"/>
      <c r="P166" s="388"/>
      <c r="Q166" s="388"/>
      <c r="R166" s="388"/>
      <c r="S166" s="388"/>
      <c r="T166" s="388"/>
    </row>
    <row r="167" spans="1:20" ht="15" x14ac:dyDescent="0.25">
      <c r="A167" s="562">
        <v>144</v>
      </c>
      <c r="B167" s="563">
        <f t="shared" si="25"/>
        <v>103</v>
      </c>
      <c r="C167" s="564">
        <f t="shared" si="21"/>
        <v>15565.130584784827</v>
      </c>
      <c r="D167" s="564">
        <f>IF(B167 &lt;= VLOOKUP(Main!$N$22,Coefficients!$E$2:$H$28,4,FALSE),E167,NA())</f>
        <v>15802.163030238404</v>
      </c>
      <c r="E167" s="437">
        <f>'4th Order Polynomial Tmp vs Res'!$B$40+'4th Order Polynomial Tmp vs Res'!$C$40*POWER(B167,1)+'4th Order Polynomial Tmp vs Res'!$D$40*POWER(B167,2)+'4th Order Polynomial Tmp vs Res'!$E$40*POWER(B167,3)+'4th Order Polynomial Tmp vs Res'!$F$40*POWER(B167,4)</f>
        <v>15802.163030238404</v>
      </c>
      <c r="F167" s="564">
        <f t="shared" si="22"/>
        <v>16039.195475691979</v>
      </c>
      <c r="G167" s="585">
        <f t="shared" si="23"/>
        <v>2.2123028242333764</v>
      </c>
      <c r="H167" s="388"/>
      <c r="I167" s="586"/>
      <c r="J167" s="388"/>
      <c r="K167" s="520">
        <f>'4th Order Polynomial Tmp vs Res'!$I$40*E167^4 + '4th Order Polynomial Tmp vs Res'!$J$40*E167^3 + '4th Order Polynomial Tmp vs Res'!$K$40*E167^2 + '4th Order Polynomial Tmp vs Res'!$L$40*E167 + '4th Order Polynomial Tmp vs Res'!$M$40</f>
        <v>103.08077768994684</v>
      </c>
      <c r="L167" s="520">
        <f t="shared" si="24"/>
        <v>-8.0777689946842202E-2</v>
      </c>
      <c r="M167" s="388"/>
      <c r="N167" s="388"/>
      <c r="O167" s="388"/>
      <c r="P167" s="388"/>
      <c r="Q167" s="388"/>
      <c r="R167" s="388"/>
      <c r="S167" s="388"/>
      <c r="T167" s="388"/>
    </row>
    <row r="168" spans="1:20" ht="15" x14ac:dyDescent="0.25">
      <c r="A168" s="562">
        <v>145</v>
      </c>
      <c r="B168" s="563">
        <f t="shared" si="25"/>
        <v>104</v>
      </c>
      <c r="C168" s="564">
        <f t="shared" si="21"/>
        <v>15653.604396599418</v>
      </c>
      <c r="D168" s="564">
        <f>IF(B168 &lt;= VLOOKUP(Main!$N$22,Coefficients!$E$2:$H$28,4,FALSE),E168,NA())</f>
        <v>15891.98415898418</v>
      </c>
      <c r="E168" s="437">
        <f>'4th Order Polynomial Tmp vs Res'!$B$40+'4th Order Polynomial Tmp vs Res'!$C$40*POWER(B168,1)+'4th Order Polynomial Tmp vs Res'!$D$40*POWER(B168,2)+'4th Order Polynomial Tmp vs Res'!$E$40*POWER(B168,3)+'4th Order Polynomial Tmp vs Res'!$F$40*POWER(B168,4)</f>
        <v>15891.98415898418</v>
      </c>
      <c r="F168" s="564">
        <f t="shared" si="22"/>
        <v>16130.36392136894</v>
      </c>
      <c r="G168" s="585">
        <f t="shared" si="23"/>
        <v>2.224877782257785</v>
      </c>
      <c r="H168" s="388"/>
      <c r="I168" s="586"/>
      <c r="J168" s="388"/>
      <c r="K168" s="520">
        <f>'4th Order Polynomial Tmp vs Res'!$I$40*E168^4 + '4th Order Polynomial Tmp vs Res'!$J$40*E168^3 + '4th Order Polynomial Tmp vs Res'!$K$40*E168^2 + '4th Order Polynomial Tmp vs Res'!$L$40*E168 + '4th Order Polynomial Tmp vs Res'!$M$40</f>
        <v>104.08687132295512</v>
      </c>
      <c r="L168" s="520">
        <f t="shared" si="24"/>
        <v>-8.6871322955119012E-2</v>
      </c>
      <c r="M168" s="388"/>
      <c r="N168" s="388"/>
      <c r="O168" s="388"/>
      <c r="P168" s="388"/>
      <c r="Q168" s="388"/>
      <c r="R168" s="388"/>
      <c r="S168" s="388"/>
      <c r="T168" s="388"/>
    </row>
    <row r="169" spans="1:20" ht="15" x14ac:dyDescent="0.25">
      <c r="A169" s="562">
        <v>146</v>
      </c>
      <c r="B169" s="563">
        <f t="shared" si="25"/>
        <v>105</v>
      </c>
      <c r="C169" s="564">
        <f t="shared" si="21"/>
        <v>15742.511972399228</v>
      </c>
      <c r="D169" s="564">
        <f>IF(B169 &lt;= VLOOKUP(Main!$N$22,Coefficients!$E$2:$H$28,4,FALSE),E169,NA())</f>
        <v>15982.2456572581</v>
      </c>
      <c r="E169" s="437">
        <f>'4th Order Polynomial Tmp vs Res'!$B$40+'4th Order Polynomial Tmp vs Res'!$C$40*POWER(B169,1)+'4th Order Polynomial Tmp vs Res'!$D$40*POWER(B169,2)+'4th Order Polynomial Tmp vs Res'!$E$40*POWER(B169,3)+'4th Order Polynomial Tmp vs Res'!$F$40*POWER(B169,4)</f>
        <v>15982.2456572581</v>
      </c>
      <c r="F169" s="564">
        <f t="shared" si="22"/>
        <v>16221.979342116969</v>
      </c>
      <c r="G169" s="585">
        <f t="shared" si="23"/>
        <v>2.2375143920161338</v>
      </c>
      <c r="H169" s="388"/>
      <c r="I169" s="586"/>
      <c r="J169" s="388"/>
      <c r="K169" s="520">
        <f>'4th Order Polynomial Tmp vs Res'!$I$40*E169^4 + '4th Order Polynomial Tmp vs Res'!$J$40*E169^3 + '4th Order Polynomial Tmp vs Res'!$K$40*E169^2 + '4th Order Polynomial Tmp vs Res'!$L$40*E169 + '4th Order Polynomial Tmp vs Res'!$M$40</f>
        <v>105.09221290413046</v>
      </c>
      <c r="L169" s="520">
        <f t="shared" si="24"/>
        <v>-9.2212904130462903E-2</v>
      </c>
      <c r="M169" s="388"/>
      <c r="N169" s="388"/>
      <c r="O169" s="388"/>
      <c r="P169" s="388"/>
      <c r="Q169" s="388"/>
      <c r="R169" s="388"/>
      <c r="S169" s="388"/>
      <c r="T169" s="388"/>
    </row>
    <row r="170" spans="1:20" ht="15" x14ac:dyDescent="0.25">
      <c r="A170" s="562">
        <v>147</v>
      </c>
      <c r="B170" s="563">
        <f t="shared" si="25"/>
        <v>106</v>
      </c>
      <c r="C170" s="564">
        <f t="shared" si="21"/>
        <v>15831.856802475961</v>
      </c>
      <c r="D170" s="564">
        <f>IF(B170 &lt;= VLOOKUP(Main!$N$22,Coefficients!$E$2:$H$28,4,FALSE),E170,NA())</f>
        <v>16072.951068503513</v>
      </c>
      <c r="E170" s="437">
        <f>'4th Order Polynomial Tmp vs Res'!$B$40+'4th Order Polynomial Tmp vs Res'!$C$40*POWER(B170,1)+'4th Order Polynomial Tmp vs Res'!$D$40*POWER(B170,2)+'4th Order Polynomial Tmp vs Res'!$E$40*POWER(B170,3)+'4th Order Polynomial Tmp vs Res'!$F$40*POWER(B170,4)</f>
        <v>16072.951068503513</v>
      </c>
      <c r="F170" s="564">
        <f t="shared" si="22"/>
        <v>16314.045334531063</v>
      </c>
      <c r="G170" s="585">
        <f t="shared" si="23"/>
        <v>2.2502131495904916</v>
      </c>
      <c r="H170" s="388"/>
      <c r="I170" s="586"/>
      <c r="J170" s="388"/>
      <c r="K170" s="520">
        <f>'4th Order Polynomial Tmp vs Res'!$I$40*E170^4 + '4th Order Polynomial Tmp vs Res'!$J$40*E170^3 + '4th Order Polynomial Tmp vs Res'!$K$40*E170^2 + '4th Order Polynomial Tmp vs Res'!$L$40*E170 + '4th Order Polynomial Tmp vs Res'!$M$40</f>
        <v>106.09667942433907</v>
      </c>
      <c r="L170" s="520">
        <f t="shared" si="24"/>
        <v>-9.6679424339072284E-2</v>
      </c>
      <c r="M170" s="388"/>
      <c r="N170" s="388"/>
      <c r="O170" s="388"/>
      <c r="P170" s="388"/>
      <c r="Q170" s="388"/>
      <c r="R170" s="388"/>
      <c r="S170" s="388"/>
      <c r="T170" s="388"/>
    </row>
    <row r="171" spans="1:20" ht="15" x14ac:dyDescent="0.25">
      <c r="A171" s="562">
        <v>148</v>
      </c>
      <c r="B171" s="563">
        <f t="shared" si="25"/>
        <v>107</v>
      </c>
      <c r="C171" s="564">
        <f t="shared" si="21"/>
        <v>15921.642419723992</v>
      </c>
      <c r="D171" s="564">
        <f>IF(B171 &lt;= VLOOKUP(Main!$N$22,Coefficients!$E$2:$H$28,4,FALSE),E171,NA())</f>
        <v>16164.10397941522</v>
      </c>
      <c r="E171" s="437">
        <f>'4th Order Polynomial Tmp vs Res'!$B$40+'4th Order Polynomial Tmp vs Res'!$C$40*POWER(B171,1)+'4th Order Polynomial Tmp vs Res'!$D$40*POWER(B171,2)+'4th Order Polynomial Tmp vs Res'!$E$40*POWER(B171,3)+'4th Order Polynomial Tmp vs Res'!$F$40*POWER(B171,4)</f>
        <v>16164.10397941522</v>
      </c>
      <c r="F171" s="564">
        <f t="shared" si="22"/>
        <v>16406.565539106447</v>
      </c>
      <c r="G171" s="585">
        <f t="shared" si="23"/>
        <v>2.2629745571181306</v>
      </c>
      <c r="H171" s="388"/>
      <c r="I171" s="586"/>
      <c r="J171" s="388"/>
      <c r="K171" s="520">
        <f>'4th Order Polynomial Tmp vs Res'!$I$40*E171^4 + '4th Order Polynomial Tmp vs Res'!$J$40*E171^3 + '4th Order Polynomial Tmp vs Res'!$K$40*E171^2 + '4th Order Polynomial Tmp vs Res'!$L$40*E171 + '4th Order Polynomial Tmp vs Res'!$M$40</f>
        <v>107.10013996999828</v>
      </c>
      <c r="L171" s="520">
        <f t="shared" si="24"/>
        <v>-0.10013996999828123</v>
      </c>
      <c r="M171" s="388"/>
      <c r="N171" s="388"/>
      <c r="O171" s="388"/>
      <c r="P171" s="388"/>
      <c r="Q171" s="388"/>
      <c r="R171" s="388"/>
      <c r="S171" s="388"/>
      <c r="T171" s="388"/>
    </row>
    <row r="172" spans="1:20" ht="15" x14ac:dyDescent="0.25">
      <c r="A172" s="562">
        <v>149</v>
      </c>
      <c r="B172" s="563">
        <f t="shared" si="25"/>
        <v>108</v>
      </c>
      <c r="C172" s="564">
        <f t="shared" si="21"/>
        <v>16011.872399640364</v>
      </c>
      <c r="D172" s="564">
        <f>IF(B172 &lt;= VLOOKUP(Main!$N$22,Coefficients!$E$2:$H$28,4,FALSE),E172,NA())</f>
        <v>16255.708019939457</v>
      </c>
      <c r="E172" s="437">
        <f>'4th Order Polynomial Tmp vs Res'!$B$40+'4th Order Polynomial Tmp vs Res'!$C$40*POWER(B172,1)+'4th Order Polynomial Tmp vs Res'!$D$40*POWER(B172,2)+'4th Order Polynomial Tmp vs Res'!$E$40*POWER(B172,3)+'4th Order Polynomial Tmp vs Res'!$F$40*POWER(B172,4)</f>
        <v>16255.708019939457</v>
      </c>
      <c r="F172" s="564">
        <f t="shared" si="22"/>
        <v>16499.543640238546</v>
      </c>
      <c r="G172" s="585">
        <f t="shared" si="23"/>
        <v>2.2757991227915237</v>
      </c>
      <c r="H172" s="388"/>
      <c r="I172" s="586"/>
      <c r="J172" s="388"/>
      <c r="K172" s="520">
        <f>'4th Order Polynomial Tmp vs Res'!$I$40*E172^4 + '4th Order Polynomial Tmp vs Res'!$J$40*E172^3 + '4th Order Polynomial Tmp vs Res'!$K$40*E172^2 + '4th Order Polynomial Tmp vs Res'!$L$40*E172 + '4th Order Polynomial Tmp vs Res'!$M$40</f>
        <v>108.10245540253641</v>
      </c>
      <c r="L172" s="520">
        <f t="shared" si="24"/>
        <v>-0.10245540253640684</v>
      </c>
      <c r="M172" s="388"/>
      <c r="N172" s="388"/>
      <c r="O172" s="388"/>
      <c r="P172" s="388"/>
      <c r="Q172" s="388"/>
      <c r="R172" s="388"/>
      <c r="S172" s="388"/>
      <c r="T172" s="388"/>
    </row>
    <row r="173" spans="1:20" ht="15" x14ac:dyDescent="0.25">
      <c r="A173" s="562">
        <v>150</v>
      </c>
      <c r="B173" s="563">
        <f t="shared" si="25"/>
        <v>109</v>
      </c>
      <c r="C173" s="564">
        <f t="shared" si="21"/>
        <v>16102.550360324794</v>
      </c>
      <c r="D173" s="564">
        <f>IF(B173 &lt;= VLOOKUP(Main!$N$22,Coefficients!$E$2:$H$28,4,FALSE),E173,NA())</f>
        <v>16347.766863273902</v>
      </c>
      <c r="E173" s="437">
        <f>'4th Order Polynomial Tmp vs Res'!$B$40+'4th Order Polynomial Tmp vs Res'!$C$40*POWER(B173,1)+'4th Order Polynomial Tmp vs Res'!$D$40*POWER(B173,2)+'4th Order Polynomial Tmp vs Res'!$E$40*POWER(B173,3)+'4th Order Polynomial Tmp vs Res'!$F$40*POWER(B173,4)</f>
        <v>16347.766863273902</v>
      </c>
      <c r="F173" s="564">
        <f t="shared" si="22"/>
        <v>16592.983366223008</v>
      </c>
      <c r="G173" s="585">
        <f t="shared" si="23"/>
        <v>2.2886873608583462</v>
      </c>
      <c r="H173" s="388"/>
      <c r="I173" s="586"/>
      <c r="J173" s="388"/>
      <c r="K173" s="520">
        <f>'4th Order Polynomial Tmp vs Res'!$I$40*E173^4 + '4th Order Polynomial Tmp vs Res'!$J$40*E173^3 + '4th Order Polynomial Tmp vs Res'!$K$40*E173^2 + '4th Order Polynomial Tmp vs Res'!$L$40*E173 + '4th Order Polynomial Tmp vs Res'!$M$40</f>
        <v>109.10347802679382</v>
      </c>
      <c r="L173" s="520">
        <f t="shared" si="24"/>
        <v>-0.10347802679382312</v>
      </c>
      <c r="M173" s="388"/>
      <c r="N173" s="388"/>
      <c r="O173" s="388"/>
      <c r="P173" s="388"/>
      <c r="Q173" s="388"/>
      <c r="R173" s="388"/>
      <c r="S173" s="388"/>
      <c r="T173" s="388"/>
    </row>
    <row r="174" spans="1:20" ht="15" x14ac:dyDescent="0.25">
      <c r="A174" s="562">
        <v>151</v>
      </c>
      <c r="B174" s="563">
        <f t="shared" si="25"/>
        <v>110</v>
      </c>
      <c r="C174" s="564">
        <f t="shared" si="21"/>
        <v>16193.679962479657</v>
      </c>
      <c r="D174" s="564">
        <f>IF(B174 &lt;= VLOOKUP(Main!$N$22,Coefficients!$E$2:$H$28,4,FALSE),E174,NA())</f>
        <v>16440.284225867672</v>
      </c>
      <c r="E174" s="437">
        <f>'4th Order Polynomial Tmp vs Res'!$B$40+'4th Order Polynomial Tmp vs Res'!$C$40*POWER(B174,1)+'4th Order Polynomial Tmp vs Res'!$D$40*POWER(B174,2)+'4th Order Polynomial Tmp vs Res'!$E$40*POWER(B174,3)+'4th Order Polynomial Tmp vs Res'!$F$40*POWER(B174,4)</f>
        <v>16440.284225867672</v>
      </c>
      <c r="F174" s="564">
        <f t="shared" si="22"/>
        <v>16686.888489255685</v>
      </c>
      <c r="G174" s="585">
        <f t="shared" si="23"/>
        <v>2.3016397916214739</v>
      </c>
      <c r="H174" s="388"/>
      <c r="I174" s="586"/>
      <c r="J174" s="388"/>
      <c r="K174" s="520">
        <f>'4th Order Polynomial Tmp vs Res'!$I$40*E174^4 + '4th Order Polynomial Tmp vs Res'!$J$40*E174^3 + '4th Order Polynomial Tmp vs Res'!$K$40*E174^2 + '4th Order Polynomial Tmp vs Res'!$L$40*E174 + '4th Order Polynomial Tmp vs Res'!$M$40</f>
        <v>110.10305124798197</v>
      </c>
      <c r="L174" s="520">
        <f t="shared" si="24"/>
        <v>-0.1030512479819663</v>
      </c>
      <c r="M174" s="388"/>
      <c r="N174" s="388"/>
      <c r="O174" s="388"/>
      <c r="P174" s="388"/>
      <c r="Q174" s="388"/>
      <c r="R174" s="388"/>
      <c r="S174" s="388"/>
      <c r="T174" s="388"/>
    </row>
    <row r="175" spans="1:20" ht="15" x14ac:dyDescent="0.25">
      <c r="A175" s="562">
        <v>152</v>
      </c>
      <c r="B175" s="563">
        <f t="shared" si="25"/>
        <v>111</v>
      </c>
      <c r="C175" s="564">
        <f t="shared" si="21"/>
        <v>16285.264909410011</v>
      </c>
      <c r="D175" s="564">
        <f>IF(B175 &lt;= VLOOKUP(Main!$N$22,Coefficients!$E$2:$H$28,4,FALSE),E175,NA())</f>
        <v>16533.26386742133</v>
      </c>
      <c r="E175" s="437">
        <f>'4th Order Polynomial Tmp vs Res'!$B$40+'4th Order Polynomial Tmp vs Res'!$C$40*POWER(B175,1)+'4th Order Polynomial Tmp vs Res'!$D$40*POWER(B175,2)+'4th Order Polynomial Tmp vs Res'!$E$40*POWER(B175,3)+'4th Order Polynomial Tmp vs Res'!$F$40*POWER(B175,4)</f>
        <v>16533.26386742133</v>
      </c>
      <c r="F175" s="564">
        <f t="shared" si="22"/>
        <v>16781.262825432648</v>
      </c>
      <c r="G175" s="585">
        <f t="shared" si="23"/>
        <v>2.3146569414389861</v>
      </c>
      <c r="H175" s="388"/>
      <c r="I175" s="586"/>
      <c r="J175" s="388"/>
      <c r="K175" s="520">
        <f>'4th Order Polynomial Tmp vs Res'!$I$40*E175^4 + '4th Order Polynomial Tmp vs Res'!$J$40*E175^3 + '4th Order Polynomial Tmp vs Res'!$K$40*E175^2 + '4th Order Polynomial Tmp vs Res'!$L$40*E175 + '4th Order Polynomial Tmp vs Res'!$M$40</f>
        <v>111.10100921680203</v>
      </c>
      <c r="L175" s="520">
        <f t="shared" si="24"/>
        <v>-0.10100921680202646</v>
      </c>
      <c r="M175" s="388"/>
      <c r="N175" s="388"/>
      <c r="O175" s="388"/>
      <c r="P175" s="388"/>
      <c r="Q175" s="388"/>
      <c r="R175" s="388"/>
      <c r="S175" s="388"/>
      <c r="T175" s="388"/>
    </row>
    <row r="176" spans="1:20" ht="15" x14ac:dyDescent="0.25">
      <c r="A176" s="562">
        <v>153</v>
      </c>
      <c r="B176" s="563">
        <f t="shared" si="25"/>
        <v>112</v>
      </c>
      <c r="C176" s="564">
        <f t="shared" si="21"/>
        <v>16377.308947023575</v>
      </c>
      <c r="D176" s="564">
        <f>IF(B176 &lt;= VLOOKUP(Main!$N$22,Coefficients!$E$2:$H$28,4,FALSE),E176,NA())</f>
        <v>16626.70959088688</v>
      </c>
      <c r="E176" s="437">
        <f>'4th Order Polynomial Tmp vs Res'!$B$40+'4th Order Polynomial Tmp vs Res'!$C$40*POWER(B176,1)+'4th Order Polynomial Tmp vs Res'!$D$40*POWER(B176,2)+'4th Order Polynomial Tmp vs Res'!$E$40*POWER(B176,3)+'4th Order Polynomial Tmp vs Res'!$F$40*POWER(B176,4)</f>
        <v>16626.70959088688</v>
      </c>
      <c r="F176" s="564">
        <f t="shared" si="22"/>
        <v>16876.11023475018</v>
      </c>
      <c r="G176" s="585">
        <f t="shared" si="23"/>
        <v>2.3277393427241631</v>
      </c>
      <c r="H176" s="388"/>
      <c r="I176" s="586"/>
      <c r="J176" s="388"/>
      <c r="K176" s="520">
        <f>'4th Order Polynomial Tmp vs Res'!$I$40*E176^4 + '4th Order Polynomial Tmp vs Res'!$J$40*E176^3 + '4th Order Polynomial Tmp vs Res'!$K$40*E176^2 + '4th Order Polynomial Tmp vs Res'!$L$40*E176 + '4th Order Polynomial Tmp vs Res'!$M$40</f>
        <v>112.09717646231888</v>
      </c>
      <c r="L176" s="520">
        <f t="shared" si="24"/>
        <v>-9.717646231888466E-2</v>
      </c>
      <c r="M176" s="388"/>
      <c r="N176" s="388"/>
      <c r="O176" s="388"/>
      <c r="P176" s="388"/>
      <c r="Q176" s="388"/>
      <c r="R176" s="388"/>
      <c r="S176" s="388"/>
      <c r="T176" s="388"/>
    </row>
    <row r="177" spans="1:20" ht="15" x14ac:dyDescent="0.25">
      <c r="A177" s="562">
        <v>154</v>
      </c>
      <c r="B177" s="563">
        <f t="shared" si="25"/>
        <v>113</v>
      </c>
      <c r="C177" s="564">
        <f t="shared" si="21"/>
        <v>16469.815863830747</v>
      </c>
      <c r="D177" s="564">
        <f>IF(B177 &lt;= VLOOKUP(Main!$N$22,Coefficients!$E$2:$H$28,4,FALSE),E177,NA())</f>
        <v>16720.625242467762</v>
      </c>
      <c r="E177" s="437">
        <f>'4th Order Polynomial Tmp vs Res'!$B$40+'4th Order Polynomial Tmp vs Res'!$C$40*POWER(B177,1)+'4th Order Polynomial Tmp vs Res'!$D$40*POWER(B177,2)+'4th Order Polynomial Tmp vs Res'!$E$40*POWER(B177,3)+'4th Order Polynomial Tmp vs Res'!$F$40*POWER(B177,4)</f>
        <v>16720.625242467762</v>
      </c>
      <c r="F177" s="564">
        <f t="shared" si="22"/>
        <v>16971.434621104778</v>
      </c>
      <c r="G177" s="585">
        <f t="shared" si="23"/>
        <v>2.3408875339454864</v>
      </c>
      <c r="H177" s="388"/>
      <c r="I177" s="586"/>
      <c r="J177" s="388"/>
      <c r="K177" s="520">
        <f>'4th Order Polynomial Tmp vs Res'!$I$40*E177^4 + '4th Order Polynomial Tmp vs Res'!$J$40*E177^3 + '4th Order Polynomial Tmp vs Res'!$K$40*E177^2 + '4th Order Polynomial Tmp vs Res'!$L$40*E177 + '4th Order Polynomial Tmp vs Res'!$M$40</f>
        <v>113.09136751216624</v>
      </c>
      <c r="L177" s="520">
        <f t="shared" si="24"/>
        <v>-9.1367512166243614E-2</v>
      </c>
      <c r="M177" s="388"/>
      <c r="N177" s="388"/>
      <c r="O177" s="388"/>
      <c r="P177" s="388"/>
      <c r="Q177" s="388"/>
      <c r="R177" s="388"/>
      <c r="S177" s="388"/>
      <c r="T177" s="388"/>
    </row>
    <row r="178" spans="1:20" ht="15" x14ac:dyDescent="0.25">
      <c r="A178" s="562">
        <v>155</v>
      </c>
      <c r="B178" s="563">
        <f t="shared" si="25"/>
        <v>114</v>
      </c>
      <c r="C178" s="564">
        <f t="shared" si="21"/>
        <v>16562.789490944582</v>
      </c>
      <c r="D178" s="564">
        <f>IF(B178 &lt;= VLOOKUP(Main!$N$22,Coefficients!$E$2:$H$28,4,FALSE),E178,NA())</f>
        <v>16815.014711618864</v>
      </c>
      <c r="E178" s="437">
        <f>'4th Order Polynomial Tmp vs Res'!$B$40+'4th Order Polynomial Tmp vs Res'!$C$40*POWER(B178,1)+'4th Order Polynomial Tmp vs Res'!$D$40*POWER(B178,2)+'4th Order Polynomial Tmp vs Res'!$E$40*POWER(B178,3)+'4th Order Polynomial Tmp vs Res'!$F$40*POWER(B178,4)</f>
        <v>16815.014711618864</v>
      </c>
      <c r="F178" s="564">
        <f t="shared" si="22"/>
        <v>17067.239932293145</v>
      </c>
      <c r="G178" s="585">
        <f t="shared" si="23"/>
        <v>2.3541020596266407</v>
      </c>
      <c r="H178" s="388"/>
      <c r="I178" s="586"/>
      <c r="J178" s="388"/>
      <c r="K178" s="520">
        <f>'4th Order Polynomial Tmp vs Res'!$I$40*E178^4 + '4th Order Polynomial Tmp vs Res'!$J$40*E178^3 + '4th Order Polynomial Tmp vs Res'!$K$40*E178^2 + '4th Order Polynomial Tmp vs Res'!$L$40*E178 + '4th Order Polynomial Tmp vs Res'!$M$40</f>
        <v>114.08338649964992</v>
      </c>
      <c r="L178" s="520">
        <f t="shared" si="24"/>
        <v>-8.3386499649918733E-2</v>
      </c>
      <c r="M178" s="388"/>
      <c r="N178" s="388"/>
      <c r="O178" s="388"/>
      <c r="P178" s="388"/>
      <c r="Q178" s="388"/>
      <c r="R178" s="388"/>
      <c r="S178" s="388"/>
      <c r="T178" s="388"/>
    </row>
    <row r="179" spans="1:20" ht="15" x14ac:dyDescent="0.25">
      <c r="A179" s="562">
        <v>156</v>
      </c>
      <c r="B179" s="563">
        <f t="shared" si="25"/>
        <v>115</v>
      </c>
      <c r="C179" s="564">
        <f t="shared" si="21"/>
        <v>16656.233702080815</v>
      </c>
      <c r="D179" s="564">
        <f>IF(B179 &lt;= VLOOKUP(Main!$N$22,Coefficients!$E$2:$H$28,4,FALSE),E179,NA())</f>
        <v>16909.881931046515</v>
      </c>
      <c r="E179" s="437">
        <f>'4th Order Polynomial Tmp vs Res'!$B$40+'4th Order Polynomial Tmp vs Res'!$C$40*POWER(B179,1)+'4th Order Polynomial Tmp vs Res'!$D$40*POWER(B179,2)+'4th Order Polynomial Tmp vs Res'!$E$40*POWER(B179,3)+'4th Order Polynomial Tmp vs Res'!$F$40*POWER(B179,4)</f>
        <v>16909.881931046515</v>
      </c>
      <c r="F179" s="564">
        <f t="shared" si="22"/>
        <v>17163.530160012211</v>
      </c>
      <c r="G179" s="585">
        <f t="shared" si="23"/>
        <v>2.3673834703465118</v>
      </c>
      <c r="H179" s="388"/>
      <c r="I179" s="586"/>
      <c r="J179" s="388"/>
      <c r="K179" s="520">
        <f>'4th Order Polynomial Tmp vs Res'!$I$40*E179^4 + '4th Order Polynomial Tmp vs Res'!$J$40*E179^3 + '4th Order Polynomial Tmp vs Res'!$K$40*E179^2 + '4th Order Polynomial Tmp vs Res'!$L$40*E179 + '4th Order Polynomial Tmp vs Res'!$M$40</f>
        <v>115.07302675730079</v>
      </c>
      <c r="L179" s="520">
        <f t="shared" si="24"/>
        <v>-7.3026757300794998E-2</v>
      </c>
      <c r="M179" s="388"/>
      <c r="N179" s="388"/>
      <c r="O179" s="388"/>
      <c r="P179" s="388"/>
      <c r="Q179" s="388"/>
      <c r="R179" s="388"/>
      <c r="S179" s="388"/>
      <c r="T179" s="388"/>
    </row>
    <row r="180" spans="1:20" ht="15" x14ac:dyDescent="0.25">
      <c r="A180" s="562">
        <v>157</v>
      </c>
      <c r="B180" s="563">
        <f t="shared" si="25"/>
        <v>116</v>
      </c>
      <c r="C180" s="564">
        <f t="shared" ref="C180:C214" si="26">IFERROR(D180*0.985,NA())</f>
        <v>16750.152413557844</v>
      </c>
      <c r="D180" s="564">
        <f>IF(B180 &lt;= VLOOKUP(Main!$N$22,Coefficients!$E$2:$H$28,4,FALSE),E180,NA())</f>
        <v>17005.230876708472</v>
      </c>
      <c r="E180" s="437">
        <f>'4th Order Polynomial Tmp vs Res'!$B$40+'4th Order Polynomial Tmp vs Res'!$C$40*POWER(B180,1)+'4th Order Polynomial Tmp vs Res'!$D$40*POWER(B180,2)+'4th Order Polynomial Tmp vs Res'!$E$40*POWER(B180,3)+'4th Order Polynomial Tmp vs Res'!$F$40*POWER(B180,4)</f>
        <v>17005.230876708472</v>
      </c>
      <c r="F180" s="564">
        <f t="shared" ref="F180:F214" si="27">IFERROR(D180*1.015,NA())</f>
        <v>17260.309339859097</v>
      </c>
      <c r="G180" s="585">
        <f t="shared" si="23"/>
        <v>2.3807323227391861</v>
      </c>
      <c r="H180" s="388"/>
      <c r="I180" s="586"/>
      <c r="J180" s="388"/>
      <c r="K180" s="520">
        <f>'4th Order Polynomial Tmp vs Res'!$I$40*E180^4 + '4th Order Polynomial Tmp vs Res'!$J$40*E180^3 + '4th Order Polynomial Tmp vs Res'!$K$40*E180^2 + '4th Order Polynomial Tmp vs Res'!$L$40*E180 + '4th Order Polynomial Tmp vs Res'!$M$40</f>
        <v>116.06007039641361</v>
      </c>
      <c r="L180" s="520">
        <f t="shared" si="24"/>
        <v>-6.0070396413607341E-2</v>
      </c>
      <c r="M180" s="388"/>
      <c r="N180" s="388"/>
      <c r="O180" s="388"/>
      <c r="P180" s="388"/>
      <c r="Q180" s="388"/>
      <c r="R180" s="388"/>
      <c r="S180" s="388"/>
      <c r="T180" s="388"/>
    </row>
    <row r="181" spans="1:20" ht="15" x14ac:dyDescent="0.25">
      <c r="A181" s="562">
        <v>158</v>
      </c>
      <c r="B181" s="563">
        <f t="shared" si="25"/>
        <v>117</v>
      </c>
      <c r="C181" s="564">
        <f t="shared" si="26"/>
        <v>16844.549584296739</v>
      </c>
      <c r="D181" s="564">
        <f>IF(B181 &lt;= VLOOKUP(Main!$N$22,Coefficients!$E$2:$H$28,4,FALSE),E181,NA())</f>
        <v>17101.065567813948</v>
      </c>
      <c r="E181" s="437">
        <f>'4th Order Polynomial Tmp vs Res'!$B$40+'4th Order Polynomial Tmp vs Res'!$C$40*POWER(B181,1)+'4th Order Polynomial Tmp vs Res'!$D$40*POWER(B181,2)+'4th Order Polynomial Tmp vs Res'!$E$40*POWER(B181,3)+'4th Order Polynomial Tmp vs Res'!$F$40*POWER(B181,4)</f>
        <v>17101.065567813948</v>
      </c>
      <c r="F181" s="564">
        <f t="shared" si="27"/>
        <v>17357.581551331157</v>
      </c>
      <c r="G181" s="585">
        <f t="shared" si="23"/>
        <v>2.3941491794939527</v>
      </c>
      <c r="H181" s="388"/>
      <c r="I181" s="586"/>
      <c r="J181" s="388"/>
      <c r="K181" s="520">
        <f>'4th Order Polynomial Tmp vs Res'!$I$40*E181^4 + '4th Order Polynomial Tmp vs Res'!$J$40*E181^3 + '4th Order Polynomial Tmp vs Res'!$K$40*E181^2 + '4th Order Polynomial Tmp vs Res'!$L$40*E181 + '4th Order Polynomial Tmp vs Res'!$M$40</f>
        <v>117.04428787209872</v>
      </c>
      <c r="L181" s="520">
        <f t="shared" si="24"/>
        <v>-4.4287872098720982E-2</v>
      </c>
      <c r="M181" s="388"/>
      <c r="N181" s="388"/>
      <c r="O181" s="388"/>
      <c r="P181" s="388"/>
      <c r="Q181" s="388"/>
      <c r="R181" s="388"/>
      <c r="S181" s="388"/>
      <c r="T181" s="388"/>
    </row>
    <row r="182" spans="1:20" ht="15" x14ac:dyDescent="0.25">
      <c r="A182" s="562">
        <v>159</v>
      </c>
      <c r="B182" s="563">
        <f t="shared" si="25"/>
        <v>118</v>
      </c>
      <c r="C182" s="564">
        <f t="shared" si="26"/>
        <v>16939.429215821245</v>
      </c>
      <c r="D182" s="564">
        <f>IF(B182 &lt;= VLOOKUP(Main!$N$22,Coefficients!$E$2:$H$28,4,FALSE),E182,NA())</f>
        <v>17197.390066823598</v>
      </c>
      <c r="E182" s="437">
        <f>'4th Order Polynomial Tmp vs Res'!$B$40+'4th Order Polynomial Tmp vs Res'!$C$40*POWER(B182,1)+'4th Order Polynomial Tmp vs Res'!$D$40*POWER(B182,2)+'4th Order Polynomial Tmp vs Res'!$E$40*POWER(B182,3)+'4th Order Polynomial Tmp vs Res'!$F$40*POWER(B182,4)</f>
        <v>17197.390066823598</v>
      </c>
      <c r="F182" s="564">
        <f t="shared" si="27"/>
        <v>17455.350917825952</v>
      </c>
      <c r="G182" s="585">
        <f t="shared" si="23"/>
        <v>2.4076346093553034</v>
      </c>
      <c r="H182" s="388"/>
      <c r="I182" s="586"/>
      <c r="J182" s="388"/>
      <c r="K182" s="520">
        <f>'4th Order Polynomial Tmp vs Res'!$I$40*E182^4 + '4th Order Polynomial Tmp vs Res'!$J$40*E182^3 + '4th Order Polynomial Tmp vs Res'!$K$40*E182^2 + '4th Order Polynomial Tmp vs Res'!$L$40*E182 + '4th Order Polynomial Tmp vs Res'!$M$40</f>
        <v>118.02543753334999</v>
      </c>
      <c r="L182" s="520">
        <f t="shared" si="24"/>
        <v>-2.5437533349986552E-2</v>
      </c>
      <c r="M182" s="388"/>
      <c r="N182" s="388"/>
      <c r="O182" s="388"/>
      <c r="P182" s="388"/>
      <c r="Q182" s="388"/>
      <c r="R182" s="388"/>
      <c r="S182" s="388"/>
      <c r="T182" s="388"/>
    </row>
    <row r="183" spans="1:20" ht="15" x14ac:dyDescent="0.25">
      <c r="A183" s="562">
        <v>160</v>
      </c>
      <c r="B183" s="563">
        <f t="shared" si="25"/>
        <v>119</v>
      </c>
      <c r="C183" s="564">
        <f t="shared" si="26"/>
        <v>17034.795352257774</v>
      </c>
      <c r="D183" s="564">
        <f>IF(B183 &lt;= VLOOKUP(Main!$N$22,Coefficients!$E$2:$H$28,4,FALSE),E183,NA())</f>
        <v>17294.208479449517</v>
      </c>
      <c r="E183" s="437">
        <f>'4th Order Polynomial Tmp vs Res'!$B$40+'4th Order Polynomial Tmp vs Res'!$C$40*POWER(B183,1)+'4th Order Polynomial Tmp vs Res'!$D$40*POWER(B183,2)+'4th Order Polynomial Tmp vs Res'!$E$40*POWER(B183,3)+'4th Order Polynomial Tmp vs Res'!$F$40*POWER(B183,4)</f>
        <v>17294.208479449517</v>
      </c>
      <c r="F183" s="564">
        <f t="shared" si="27"/>
        <v>17553.621606641256</v>
      </c>
      <c r="G183" s="585">
        <f t="shared" si="23"/>
        <v>2.4211891871229323</v>
      </c>
      <c r="H183" s="388"/>
      <c r="I183" s="586"/>
      <c r="J183" s="388"/>
      <c r="K183" s="520">
        <f>'4th Order Polynomial Tmp vs Res'!$I$40*E183^4 + '4th Order Polynomial Tmp vs Res'!$J$40*E183^3 + '4th Order Polynomial Tmp vs Res'!$K$40*E183^2 + '4th Order Polynomial Tmp vs Res'!$L$40*E183 + '4th Order Polynomial Tmp vs Res'!$M$40</f>
        <v>119.00326515762288</v>
      </c>
      <c r="L183" s="520">
        <f t="shared" si="24"/>
        <v>-3.2651576228772683E-3</v>
      </c>
      <c r="M183" s="388"/>
      <c r="N183" s="388"/>
      <c r="O183" s="388"/>
      <c r="P183" s="388"/>
      <c r="Q183" s="388"/>
      <c r="R183" s="388"/>
      <c r="S183" s="388"/>
      <c r="T183" s="388"/>
    </row>
    <row r="184" spans="1:20" ht="15" x14ac:dyDescent="0.25">
      <c r="A184" s="562">
        <v>161</v>
      </c>
      <c r="B184" s="563">
        <f t="shared" si="25"/>
        <v>120</v>
      </c>
      <c r="C184" s="564">
        <f t="shared" si="26"/>
        <v>17130.652080335392</v>
      </c>
      <c r="D184" s="564">
        <f>IF(B184 &lt;= VLOOKUP(Main!$N$22,Coefficients!$E$2:$H$28,4,FALSE),E184,NA())</f>
        <v>17391.524954655222</v>
      </c>
      <c r="E184" s="437">
        <f>'4th Order Polynomial Tmp vs Res'!$B$40+'4th Order Polynomial Tmp vs Res'!$C$40*POWER(B184,1)+'4th Order Polynomial Tmp vs Res'!$D$40*POWER(B184,2)+'4th Order Polynomial Tmp vs Res'!$E$40*POWER(B184,3)+'4th Order Polynomial Tmp vs Res'!$F$40*POWER(B184,4)</f>
        <v>17391.524954655222</v>
      </c>
      <c r="F184" s="564">
        <f t="shared" si="27"/>
        <v>17652.397828975048</v>
      </c>
      <c r="G184" s="585">
        <f t="shared" si="23"/>
        <v>2.4348134936517307</v>
      </c>
      <c r="H184" s="388"/>
      <c r="I184" s="586"/>
      <c r="J184" s="388"/>
      <c r="K184" s="520">
        <f>'4th Order Polynomial Tmp vs Res'!$I$40*E184^4 + '4th Order Polynomial Tmp vs Res'!$J$40*E184^3 + '4th Order Polynomial Tmp vs Res'!$K$40*E184^2 + '4th Order Polynomial Tmp vs Res'!$L$40*E184 + '4th Order Polynomial Tmp vs Res'!$M$40</f>
        <v>119.97750346940279</v>
      </c>
      <c r="L184" s="520">
        <f t="shared" ref="L184:L189" si="28">B184-K184</f>
        <v>2.249653059720913E-2</v>
      </c>
      <c r="M184" s="388"/>
      <c r="N184" s="388"/>
      <c r="O184" s="388"/>
      <c r="P184" s="388"/>
      <c r="Q184" s="388"/>
      <c r="R184" s="388"/>
      <c r="S184" s="388"/>
      <c r="T184" s="388"/>
    </row>
    <row r="185" spans="1:20" ht="15" x14ac:dyDescent="0.25">
      <c r="A185" s="562">
        <v>162</v>
      </c>
      <c r="B185" s="563">
        <f t="shared" si="25"/>
        <v>121</v>
      </c>
      <c r="C185" s="564">
        <f t="shared" si="26"/>
        <v>17227.003529385864</v>
      </c>
      <c r="D185" s="564">
        <f>IF(B185 &lt;= VLOOKUP(Main!$N$22,Coefficients!$E$2:$H$28,4,FALSE),E185,NA())</f>
        <v>17489.343684655698</v>
      </c>
      <c r="E185" s="437">
        <f>'4th Order Polynomial Tmp vs Res'!$B$40+'4th Order Polynomial Tmp vs Res'!$C$40*POWER(B185,1)+'4th Order Polynomial Tmp vs Res'!$D$40*POWER(B185,2)+'4th Order Polynomial Tmp vs Res'!$E$40*POWER(B185,3)+'4th Order Polynomial Tmp vs Res'!$F$40*POWER(B185,4)</f>
        <v>17489.343684655698</v>
      </c>
      <c r="F185" s="564">
        <f t="shared" si="27"/>
        <v>17751.683839925532</v>
      </c>
      <c r="G185" s="585">
        <f t="shared" si="23"/>
        <v>2.4485081158517974</v>
      </c>
      <c r="H185" s="388"/>
      <c r="I185" s="586"/>
      <c r="J185" s="388"/>
      <c r="K185" s="520">
        <f>'4th Order Polynomial Tmp vs Res'!$I$40*E185^4 + '4th Order Polynomial Tmp vs Res'!$J$40*E185^3 + '4th Order Polynomial Tmp vs Res'!$K$40*E185^2 + '4th Order Polynomial Tmp vs Res'!$L$40*E185 + '4th Order Polynomial Tmp vs Res'!$M$40</f>
        <v>120.94787164221907</v>
      </c>
      <c r="L185" s="520">
        <f t="shared" si="28"/>
        <v>5.2128357780929946E-2</v>
      </c>
      <c r="M185" s="388"/>
      <c r="N185" s="388"/>
      <c r="O185" s="388"/>
      <c r="P185" s="388"/>
      <c r="Q185" s="388"/>
      <c r="R185" s="388"/>
      <c r="S185" s="388"/>
      <c r="T185" s="388"/>
    </row>
    <row r="186" spans="1:20" ht="15" x14ac:dyDescent="0.25">
      <c r="A186" s="562">
        <v>163</v>
      </c>
      <c r="B186" s="563">
        <f t="shared" si="25"/>
        <v>122</v>
      </c>
      <c r="C186" s="564">
        <f t="shared" si="26"/>
        <v>17323.853871343599</v>
      </c>
      <c r="D186" s="564">
        <f>IF(B186 &lt;= VLOOKUP(Main!$N$22,Coefficients!$E$2:$H$28,4,FALSE),E186,NA())</f>
        <v>17587.668904917358</v>
      </c>
      <c r="E186" s="437">
        <f>'4th Order Polynomial Tmp vs Res'!$B$40+'4th Order Polynomial Tmp vs Res'!$C$40*POWER(B186,1)+'4th Order Polynomial Tmp vs Res'!$D$40*POWER(B186,2)+'4th Order Polynomial Tmp vs Res'!$E$40*POWER(B186,3)+'4th Order Polynomial Tmp vs Res'!$F$40*POWER(B186,4)</f>
        <v>17587.668904917358</v>
      </c>
      <c r="F186" s="564">
        <f t="shared" si="27"/>
        <v>17851.483938491117</v>
      </c>
      <c r="G186" s="585">
        <f t="shared" si="23"/>
        <v>2.4622736466884301</v>
      </c>
      <c r="H186" s="388"/>
      <c r="I186" s="586"/>
      <c r="J186" s="388"/>
      <c r="K186" s="520">
        <f>'4th Order Polynomial Tmp vs Res'!$I$40*E186^4 + '4th Order Polynomial Tmp vs Res'!$J$40*E186^3 + '4th Order Polynomial Tmp vs Res'!$K$40*E186^2 + '4th Order Polynomial Tmp vs Res'!$L$40*E186 + '4th Order Polynomial Tmp vs Res'!$M$40</f>
        <v>121.91407478355086</v>
      </c>
      <c r="L186" s="520">
        <f t="shared" si="28"/>
        <v>8.5925216449140862E-2</v>
      </c>
      <c r="M186" s="388"/>
      <c r="N186" s="388"/>
      <c r="O186" s="388"/>
      <c r="P186" s="388"/>
      <c r="Q186" s="388"/>
      <c r="R186" s="388"/>
      <c r="S186" s="388"/>
      <c r="T186" s="388"/>
    </row>
    <row r="187" spans="1:20" ht="15" x14ac:dyDescent="0.25">
      <c r="A187" s="562">
        <v>164</v>
      </c>
      <c r="B187" s="563">
        <f t="shared" si="25"/>
        <v>123</v>
      </c>
      <c r="C187" s="564">
        <f t="shared" si="26"/>
        <v>17421.207320745685</v>
      </c>
      <c r="D187" s="564">
        <f>IF(B187 &lt;= VLOOKUP(Main!$N$22,Coefficients!$E$2:$H$28,4,FALSE),E187,NA())</f>
        <v>17686.504894158057</v>
      </c>
      <c r="E187" s="437">
        <f>'4th Order Polynomial Tmp vs Res'!$B$40+'4th Order Polynomial Tmp vs Res'!$C$40*POWER(B187,1)+'4th Order Polynomial Tmp vs Res'!$D$40*POWER(B187,2)+'4th Order Polynomial Tmp vs Res'!$E$40*POWER(B187,3)+'4th Order Polynomial Tmp vs Res'!$F$40*POWER(B187,4)</f>
        <v>17686.504894158057</v>
      </c>
      <c r="F187" s="564">
        <f t="shared" si="27"/>
        <v>17951.802467570426</v>
      </c>
      <c r="G187" s="585">
        <f t="shared" si="23"/>
        <v>2.4761106851821277</v>
      </c>
      <c r="H187" s="388"/>
      <c r="I187" s="586"/>
      <c r="J187" s="388"/>
      <c r="K187" s="520">
        <f>'4th Order Polynomial Tmp vs Res'!$I$40*E187^4 + '4th Order Polynomial Tmp vs Res'!$J$40*E187^3 + '4th Order Polynomial Tmp vs Res'!$K$40*E187^2 + '4th Order Polynomial Tmp vs Res'!$L$40*E187 + '4th Order Polynomial Tmp vs Res'!$M$40</f>
        <v>122.87580340204931</v>
      </c>
      <c r="L187" s="520">
        <f t="shared" si="28"/>
        <v>0.12419659795068583</v>
      </c>
      <c r="M187" s="388"/>
      <c r="N187" s="388"/>
      <c r="O187" s="388"/>
      <c r="P187" s="388"/>
      <c r="Q187" s="388"/>
      <c r="R187" s="388"/>
      <c r="S187" s="388"/>
      <c r="T187" s="388"/>
    </row>
    <row r="188" spans="1:20" ht="15" x14ac:dyDescent="0.25">
      <c r="A188" s="562">
        <v>165</v>
      </c>
      <c r="B188" s="563">
        <f t="shared" si="25"/>
        <v>124</v>
      </c>
      <c r="C188" s="564">
        <f t="shared" si="26"/>
        <v>17519.068134731893</v>
      </c>
      <c r="D188" s="564">
        <f>IF(B188 &lt;= VLOOKUP(Main!$N$22,Coefficients!$E$2:$H$28,4,FALSE),E188,NA())</f>
        <v>17785.855974347101</v>
      </c>
      <c r="E188" s="437">
        <f>'4th Order Polynomial Tmp vs Res'!$B$40+'4th Order Polynomial Tmp vs Res'!$C$40*POWER(B188,1)+'4th Order Polynomial Tmp vs Res'!$D$40*POWER(B188,2)+'4th Order Polynomial Tmp vs Res'!$E$40*POWER(B188,3)+'4th Order Polynomial Tmp vs Res'!$F$40*POWER(B188,4)</f>
        <v>17785.855974347101</v>
      </c>
      <c r="F188" s="564">
        <f t="shared" si="27"/>
        <v>18052.643813962306</v>
      </c>
      <c r="G188" s="585">
        <f t="shared" si="23"/>
        <v>2.4900198364085941</v>
      </c>
      <c r="H188" s="388"/>
      <c r="I188" s="586"/>
      <c r="J188" s="388"/>
      <c r="K188" s="520">
        <f>'4th Order Polynomial Tmp vs Res'!$I$40*E188^4 + '4th Order Polynomial Tmp vs Res'!$J$40*E188^3 + '4th Order Polynomial Tmp vs Res'!$K$40*E188^2 + '4th Order Polynomial Tmp vs Res'!$L$40*E188 + '4th Order Polynomial Tmp vs Res'!$M$40</f>
        <v>123.83273285648386</v>
      </c>
      <c r="L188" s="520">
        <f t="shared" si="28"/>
        <v>0.16726714351614191</v>
      </c>
      <c r="M188" s="388"/>
      <c r="N188" s="388"/>
      <c r="O188" s="388"/>
      <c r="P188" s="388"/>
      <c r="Q188" s="388"/>
      <c r="R188" s="388"/>
      <c r="S188" s="388"/>
      <c r="T188" s="388"/>
    </row>
    <row r="189" spans="1:20" ht="15" x14ac:dyDescent="0.25">
      <c r="A189" s="562">
        <v>166</v>
      </c>
      <c r="B189" s="563">
        <f t="shared" si="25"/>
        <v>125</v>
      </c>
      <c r="C189" s="564">
        <f t="shared" si="26"/>
        <v>17617.44061304464</v>
      </c>
      <c r="D189" s="564">
        <f>IF(B189 &lt;= VLOOKUP(Main!$N$22,Coefficients!$E$2:$H$28,4,FALSE),E189,NA())</f>
        <v>17885.726510705219</v>
      </c>
      <c r="E189" s="437">
        <f>'4th Order Polynomial Tmp vs Res'!$B$40+'4th Order Polynomial Tmp vs Res'!$C$40*POWER(B189,1)+'4th Order Polynomial Tmp vs Res'!$D$40*POWER(B189,2)+'4th Order Polynomial Tmp vs Res'!$E$40*POWER(B189,3)+'4th Order Polynomial Tmp vs Res'!$F$40*POWER(B189,4)</f>
        <v>17885.726510705219</v>
      </c>
      <c r="F189" s="564">
        <f t="shared" si="27"/>
        <v>18154.012408365794</v>
      </c>
      <c r="G189" s="585">
        <f t="shared" si="23"/>
        <v>2.5040017114987303</v>
      </c>
      <c r="H189" s="388"/>
      <c r="I189" s="586"/>
      <c r="J189" s="388"/>
      <c r="K189" s="520">
        <f>'4th Order Polynomial Tmp vs Res'!$I$40*E189^4 + '4th Order Polynomial Tmp vs Res'!$J$40*E189^3 + '4th Order Polynomial Tmp vs Res'!$K$40*E189^2 + '4th Order Polynomial Tmp vs Res'!$L$40*E189 + '4th Order Polynomial Tmp vs Res'!$M$40</f>
        <v>124.78452278580619</v>
      </c>
      <c r="L189" s="520">
        <f t="shared" si="28"/>
        <v>0.21547721419381105</v>
      </c>
      <c r="M189" s="388"/>
      <c r="N189" s="388"/>
      <c r="O189" s="388"/>
      <c r="P189" s="388"/>
      <c r="Q189" s="388"/>
      <c r="R189" s="388"/>
      <c r="S189" s="388"/>
      <c r="T189" s="388"/>
    </row>
    <row r="190" spans="1:20" ht="15" x14ac:dyDescent="0.25">
      <c r="A190" s="562">
        <v>167</v>
      </c>
      <c r="B190" s="563">
        <f t="shared" si="25"/>
        <v>126</v>
      </c>
      <c r="C190" s="564" t="e">
        <f t="shared" si="26"/>
        <v>#N/A</v>
      </c>
      <c r="D190" s="564" t="e">
        <f>IF(B190 &lt;= VLOOKUP(Main!$N$22,Coefficients!$E$2:$H$28,4,FALSE),E190,NA())</f>
        <v>#N/A</v>
      </c>
      <c r="E190" s="437">
        <f>'4th Order Polynomial Tmp vs Res'!$B$40+'4th Order Polynomial Tmp vs Res'!$C$40*POWER(B190,1)+'4th Order Polynomial Tmp vs Res'!$D$40*POWER(B190,2)+'4th Order Polynomial Tmp vs Res'!$E$40*POWER(B190,3)+'4th Order Polynomial Tmp vs Res'!$F$40*POWER(B190,4)</f>
        <v>17986.120911704595</v>
      </c>
      <c r="F190" s="564" t="e">
        <f t="shared" si="27"/>
        <v>#N/A</v>
      </c>
      <c r="G190" s="585" t="e">
        <f t="shared" si="23"/>
        <v>#N/A</v>
      </c>
      <c r="H190" s="388"/>
      <c r="I190" s="586"/>
      <c r="J190" s="388"/>
      <c r="K190" s="520">
        <f>'4th Order Polynomial Tmp vs Res'!$I$40*E190^4 + '4th Order Polynomial Tmp vs Res'!$J$40*E190^3 + '4th Order Polynomial Tmp vs Res'!$K$40*E190^2 + '4th Order Polynomial Tmp vs Res'!$L$40*E190 + '4th Order Polynomial Tmp vs Res'!$M$40</f>
        <v>125.73081651969312</v>
      </c>
      <c r="L190" s="520" t="e">
        <f>IF((VLOOKUP(Main!$N$22,Coefficients!$E$2:$H$28,4,FALSE)) = 125, NA(), B190-K190)</f>
        <v>#N/A</v>
      </c>
      <c r="M190" s="388"/>
      <c r="N190" s="388"/>
      <c r="O190" s="388"/>
      <c r="P190" s="388"/>
      <c r="Q190" s="388"/>
      <c r="R190" s="388"/>
      <c r="S190" s="388"/>
      <c r="T190" s="388"/>
    </row>
    <row r="191" spans="1:20" ht="15" x14ac:dyDescent="0.25">
      <c r="A191" s="562">
        <v>168</v>
      </c>
      <c r="B191" s="563">
        <f t="shared" si="25"/>
        <v>127</v>
      </c>
      <c r="C191" s="564" t="e">
        <f t="shared" si="26"/>
        <v>#N/A</v>
      </c>
      <c r="D191" s="564" t="e">
        <f>IF(B191 &lt;= VLOOKUP(Main!$N$22,Coefficients!$E$2:$H$28,4,FALSE),E191,NA())</f>
        <v>#N/A</v>
      </c>
      <c r="E191" s="437">
        <f>'4th Order Polynomial Tmp vs Res'!$B$40+'4th Order Polynomial Tmp vs Res'!$C$40*POWER(B191,1)+'4th Order Polynomial Tmp vs Res'!$D$40*POWER(B191,2)+'4th Order Polynomial Tmp vs Res'!$E$40*POWER(B191,3)+'4th Order Polynomial Tmp vs Res'!$F$40*POWER(B191,4)</f>
        <v>18087.043629068852</v>
      </c>
      <c r="F191" s="564" t="e">
        <f t="shared" si="27"/>
        <v>#N/A</v>
      </c>
      <c r="G191" s="585" t="e">
        <f t="shared" si="23"/>
        <v>#N/A</v>
      </c>
      <c r="H191" s="388"/>
      <c r="I191" s="586"/>
      <c r="J191" s="388"/>
      <c r="K191" s="520">
        <f>'4th Order Polynomial Tmp vs Res'!$I$40*E191^4 + '4th Order Polynomial Tmp vs Res'!$J$40*E191^3 + '4th Order Polynomial Tmp vs Res'!$K$40*E191^2 + '4th Order Polynomial Tmp vs Res'!$L$40*E191 + '4th Order Polynomial Tmp vs Res'!$M$40</f>
        <v>126.67124046893036</v>
      </c>
      <c r="L191" s="520" t="e">
        <f>IF((VLOOKUP(Main!$N$22,Coefficients!$E$2:$H$28,4,FALSE)) = 125, NA(), B191-K191)</f>
        <v>#N/A</v>
      </c>
      <c r="M191" s="388"/>
      <c r="N191" s="388"/>
      <c r="O191" s="388"/>
      <c r="P191" s="388"/>
      <c r="Q191" s="388"/>
      <c r="R191" s="388"/>
      <c r="S191" s="388"/>
      <c r="T191" s="388"/>
    </row>
    <row r="192" spans="1:20" ht="15" x14ac:dyDescent="0.25">
      <c r="A192" s="562">
        <v>169</v>
      </c>
      <c r="B192" s="563">
        <f t="shared" si="25"/>
        <v>128</v>
      </c>
      <c r="C192" s="564" t="e">
        <f t="shared" si="26"/>
        <v>#N/A</v>
      </c>
      <c r="D192" s="564" t="e">
        <f>IF(B192 &lt;= VLOOKUP(Main!$N$22,Coefficients!$E$2:$H$28,4,FALSE),E192,NA())</f>
        <v>#N/A</v>
      </c>
      <c r="E192" s="437">
        <f>'4th Order Polynomial Tmp vs Res'!$B$40+'4th Order Polynomial Tmp vs Res'!$C$40*POWER(B192,1)+'4th Order Polynomial Tmp vs Res'!$D$40*POWER(B192,2)+'4th Order Polynomial Tmp vs Res'!$E$40*POWER(B192,3)+'4th Order Polynomial Tmp vs Res'!$F$40*POWER(B192,4)</f>
        <v>18188.499157773051</v>
      </c>
      <c r="F192" s="564" t="e">
        <f t="shared" si="27"/>
        <v>#N/A</v>
      </c>
      <c r="G192" s="585" t="e">
        <f t="shared" si="23"/>
        <v>#N/A</v>
      </c>
      <c r="H192" s="388"/>
      <c r="I192" s="586"/>
      <c r="J192" s="388"/>
      <c r="K192" s="520">
        <f>'4th Order Polynomial Tmp vs Res'!$I$40*E192^4 + '4th Order Polynomial Tmp vs Res'!$J$40*E192^3 + '4th Order Polynomial Tmp vs Res'!$K$40*E192^2 + '4th Order Polynomial Tmp vs Res'!$L$40*E192 + '4th Order Polynomial Tmp vs Res'!$M$40</f>
        <v>127.60540349495852</v>
      </c>
      <c r="L192" s="520" t="e">
        <f>IF((VLOOKUP(Main!$N$22,Coefficients!$E$2:$H$28,4,FALSE)) = 125, NA(), B192-K192)</f>
        <v>#N/A</v>
      </c>
      <c r="M192" s="388"/>
      <c r="N192" s="388"/>
      <c r="O192" s="388"/>
      <c r="P192" s="388"/>
      <c r="Q192" s="388"/>
      <c r="R192" s="388"/>
      <c r="S192" s="388"/>
      <c r="T192" s="388"/>
    </row>
    <row r="193" spans="1:20" ht="15" x14ac:dyDescent="0.25">
      <c r="A193" s="562">
        <v>170</v>
      </c>
      <c r="B193" s="563">
        <f t="shared" si="25"/>
        <v>129</v>
      </c>
      <c r="C193" s="564" t="e">
        <f t="shared" si="26"/>
        <v>#N/A</v>
      </c>
      <c r="D193" s="564" t="e">
        <f>IF(B193 &lt;= VLOOKUP(Main!$N$22,Coefficients!$E$2:$H$28,4,FALSE),E193,NA())</f>
        <v>#N/A</v>
      </c>
      <c r="E193" s="437">
        <f>'4th Order Polynomial Tmp vs Res'!$B$40+'4th Order Polynomial Tmp vs Res'!$C$40*POWER(B193,1)+'4th Order Polynomial Tmp vs Res'!$D$40*POWER(B193,2)+'4th Order Polynomial Tmp vs Res'!$E$40*POWER(B193,3)+'4th Order Polynomial Tmp vs Res'!$F$40*POWER(B193,4)</f>
        <v>18290.492036043699</v>
      </c>
      <c r="F193" s="564" t="e">
        <f t="shared" si="27"/>
        <v>#N/A</v>
      </c>
      <c r="G193" s="585" t="e">
        <f t="shared" si="23"/>
        <v>#N/A</v>
      </c>
      <c r="H193" s="388"/>
      <c r="I193" s="586"/>
      <c r="J193" s="388"/>
      <c r="K193" s="520">
        <f>'4th Order Polynomial Tmp vs Res'!$I$40*E193^4 + '4th Order Polynomial Tmp vs Res'!$J$40*E193^3 + '4th Order Polynomial Tmp vs Res'!$K$40*E193^2 + '4th Order Polynomial Tmp vs Res'!$L$40*E193 + '4th Order Polynomial Tmp vs Res'!$M$40</f>
        <v>128.53289625789523</v>
      </c>
      <c r="L193" s="520" t="e">
        <f>IF((VLOOKUP(Main!$N$22,Coefficients!$E$2:$H$28,4,FALSE)) = 125, NA(), B193-K193)</f>
        <v>#N/A</v>
      </c>
      <c r="M193" s="388"/>
      <c r="N193" s="388"/>
      <c r="O193" s="388"/>
      <c r="P193" s="388"/>
      <c r="Q193" s="388"/>
      <c r="R193" s="388"/>
      <c r="S193" s="388"/>
      <c r="T193" s="388"/>
    </row>
    <row r="194" spans="1:20" ht="15" x14ac:dyDescent="0.25">
      <c r="A194" s="562">
        <v>171</v>
      </c>
      <c r="B194" s="563">
        <f t="shared" si="25"/>
        <v>130</v>
      </c>
      <c r="C194" s="564" t="e">
        <f t="shared" si="26"/>
        <v>#N/A</v>
      </c>
      <c r="D194" s="564" t="e">
        <f>IF(B194 &lt;= VLOOKUP(Main!$N$22,Coefficients!$E$2:$H$28,4,FALSE),E194,NA())</f>
        <v>#N/A</v>
      </c>
      <c r="E194" s="437">
        <f>'4th Order Polynomial Tmp vs Res'!$B$40+'4th Order Polynomial Tmp vs Res'!$C$40*POWER(B194,1)+'4th Order Polynomial Tmp vs Res'!$D$40*POWER(B194,2)+'4th Order Polynomial Tmp vs Res'!$E$40*POWER(B194,3)+'4th Order Polynomial Tmp vs Res'!$F$40*POWER(B194,4)</f>
        <v>18393.026845358738</v>
      </c>
      <c r="F194" s="564" t="e">
        <f t="shared" si="27"/>
        <v>#N/A</v>
      </c>
      <c r="G194" s="585" t="e">
        <f t="shared" si="23"/>
        <v>#N/A</v>
      </c>
      <c r="H194" s="388"/>
      <c r="I194" s="586"/>
      <c r="J194" s="388"/>
      <c r="K194" s="520">
        <f>'4th Order Polynomial Tmp vs Res'!$I$40*E194^4 + '4th Order Polynomial Tmp vs Res'!$J$40*E194^3 + '4th Order Polynomial Tmp vs Res'!$K$40*E194^2 + '4th Order Polynomial Tmp vs Res'!$L$40*E194 + '4th Order Polynomial Tmp vs Res'!$M$40</f>
        <v>129.453290542324</v>
      </c>
      <c r="L194" s="520" t="e">
        <f>IF((VLOOKUP(Main!$N$22,Coefficients!$E$2:$H$28,4,FALSE)) = 125, NA(), B194-K194)</f>
        <v>#N/A</v>
      </c>
      <c r="M194" s="388"/>
      <c r="N194" s="388"/>
      <c r="O194" s="388"/>
      <c r="P194" s="388"/>
      <c r="Q194" s="388"/>
      <c r="R194" s="388"/>
      <c r="S194" s="388"/>
      <c r="T194" s="388"/>
    </row>
    <row r="195" spans="1:20" ht="15" x14ac:dyDescent="0.25">
      <c r="A195" s="562">
        <v>172</v>
      </c>
      <c r="B195" s="563">
        <f t="shared" si="25"/>
        <v>131</v>
      </c>
      <c r="C195" s="564" t="e">
        <f t="shared" si="26"/>
        <v>#N/A</v>
      </c>
      <c r="D195" s="564" t="e">
        <f>IF(B195 &lt;= VLOOKUP(Main!$N$22,Coefficients!$E$2:$H$28,4,FALSE),E195,NA())</f>
        <v>#N/A</v>
      </c>
      <c r="E195" s="437">
        <f>'4th Order Polynomial Tmp vs Res'!$B$40+'4th Order Polynomial Tmp vs Res'!$C$40*POWER(B195,1)+'4th Order Polynomial Tmp vs Res'!$D$40*POWER(B195,2)+'4th Order Polynomial Tmp vs Res'!$E$40*POWER(B195,3)+'4th Order Polynomial Tmp vs Res'!$F$40*POWER(B195,4)</f>
        <v>18496.108210447561</v>
      </c>
      <c r="F195" s="564" t="e">
        <f t="shared" si="27"/>
        <v>#N/A</v>
      </c>
      <c r="G195" s="585" t="e">
        <f t="shared" si="23"/>
        <v>#N/A</v>
      </c>
      <c r="H195" s="388"/>
      <c r="I195" s="586"/>
      <c r="J195" s="388"/>
      <c r="K195" s="520">
        <f>'4th Order Polynomial Tmp vs Res'!$I$40*E195^4 + '4th Order Polynomial Tmp vs Res'!$J$40*E195^3 + '4th Order Polynomial Tmp vs Res'!$K$40*E195^2 + '4th Order Polynomial Tmp vs Res'!$L$40*E195 + '4th Order Polynomial Tmp vs Res'!$M$40</f>
        <v>130.36613856010865</v>
      </c>
      <c r="L195" s="520" t="e">
        <f>IF((VLOOKUP(Main!$N$22,Coefficients!$E$2:$H$28,4,FALSE)) = 125, NA(), B195-K195)</f>
        <v>#N/A</v>
      </c>
      <c r="M195" s="388"/>
      <c r="N195" s="388"/>
      <c r="O195" s="388"/>
      <c r="P195" s="388"/>
      <c r="Q195" s="388"/>
      <c r="R195" s="388"/>
      <c r="S195" s="388"/>
      <c r="T195" s="388"/>
    </row>
    <row r="196" spans="1:20" ht="15" x14ac:dyDescent="0.25">
      <c r="A196" s="562">
        <v>173</v>
      </c>
      <c r="B196" s="563">
        <f t="shared" si="25"/>
        <v>132</v>
      </c>
      <c r="C196" s="564" t="e">
        <f t="shared" si="26"/>
        <v>#N/A</v>
      </c>
      <c r="D196" s="564" t="e">
        <f>IF(B196 &lt;= VLOOKUP(Main!$N$22,Coefficients!$E$2:$H$28,4,FALSE),E196,NA())</f>
        <v>#N/A</v>
      </c>
      <c r="E196" s="437">
        <f>'4th Order Polynomial Tmp vs Res'!$B$40+'4th Order Polynomial Tmp vs Res'!$C$40*POWER(B196,1)+'4th Order Polynomial Tmp vs Res'!$D$40*POWER(B196,2)+'4th Order Polynomial Tmp vs Res'!$E$40*POWER(B196,3)+'4th Order Polynomial Tmp vs Res'!$F$40*POWER(B196,4)</f>
        <v>18599.740799290983</v>
      </c>
      <c r="F196" s="564" t="e">
        <f t="shared" si="27"/>
        <v>#N/A</v>
      </c>
      <c r="G196" s="585" t="e">
        <f t="shared" si="23"/>
        <v>#N/A</v>
      </c>
      <c r="H196" s="388"/>
      <c r="I196" s="586"/>
      <c r="J196" s="388"/>
      <c r="K196" s="520">
        <f>'4th Order Polynomial Tmp vs Res'!$I$40*E196^4 + '4th Order Polynomial Tmp vs Res'!$J$40*E196^3 + '4th Order Polynomial Tmp vs Res'!$K$40*E196^2 + '4th Order Polynomial Tmp vs Res'!$L$40*E196 + '4th Order Polynomial Tmp vs Res'!$M$40</f>
        <v>131.27097222948487</v>
      </c>
      <c r="L196" s="520" t="e">
        <f>IF((VLOOKUP(Main!$N$22,Coefficients!$E$2:$H$28,4,FALSE)) = 125, NA(), B196-K196)</f>
        <v>#N/A</v>
      </c>
      <c r="M196" s="388"/>
      <c r="N196" s="388"/>
      <c r="O196" s="388"/>
      <c r="P196" s="388"/>
      <c r="Q196" s="388"/>
      <c r="R196" s="388"/>
      <c r="S196" s="388"/>
      <c r="T196" s="388"/>
    </row>
    <row r="197" spans="1:20" ht="15" x14ac:dyDescent="0.25">
      <c r="A197" s="562">
        <v>174</v>
      </c>
      <c r="B197" s="563">
        <f t="shared" si="25"/>
        <v>133</v>
      </c>
      <c r="C197" s="564" t="e">
        <f t="shared" si="26"/>
        <v>#N/A</v>
      </c>
      <c r="D197" s="564" t="e">
        <f>IF(B197 &lt;= VLOOKUP(Main!$N$22,Coefficients!$E$2:$H$28,4,FALSE),E197,NA())</f>
        <v>#N/A</v>
      </c>
      <c r="E197" s="437">
        <f>'4th Order Polynomial Tmp vs Res'!$B$40+'4th Order Polynomial Tmp vs Res'!$C$40*POWER(B197,1)+'4th Order Polynomial Tmp vs Res'!$D$40*POWER(B197,2)+'4th Order Polynomial Tmp vs Res'!$E$40*POWER(B197,3)+'4th Order Polynomial Tmp vs Res'!$F$40*POWER(B197,4)</f>
        <v>18703.929323121291</v>
      </c>
      <c r="F197" s="564" t="e">
        <f t="shared" si="27"/>
        <v>#N/A</v>
      </c>
      <c r="G197" s="585" t="e">
        <f t="shared" si="23"/>
        <v>#N/A</v>
      </c>
      <c r="H197" s="388"/>
      <c r="I197" s="586"/>
      <c r="J197" s="388"/>
      <c r="K197" s="520">
        <f>'4th Order Polynomial Tmp vs Res'!$I$40*E197^4 + '4th Order Polynomial Tmp vs Res'!$J$40*E197^3 + '4th Order Polynomial Tmp vs Res'!$K$40*E197^2 + '4th Order Polynomial Tmp vs Res'!$L$40*E197 + '4th Order Polynomial Tmp vs Res'!$M$40</f>
        <v>132.16730242964479</v>
      </c>
      <c r="L197" s="520" t="e">
        <f>IF((VLOOKUP(Main!$N$22,Coefficients!$E$2:$H$28,4,FALSE)) = 125, NA(), B197-K197)</f>
        <v>#N/A</v>
      </c>
      <c r="M197" s="388"/>
      <c r="N197" s="388"/>
      <c r="O197" s="388"/>
      <c r="P197" s="388"/>
      <c r="Q197" s="388"/>
      <c r="R197" s="388"/>
      <c r="S197" s="388"/>
      <c r="T197" s="388"/>
    </row>
    <row r="198" spans="1:20" ht="15" x14ac:dyDescent="0.25">
      <c r="A198" s="562">
        <v>175</v>
      </c>
      <c r="B198" s="563">
        <f t="shared" si="25"/>
        <v>134</v>
      </c>
      <c r="C198" s="564" t="e">
        <f t="shared" si="26"/>
        <v>#N/A</v>
      </c>
      <c r="D198" s="564" t="e">
        <f>IF(B198 &lt;= VLOOKUP(Main!$N$22,Coefficients!$E$2:$H$28,4,FALSE),E198,NA())</f>
        <v>#N/A</v>
      </c>
      <c r="E198" s="437">
        <f>'4th Order Polynomial Tmp vs Res'!$B$40+'4th Order Polynomial Tmp vs Res'!$C$40*POWER(B198,1)+'4th Order Polynomial Tmp vs Res'!$D$40*POWER(B198,2)+'4th Order Polynomial Tmp vs Res'!$E$40*POWER(B198,3)+'4th Order Polynomial Tmp vs Res'!$F$40*POWER(B198,4)</f>
        <v>18808.678536422187</v>
      </c>
      <c r="F198" s="564" t="e">
        <f t="shared" si="27"/>
        <v>#N/A</v>
      </c>
      <c r="G198" s="585" t="e">
        <f t="shared" si="23"/>
        <v>#N/A</v>
      </c>
      <c r="H198" s="388"/>
      <c r="I198" s="586"/>
      <c r="J198" s="388"/>
      <c r="K198" s="520">
        <f>'4th Order Polynomial Tmp vs Res'!$I$40*E198^4 + '4th Order Polynomial Tmp vs Res'!$J$40*E198^3 + '4th Order Polynomial Tmp vs Res'!$K$40*E198^2 + '4th Order Polynomial Tmp vs Res'!$L$40*E198 + '4th Order Polynomial Tmp vs Res'!$M$40</f>
        <v>133.05461823000974</v>
      </c>
      <c r="L198" s="520" t="e">
        <f>IF((VLOOKUP(Main!$N$22,Coefficients!$E$2:$H$28,4,FALSE)) = 125, NA(), B198-K198)</f>
        <v>#N/A</v>
      </c>
      <c r="M198" s="388"/>
      <c r="N198" s="388"/>
      <c r="O198" s="388"/>
      <c r="P198" s="388"/>
      <c r="Q198" s="388"/>
      <c r="R198" s="388"/>
      <c r="S198" s="388"/>
      <c r="T198" s="388"/>
    </row>
    <row r="199" spans="1:20" ht="15" x14ac:dyDescent="0.25">
      <c r="A199" s="562">
        <v>176</v>
      </c>
      <c r="B199" s="563">
        <f t="shared" si="25"/>
        <v>135</v>
      </c>
      <c r="C199" s="564" t="e">
        <f t="shared" si="26"/>
        <v>#N/A</v>
      </c>
      <c r="D199" s="564" t="e">
        <f>IF(B199 &lt;= VLOOKUP(Main!$N$22,Coefficients!$E$2:$H$28,4,FALSE),E199,NA())</f>
        <v>#N/A</v>
      </c>
      <c r="E199" s="437">
        <f>'4th Order Polynomial Tmp vs Res'!$B$40+'4th Order Polynomial Tmp vs Res'!$C$40*POWER(B199,1)+'4th Order Polynomial Tmp vs Res'!$D$40*POWER(B199,2)+'4th Order Polynomial Tmp vs Res'!$E$40*POWER(B199,3)+'4th Order Polynomial Tmp vs Res'!$F$40*POWER(B199,4)</f>
        <v>18913.993236928822</v>
      </c>
      <c r="F199" s="564" t="e">
        <f t="shared" si="27"/>
        <v>#N/A</v>
      </c>
      <c r="G199" s="585" t="e">
        <f t="shared" si="23"/>
        <v>#N/A</v>
      </c>
      <c r="H199" s="388"/>
      <c r="I199" s="586"/>
      <c r="J199" s="388"/>
      <c r="K199" s="520">
        <f>'4th Order Polynomial Tmp vs Res'!$I$40*E199^4 + '4th Order Polynomial Tmp vs Res'!$J$40*E199^3 + '4th Order Polynomial Tmp vs Res'!$K$40*E199^2 + '4th Order Polynomial Tmp vs Res'!$L$40*E199 + '4th Order Polynomial Tmp vs Res'!$M$40</f>
        <v>133.93238609336674</v>
      </c>
      <c r="L199" s="520" t="e">
        <f>IF((VLOOKUP(Main!$N$22,Coefficients!$E$2:$H$28,4,FALSE)) = 125, NA(), B199-K199)</f>
        <v>#N/A</v>
      </c>
      <c r="M199" s="388"/>
      <c r="N199" s="388"/>
      <c r="O199" s="388"/>
      <c r="P199" s="388"/>
      <c r="Q199" s="388"/>
      <c r="R199" s="388"/>
      <c r="S199" s="388"/>
      <c r="T199" s="388"/>
    </row>
    <row r="200" spans="1:20" ht="15" x14ac:dyDescent="0.25">
      <c r="A200" s="562">
        <v>177</v>
      </c>
      <c r="B200" s="563">
        <f t="shared" si="25"/>
        <v>136</v>
      </c>
      <c r="C200" s="564" t="e">
        <f t="shared" si="26"/>
        <v>#N/A</v>
      </c>
      <c r="D200" s="564" t="e">
        <f>IF(B200 &lt;= VLOOKUP(Main!$N$22,Coefficients!$E$2:$H$28,4,FALSE),E200,NA())</f>
        <v>#N/A</v>
      </c>
      <c r="E200" s="437">
        <f>'4th Order Polynomial Tmp vs Res'!$B$40+'4th Order Polynomial Tmp vs Res'!$C$40*POWER(B200,1)+'4th Order Polynomial Tmp vs Res'!$D$40*POWER(B200,2)+'4th Order Polynomial Tmp vs Res'!$E$40*POWER(B200,3)+'4th Order Polynomial Tmp vs Res'!$F$40*POWER(B200,4)</f>
        <v>19019.878265627787</v>
      </c>
      <c r="F200" s="564" t="e">
        <f t="shared" si="27"/>
        <v>#N/A</v>
      </c>
      <c r="G200" s="585" t="e">
        <f t="shared" si="23"/>
        <v>#N/A</v>
      </c>
      <c r="H200" s="388"/>
      <c r="I200" s="586"/>
      <c r="J200" s="388"/>
      <c r="K200" s="520">
        <f>'4th Order Polynomial Tmp vs Res'!$I$40*E200^4 + '4th Order Polynomial Tmp vs Res'!$J$40*E200^3 + '4th Order Polynomial Tmp vs Res'!$K$40*E200^2 + '4th Order Polynomial Tmp vs Res'!$L$40*E200 + '4th Order Polynomial Tmp vs Res'!$M$40</f>
        <v>134.80004905200974</v>
      </c>
      <c r="L200" s="520" t="e">
        <f>IF((VLOOKUP(Main!$N$22,Coefficients!$E$2:$H$28,4,FALSE)) = 125, NA(), B200-K200)</f>
        <v>#N/A</v>
      </c>
      <c r="M200" s="388"/>
      <c r="N200" s="388"/>
      <c r="O200" s="388"/>
      <c r="P200" s="388"/>
      <c r="Q200" s="388"/>
      <c r="R200" s="388"/>
      <c r="S200" s="388"/>
      <c r="T200" s="388"/>
    </row>
    <row r="201" spans="1:20" ht="15" x14ac:dyDescent="0.25">
      <c r="A201" s="562">
        <v>178</v>
      </c>
      <c r="B201" s="563">
        <f t="shared" si="25"/>
        <v>137</v>
      </c>
      <c r="C201" s="564" t="e">
        <f t="shared" si="26"/>
        <v>#N/A</v>
      </c>
      <c r="D201" s="564" t="e">
        <f>IF(B201 &lt;= VLOOKUP(Main!$N$22,Coefficients!$E$2:$H$28,4,FALSE),E201,NA())</f>
        <v>#N/A</v>
      </c>
      <c r="E201" s="437">
        <f>'4th Order Polynomial Tmp vs Res'!$B$40+'4th Order Polynomial Tmp vs Res'!$C$40*POWER(B201,1)+'4th Order Polynomial Tmp vs Res'!$D$40*POWER(B201,2)+'4th Order Polynomial Tmp vs Res'!$E$40*POWER(B201,3)+'4th Order Polynomial Tmp vs Res'!$F$40*POWER(B201,4)</f>
        <v>19126.338506757129</v>
      </c>
      <c r="F201" s="564" t="e">
        <f t="shared" si="27"/>
        <v>#N/A</v>
      </c>
      <c r="G201" s="585" t="e">
        <f t="shared" si="23"/>
        <v>#N/A</v>
      </c>
      <c r="H201" s="388"/>
      <c r="I201" s="586"/>
      <c r="J201" s="388"/>
      <c r="K201" s="520">
        <f>'4th Order Polynomial Tmp vs Res'!$I$40*E201^4 + '4th Order Polynomial Tmp vs Res'!$J$40*E201^3 + '4th Order Polynomial Tmp vs Res'!$K$40*E201^2 + '4th Order Polynomial Tmp vs Res'!$L$40*E201 + '4th Order Polynomial Tmp vs Res'!$M$40</f>
        <v>135.65702585600752</v>
      </c>
      <c r="L201" s="520" t="e">
        <f>IF((VLOOKUP(Main!$N$22,Coefficients!$E$2:$H$28,4,FALSE)) = 125, NA(), B201-K201)</f>
        <v>#N/A</v>
      </c>
      <c r="M201" s="388"/>
      <c r="N201" s="388"/>
      <c r="O201" s="388"/>
      <c r="P201" s="388"/>
      <c r="Q201" s="388"/>
      <c r="R201" s="388"/>
      <c r="S201" s="388"/>
      <c r="T201" s="388"/>
    </row>
    <row r="202" spans="1:20" ht="15" x14ac:dyDescent="0.25">
      <c r="A202" s="562">
        <v>179</v>
      </c>
      <c r="B202" s="563">
        <f t="shared" si="25"/>
        <v>138</v>
      </c>
      <c r="C202" s="564" t="e">
        <f t="shared" si="26"/>
        <v>#N/A</v>
      </c>
      <c r="D202" s="564" t="e">
        <f>IF(B202 &lt;= VLOOKUP(Main!$N$22,Coefficients!$E$2:$H$28,4,FALSE),E202,NA())</f>
        <v>#N/A</v>
      </c>
      <c r="E202" s="437">
        <f>'4th Order Polynomial Tmp vs Res'!$B$40+'4th Order Polynomial Tmp vs Res'!$C$40*POWER(B202,1)+'4th Order Polynomial Tmp vs Res'!$D$40*POWER(B202,2)+'4th Order Polynomial Tmp vs Res'!$E$40*POWER(B202,3)+'4th Order Polynomial Tmp vs Res'!$F$40*POWER(B202,4)</f>
        <v>19233.37888780631</v>
      </c>
      <c r="F202" s="564" t="e">
        <f t="shared" si="27"/>
        <v>#N/A</v>
      </c>
      <c r="G202" s="585" t="e">
        <f t="shared" si="23"/>
        <v>#N/A</v>
      </c>
      <c r="H202" s="388"/>
      <c r="I202" s="586"/>
      <c r="J202" s="388"/>
      <c r="K202" s="520">
        <f>'4th Order Polynomial Tmp vs Res'!$I$40*E202^4 + '4th Order Polynomial Tmp vs Res'!$J$40*E202^3 + '4th Order Polynomial Tmp vs Res'!$K$40*E202^2 + '4th Order Polynomial Tmp vs Res'!$L$40*E202 + '4th Order Polynomial Tmp vs Res'!$M$40</f>
        <v>136.50271009268977</v>
      </c>
      <c r="L202" s="520" t="e">
        <f>IF((VLOOKUP(Main!$N$22,Coefficients!$E$2:$H$28,4,FALSE)) = 125, NA(), B202-K202)</f>
        <v>#N/A</v>
      </c>
      <c r="M202" s="388"/>
      <c r="N202" s="388"/>
      <c r="O202" s="388"/>
      <c r="P202" s="388"/>
      <c r="Q202" s="388"/>
      <c r="R202" s="388"/>
      <c r="S202" s="388"/>
      <c r="T202" s="388"/>
    </row>
    <row r="203" spans="1:20" ht="15" x14ac:dyDescent="0.25">
      <c r="A203" s="562">
        <v>180</v>
      </c>
      <c r="B203" s="563">
        <f t="shared" si="25"/>
        <v>139</v>
      </c>
      <c r="C203" s="564" t="e">
        <f t="shared" si="26"/>
        <v>#N/A</v>
      </c>
      <c r="D203" s="564" t="e">
        <f>IF(B203 &lt;= VLOOKUP(Main!$N$22,Coefficients!$E$2:$H$28,4,FALSE),E203,NA())</f>
        <v>#N/A</v>
      </c>
      <c r="E203" s="437">
        <f>'4th Order Polynomial Tmp vs Res'!$B$40+'4th Order Polynomial Tmp vs Res'!$C$40*POWER(B203,1)+'4th Order Polynomial Tmp vs Res'!$D$40*POWER(B203,2)+'4th Order Polynomial Tmp vs Res'!$E$40*POWER(B203,3)+'4th Order Polynomial Tmp vs Res'!$F$40*POWER(B203,4)</f>
        <v>19341.004379516256</v>
      </c>
      <c r="F203" s="564" t="e">
        <f t="shared" si="27"/>
        <v>#N/A</v>
      </c>
      <c r="G203" s="585" t="e">
        <f t="shared" si="23"/>
        <v>#N/A</v>
      </c>
      <c r="H203" s="388"/>
      <c r="I203" s="586"/>
      <c r="J203" s="388"/>
      <c r="K203" s="520">
        <f>'4th Order Polynomial Tmp vs Res'!$I$40*E203^4 + '4th Order Polynomial Tmp vs Res'!$J$40*E203^3 + '4th Order Polynomial Tmp vs Res'!$K$40*E203^2 + '4th Order Polynomial Tmp vs Res'!$L$40*E203 + '4th Order Polynomial Tmp vs Res'!$M$40</f>
        <v>137.33646927641723</v>
      </c>
      <c r="L203" s="520" t="e">
        <f>IF((VLOOKUP(Main!$N$22,Coefficients!$E$2:$H$28,4,FALSE)) = 125, NA(), B203-K203)</f>
        <v>#N/A</v>
      </c>
      <c r="M203" s="388"/>
      <c r="N203" s="388"/>
      <c r="O203" s="388"/>
      <c r="P203" s="388"/>
      <c r="Q203" s="388"/>
      <c r="R203" s="388"/>
      <c r="S203" s="388"/>
      <c r="T203" s="388"/>
    </row>
    <row r="204" spans="1:20" ht="15" x14ac:dyDescent="0.25">
      <c r="A204" s="562">
        <v>181</v>
      </c>
      <c r="B204" s="563">
        <f t="shared" si="25"/>
        <v>140</v>
      </c>
      <c r="C204" s="564" t="e">
        <f t="shared" si="26"/>
        <v>#N/A</v>
      </c>
      <c r="D204" s="564" t="e">
        <f>IF(B204 &lt;= VLOOKUP(Main!$N$22,Coefficients!$E$2:$H$28,4,FALSE),E204,NA())</f>
        <v>#N/A</v>
      </c>
      <c r="E204" s="437">
        <f>'4th Order Polynomial Tmp vs Res'!$B$40+'4th Order Polynomial Tmp vs Res'!$C$40*POWER(B204,1)+'4th Order Polynomial Tmp vs Res'!$D$40*POWER(B204,2)+'4th Order Polynomial Tmp vs Res'!$E$40*POWER(B204,3)+'4th Order Polynomial Tmp vs Res'!$F$40*POWER(B204,4)</f>
        <v>19449.219995879321</v>
      </c>
      <c r="F204" s="564" t="e">
        <f t="shared" si="27"/>
        <v>#N/A</v>
      </c>
      <c r="G204" s="585" t="e">
        <f t="shared" si="23"/>
        <v>#N/A</v>
      </c>
      <c r="H204" s="388"/>
      <c r="I204" s="586"/>
      <c r="J204" s="388"/>
      <c r="K204" s="520">
        <f>'4th Order Polynomial Tmp vs Res'!$I$40*E204^4 + '4th Order Polynomial Tmp vs Res'!$J$40*E204^3 + '4th Order Polynomial Tmp vs Res'!$K$40*E204^2 + '4th Order Polynomial Tmp vs Res'!$L$40*E204 + '4th Order Polynomial Tmp vs Res'!$M$40</f>
        <v>138.15764390766947</v>
      </c>
      <c r="L204" s="520" t="e">
        <f>IF((VLOOKUP(Main!$N$22,Coefficients!$E$2:$H$28,4,FALSE)) = 125, NA(), B204-K204)</f>
        <v>#N/A</v>
      </c>
      <c r="M204" s="388"/>
      <c r="N204" s="388"/>
      <c r="O204" s="388"/>
      <c r="P204" s="388"/>
      <c r="Q204" s="388"/>
      <c r="R204" s="388"/>
      <c r="S204" s="388"/>
      <c r="T204" s="388"/>
    </row>
    <row r="205" spans="1:20" ht="15" x14ac:dyDescent="0.25">
      <c r="A205" s="562">
        <v>182</v>
      </c>
      <c r="B205" s="563">
        <f t="shared" si="25"/>
        <v>141</v>
      </c>
      <c r="C205" s="564" t="e">
        <f t="shared" si="26"/>
        <v>#N/A</v>
      </c>
      <c r="D205" s="564" t="e">
        <f>IF(B205 &lt;= VLOOKUP(Main!$N$22,Coefficients!$E$2:$H$28,4,FALSE),E205,NA())</f>
        <v>#N/A</v>
      </c>
      <c r="E205" s="437">
        <f>'4th Order Polynomial Tmp vs Res'!$B$40+'4th Order Polynomial Tmp vs Res'!$C$40*POWER(B205,1)+'4th Order Polynomial Tmp vs Res'!$D$40*POWER(B205,2)+'4th Order Polynomial Tmp vs Res'!$E$40*POWER(B205,3)+'4th Order Polynomial Tmp vs Res'!$F$40*POWER(B205,4)</f>
        <v>19558.030794139315</v>
      </c>
      <c r="F205" s="564" t="e">
        <f t="shared" si="27"/>
        <v>#N/A</v>
      </c>
      <c r="G205" s="585" t="e">
        <f t="shared" si="23"/>
        <v>#N/A</v>
      </c>
      <c r="H205" s="388"/>
      <c r="I205" s="586"/>
      <c r="J205" s="388"/>
      <c r="K205" s="520">
        <f>'4th Order Polynomial Tmp vs Res'!$I$40*E205^4 + '4th Order Polynomial Tmp vs Res'!$J$40*E205^3 + '4th Order Polynomial Tmp vs Res'!$K$40*E205^2 + '4th Order Polynomial Tmp vs Res'!$L$40*E205 + '4th Order Polynomial Tmp vs Res'!$M$40</f>
        <v>138.96554650045744</v>
      </c>
      <c r="L205" s="520" t="e">
        <f>IF((VLOOKUP(Main!$N$22,Coefficients!$E$2:$H$28,4,FALSE)) = 125, NA(), B205-K205)</f>
        <v>#N/A</v>
      </c>
      <c r="M205" s="388"/>
      <c r="N205" s="388"/>
      <c r="O205" s="388"/>
      <c r="P205" s="388"/>
      <c r="Q205" s="388"/>
      <c r="R205" s="388"/>
      <c r="S205" s="388"/>
      <c r="T205" s="388"/>
    </row>
    <row r="206" spans="1:20" ht="15" x14ac:dyDescent="0.25">
      <c r="A206" s="562">
        <v>183</v>
      </c>
      <c r="B206" s="563">
        <f t="shared" si="25"/>
        <v>142</v>
      </c>
      <c r="C206" s="564" t="e">
        <f t="shared" si="26"/>
        <v>#N/A</v>
      </c>
      <c r="D206" s="564" t="e">
        <f>IF(B206 &lt;= VLOOKUP(Main!$N$22,Coefficients!$E$2:$H$28,4,FALSE),E206,NA())</f>
        <v>#N/A</v>
      </c>
      <c r="E206" s="437">
        <f>'4th Order Polynomial Tmp vs Res'!$B$40+'4th Order Polynomial Tmp vs Res'!$C$40*POWER(B206,1)+'4th Order Polynomial Tmp vs Res'!$D$40*POWER(B206,2)+'4th Order Polynomial Tmp vs Res'!$E$40*POWER(B206,3)+'4th Order Polynomial Tmp vs Res'!$F$40*POWER(B206,4)</f>
        <v>19667.441874791461</v>
      </c>
      <c r="F206" s="564" t="e">
        <f t="shared" si="27"/>
        <v>#N/A</v>
      </c>
      <c r="G206" s="585" t="e">
        <f t="shared" si="23"/>
        <v>#N/A</v>
      </c>
      <c r="H206" s="388"/>
      <c r="I206" s="586"/>
      <c r="J206" s="388"/>
      <c r="K206" s="520">
        <f>'4th Order Polynomial Tmp vs Res'!$I$40*E206^4 + '4th Order Polynomial Tmp vs Res'!$J$40*E206^3 + '4th Order Polynomial Tmp vs Res'!$K$40*E206^2 + '4th Order Polynomial Tmp vs Res'!$L$40*E206 + '4th Order Polynomial Tmp vs Res'!$M$40</f>
        <v>139.75946057703891</v>
      </c>
      <c r="L206" s="520" t="e">
        <f>IF((VLOOKUP(Main!$N$22,Coefficients!$E$2:$H$28,4,FALSE)) = 125, NA(), B206-K206)</f>
        <v>#N/A</v>
      </c>
      <c r="M206" s="388"/>
      <c r="N206" s="388"/>
      <c r="O206" s="388"/>
      <c r="P206" s="388"/>
      <c r="Q206" s="388"/>
      <c r="R206" s="388"/>
      <c r="S206" s="388"/>
      <c r="T206" s="388"/>
    </row>
    <row r="207" spans="1:20" ht="15" x14ac:dyDescent="0.25">
      <c r="A207" s="562">
        <v>184</v>
      </c>
      <c r="B207" s="563">
        <f t="shared" si="25"/>
        <v>143</v>
      </c>
      <c r="C207" s="564" t="e">
        <f t="shared" si="26"/>
        <v>#N/A</v>
      </c>
      <c r="D207" s="564" t="e">
        <f>IF(B207 &lt;= VLOOKUP(Main!$N$22,Coefficients!$E$2:$H$28,4,FALSE),E207,NA())</f>
        <v>#N/A</v>
      </c>
      <c r="E207" s="437">
        <f>'4th Order Polynomial Tmp vs Res'!$B$40+'4th Order Polynomial Tmp vs Res'!$C$40*POWER(B207,1)+'4th Order Polynomial Tmp vs Res'!$D$40*POWER(B207,2)+'4th Order Polynomial Tmp vs Res'!$E$40*POWER(B207,3)+'4th Order Polynomial Tmp vs Res'!$F$40*POWER(B207,4)</f>
        <v>19777.458381582459</v>
      </c>
      <c r="F207" s="564" t="e">
        <f t="shared" si="27"/>
        <v>#N/A</v>
      </c>
      <c r="G207" s="585" t="e">
        <f t="shared" si="23"/>
        <v>#N/A</v>
      </c>
      <c r="H207" s="388"/>
      <c r="I207" s="586"/>
      <c r="J207" s="388"/>
      <c r="K207" s="520">
        <f>'4th Order Polynomial Tmp vs Res'!$I$40*E207^4 + '4th Order Polynomial Tmp vs Res'!$J$40*E207^3 + '4th Order Polynomial Tmp vs Res'!$K$40*E207^2 + '4th Order Polynomial Tmp vs Res'!$L$40*E207 + '4th Order Polynomial Tmp vs Res'!$M$40</f>
        <v>140.53863962887601</v>
      </c>
      <c r="L207" s="520" t="e">
        <f>IF((VLOOKUP(Main!$N$22,Coefficients!$E$2:$H$28,4,FALSE)) = 125, NA(), B207-K207)</f>
        <v>#N/A</v>
      </c>
      <c r="M207" s="388"/>
      <c r="N207" s="388"/>
      <c r="O207" s="388"/>
      <c r="P207" s="388"/>
      <c r="Q207" s="388"/>
      <c r="R207" s="388"/>
      <c r="S207" s="388"/>
      <c r="T207" s="388"/>
    </row>
    <row r="208" spans="1:20" ht="15" x14ac:dyDescent="0.25">
      <c r="A208" s="562">
        <v>185</v>
      </c>
      <c r="B208" s="563">
        <f t="shared" si="25"/>
        <v>144</v>
      </c>
      <c r="C208" s="564" t="e">
        <f t="shared" si="26"/>
        <v>#N/A</v>
      </c>
      <c r="D208" s="564" t="e">
        <f>IF(B208 &lt;= VLOOKUP(Main!$N$22,Coefficients!$E$2:$H$28,4,FALSE),E208,NA())</f>
        <v>#N/A</v>
      </c>
      <c r="E208" s="437">
        <f>'4th Order Polynomial Tmp vs Res'!$B$40+'4th Order Polynomial Tmp vs Res'!$C$40*POWER(B208,1)+'4th Order Polynomial Tmp vs Res'!$D$40*POWER(B208,2)+'4th Order Polynomial Tmp vs Res'!$E$40*POWER(B208,3)+'4th Order Polynomial Tmp vs Res'!$F$40*POWER(B208,4)</f>
        <v>19888.085501510424</v>
      </c>
      <c r="F208" s="564" t="e">
        <f t="shared" si="27"/>
        <v>#N/A</v>
      </c>
      <c r="G208" s="585" t="e">
        <f t="shared" si="23"/>
        <v>#N/A</v>
      </c>
      <c r="H208" s="388"/>
      <c r="I208" s="586"/>
      <c r="J208" s="388"/>
      <c r="K208" s="520">
        <f>'4th Order Polynomial Tmp vs Res'!$I$40*E208^4 + '4th Order Polynomial Tmp vs Res'!$J$40*E208^3 + '4th Order Polynomial Tmp vs Res'!$K$40*E208^2 + '4th Order Polynomial Tmp vs Res'!$L$40*E208 + '4th Order Polynomial Tmp vs Res'!$M$40</f>
        <v>141.30230604275482</v>
      </c>
      <c r="L208" s="520" t="e">
        <f>IF((VLOOKUP(Main!$N$22,Coefficients!$E$2:$H$28,4,FALSE)) = 125, NA(), B208-K208)</f>
        <v>#N/A</v>
      </c>
      <c r="M208" s="388"/>
      <c r="N208" s="388"/>
      <c r="O208" s="388"/>
      <c r="P208" s="388"/>
      <c r="Q208" s="388"/>
      <c r="R208" s="388"/>
      <c r="S208" s="388"/>
      <c r="T208" s="388"/>
    </row>
    <row r="209" spans="1:20" ht="15" x14ac:dyDescent="0.25">
      <c r="A209" s="562">
        <v>186</v>
      </c>
      <c r="B209" s="563">
        <f t="shared" si="25"/>
        <v>145</v>
      </c>
      <c r="C209" s="564" t="e">
        <f t="shared" si="26"/>
        <v>#N/A</v>
      </c>
      <c r="D209" s="564" t="e">
        <f>IF(B209 &lt;= VLOOKUP(Main!$N$22,Coefficients!$E$2:$H$28,4,FALSE),E209,NA())</f>
        <v>#N/A</v>
      </c>
      <c r="E209" s="437">
        <f>'4th Order Polynomial Tmp vs Res'!$B$40+'4th Order Polynomial Tmp vs Res'!$C$40*POWER(B209,1)+'4th Order Polynomial Tmp vs Res'!$D$40*POWER(B209,2)+'4th Order Polynomial Tmp vs Res'!$E$40*POWER(B209,3)+'4th Order Polynomial Tmp vs Res'!$F$40*POWER(B209,4)</f>
        <v>19999.328464824921</v>
      </c>
      <c r="F209" s="564" t="e">
        <f t="shared" si="27"/>
        <v>#N/A</v>
      </c>
      <c r="G209" s="585" t="e">
        <f t="shared" si="23"/>
        <v>#N/A</v>
      </c>
      <c r="H209" s="388"/>
      <c r="I209" s="586"/>
      <c r="J209" s="388"/>
      <c r="K209" s="520">
        <f>'4th Order Polynomial Tmp vs Res'!$I$40*E209^4 + '4th Order Polynomial Tmp vs Res'!$J$40*E209^3 + '4th Order Polynomial Tmp vs Res'!$K$40*E209^2 + '4th Order Polynomial Tmp vs Res'!$L$40*E209 + '4th Order Polynomial Tmp vs Res'!$M$40</f>
        <v>142.04964999093875</v>
      </c>
      <c r="L209" s="520" t="e">
        <f>IF((VLOOKUP(Main!$N$22,Coefficients!$E$2:$H$28,4,FALSE)) = 125, NA(), B209-K209)</f>
        <v>#N/A</v>
      </c>
      <c r="M209" s="388"/>
      <c r="N209" s="388"/>
      <c r="O209" s="388"/>
      <c r="P209" s="388"/>
      <c r="Q209" s="388"/>
      <c r="R209" s="388"/>
      <c r="S209" s="388"/>
      <c r="T209" s="388"/>
    </row>
    <row r="210" spans="1:20" ht="15" x14ac:dyDescent="0.25">
      <c r="A210" s="562">
        <v>187</v>
      </c>
      <c r="B210" s="563">
        <f t="shared" si="25"/>
        <v>146</v>
      </c>
      <c r="C210" s="564" t="e">
        <f t="shared" si="26"/>
        <v>#N/A</v>
      </c>
      <c r="D210" s="564" t="e">
        <f>IF(B210 &lt;= VLOOKUP(Main!$N$22,Coefficients!$E$2:$H$28,4,FALSE),E210,NA())</f>
        <v>#N/A</v>
      </c>
      <c r="E210" s="437">
        <f>'4th Order Polynomial Tmp vs Res'!$B$40+'4th Order Polynomial Tmp vs Res'!$C$40*POWER(B210,1)+'4th Order Polynomial Tmp vs Res'!$D$40*POWER(B210,2)+'4th Order Polynomial Tmp vs Res'!$E$40*POWER(B210,3)+'4th Order Polynomial Tmp vs Res'!$F$40*POWER(B210,4)</f>
        <v>20111.192545026963</v>
      </c>
      <c r="F210" s="564" t="e">
        <f t="shared" si="27"/>
        <v>#N/A</v>
      </c>
      <c r="G210" s="585" t="e">
        <f t="shared" si="23"/>
        <v>#N/A</v>
      </c>
      <c r="H210" s="388"/>
      <c r="I210" s="586"/>
      <c r="J210" s="388"/>
      <c r="K210" s="520">
        <f>'4th Order Polynomial Tmp vs Res'!$I$40*E210^4 + '4th Order Polynomial Tmp vs Res'!$J$40*E210^3 + '4th Order Polynomial Tmp vs Res'!$K$40*E210^2 + '4th Order Polynomial Tmp vs Res'!$L$40*E210 + '4th Order Polynomial Tmp vs Res'!$M$40</f>
        <v>142.77982828420681</v>
      </c>
      <c r="L210" s="520" t="e">
        <f>IF((VLOOKUP(Main!$N$22,Coefficients!$E$2:$H$28,4,FALSE)) = 125, NA(), B210-K210)</f>
        <v>#N/A</v>
      </c>
      <c r="M210" s="388"/>
      <c r="N210" s="388"/>
      <c r="O210" s="388"/>
      <c r="P210" s="388"/>
      <c r="Q210" s="388"/>
      <c r="R210" s="388"/>
      <c r="S210" s="388"/>
      <c r="T210" s="388"/>
    </row>
    <row r="211" spans="1:20" ht="15" x14ac:dyDescent="0.25">
      <c r="A211" s="562">
        <v>188</v>
      </c>
      <c r="B211" s="563">
        <f t="shared" si="25"/>
        <v>147</v>
      </c>
      <c r="C211" s="564" t="e">
        <f t="shared" si="26"/>
        <v>#N/A</v>
      </c>
      <c r="D211" s="564" t="e">
        <f>IF(B211 &lt;= VLOOKUP(Main!$N$22,Coefficients!$E$2:$H$28,4,FALSE),E211,NA())</f>
        <v>#N/A</v>
      </c>
      <c r="E211" s="437">
        <f>'4th Order Polynomial Tmp vs Res'!$B$40+'4th Order Polynomial Tmp vs Res'!$C$40*POWER(B211,1)+'4th Order Polynomial Tmp vs Res'!$D$40*POWER(B211,2)+'4th Order Polynomial Tmp vs Res'!$E$40*POWER(B211,3)+'4th Order Polynomial Tmp vs Res'!$F$40*POWER(B211,4)</f>
        <v>20223.683058868992</v>
      </c>
      <c r="F211" s="564" t="e">
        <f t="shared" si="27"/>
        <v>#N/A</v>
      </c>
      <c r="G211" s="585" t="e">
        <f t="shared" si="23"/>
        <v>#N/A</v>
      </c>
      <c r="H211" s="388"/>
      <c r="I211" s="586"/>
      <c r="J211" s="388"/>
      <c r="K211" s="520">
        <f>'4th Order Polynomial Tmp vs Res'!$I$40*E211^4 + '4th Order Polynomial Tmp vs Res'!$J$40*E211^3 + '4th Order Polynomial Tmp vs Res'!$K$40*E211^2 + '4th Order Polynomial Tmp vs Res'!$L$40*E211 + '4th Order Polynomial Tmp vs Res'!$M$40</f>
        <v>143.49196318658289</v>
      </c>
      <c r="L211" s="520" t="e">
        <f>IF((VLOOKUP(Main!$N$22,Coefficients!$E$2:$H$28,4,FALSE)) = 125, NA(), B211-K211)</f>
        <v>#N/A</v>
      </c>
      <c r="M211" s="388"/>
      <c r="N211" s="388"/>
      <c r="O211" s="388"/>
      <c r="P211" s="388"/>
      <c r="Q211" s="388"/>
      <c r="R211" s="388"/>
      <c r="S211" s="388"/>
      <c r="T211" s="388"/>
    </row>
    <row r="212" spans="1:20" ht="15" x14ac:dyDescent="0.25">
      <c r="A212" s="562">
        <v>189</v>
      </c>
      <c r="B212" s="563">
        <f t="shared" si="25"/>
        <v>148</v>
      </c>
      <c r="C212" s="564" t="e">
        <f t="shared" si="26"/>
        <v>#N/A</v>
      </c>
      <c r="D212" s="564" t="e">
        <f>IF(B212 &lt;= VLOOKUP(Main!$N$22,Coefficients!$E$2:$H$28,4,FALSE),E212,NA())</f>
        <v>#N/A</v>
      </c>
      <c r="E212" s="437">
        <f>'4th Order Polynomial Tmp vs Res'!$B$40+'4th Order Polynomial Tmp vs Res'!$C$40*POWER(B212,1)+'4th Order Polynomial Tmp vs Res'!$D$40*POWER(B212,2)+'4th Order Polynomial Tmp vs Res'!$E$40*POWER(B212,3)+'4th Order Polynomial Tmp vs Res'!$F$40*POWER(B212,4)</f>
        <v>20336.805366354896</v>
      </c>
      <c r="F212" s="564" t="e">
        <f t="shared" si="27"/>
        <v>#N/A</v>
      </c>
      <c r="G212" s="585" t="e">
        <f t="shared" si="23"/>
        <v>#N/A</v>
      </c>
      <c r="H212" s="388"/>
      <c r="I212" s="586"/>
      <c r="J212" s="388"/>
      <c r="K212" s="520">
        <f>'4th Order Polynomial Tmp vs Res'!$I$40*E212^4 + '4th Order Polynomial Tmp vs Res'!$J$40*E212^3 + '4th Order Polynomial Tmp vs Res'!$K$40*E212^2 + '4th Order Polynomial Tmp vs Res'!$L$40*E212 + '4th Order Polynomial Tmp vs Res'!$M$40</f>
        <v>144.18514119053418</v>
      </c>
      <c r="L212" s="520" t="e">
        <f>IF((VLOOKUP(Main!$N$22,Coefficients!$E$2:$H$28,4,FALSE)) = 125, NA(), B212-K212)</f>
        <v>#N/A</v>
      </c>
      <c r="M212" s="388"/>
      <c r="N212" s="388"/>
      <c r="O212" s="388"/>
      <c r="P212" s="388"/>
      <c r="Q212" s="388"/>
      <c r="R212" s="388"/>
      <c r="S212" s="388"/>
      <c r="T212" s="388"/>
    </row>
    <row r="213" spans="1:20" ht="15" x14ac:dyDescent="0.25">
      <c r="A213" s="562">
        <v>190</v>
      </c>
      <c r="B213" s="563">
        <f t="shared" si="25"/>
        <v>149</v>
      </c>
      <c r="C213" s="564" t="e">
        <f t="shared" si="26"/>
        <v>#N/A</v>
      </c>
      <c r="D213" s="564" t="e">
        <f>IF(B213 &lt;= VLOOKUP(Main!$N$22,Coefficients!$E$2:$H$28,4,FALSE),E213,NA())</f>
        <v>#N/A</v>
      </c>
      <c r="E213" s="437">
        <f>'4th Order Polynomial Tmp vs Res'!$B$40+'4th Order Polynomial Tmp vs Res'!$C$40*POWER(B213,1)+'4th Order Polynomial Tmp vs Res'!$D$40*POWER(B213,2)+'4th Order Polynomial Tmp vs Res'!$E$40*POWER(B213,3)+'4th Order Polynomial Tmp vs Res'!$F$40*POWER(B213,4)</f>
        <v>20450.564870740011</v>
      </c>
      <c r="F213" s="564" t="e">
        <f t="shared" si="27"/>
        <v>#N/A</v>
      </c>
      <c r="G213" s="585" t="e">
        <f t="shared" si="23"/>
        <v>#N/A</v>
      </c>
      <c r="H213" s="388"/>
      <c r="I213" s="586"/>
      <c r="J213" s="388"/>
      <c r="K213" s="520">
        <f>'4th Order Polynomial Tmp vs Res'!$I$40*E213^4 + '4th Order Polynomial Tmp vs Res'!$J$40*E213^3 + '4th Order Polynomial Tmp vs Res'!$K$40*E213^2 + '4th Order Polynomial Tmp vs Res'!$L$40*E213 + '4th Order Polynomial Tmp vs Res'!$M$40</f>
        <v>144.85841175137045</v>
      </c>
      <c r="L213" s="520" t="e">
        <f>IF((VLOOKUP(Main!$N$22,Coefficients!$E$2:$H$28,4,FALSE)) = 125, NA(), B213-K213)</f>
        <v>#N/A</v>
      </c>
      <c r="M213" s="388"/>
      <c r="N213" s="388"/>
      <c r="O213" s="388"/>
      <c r="P213" s="388"/>
      <c r="Q213" s="388"/>
      <c r="R213" s="388"/>
      <c r="S213" s="388"/>
      <c r="T213" s="388"/>
    </row>
    <row r="214" spans="1:20" ht="15" x14ac:dyDescent="0.25">
      <c r="A214" s="562">
        <v>191</v>
      </c>
      <c r="B214" s="563">
        <f t="shared" si="25"/>
        <v>150</v>
      </c>
      <c r="C214" s="564" t="e">
        <f t="shared" si="26"/>
        <v>#N/A</v>
      </c>
      <c r="D214" s="564" t="e">
        <f>IF(B214 &lt;= VLOOKUP(Main!$N$22,Coefficients!$E$2:$H$28,4,FALSE),E214,NA())</f>
        <v>#N/A</v>
      </c>
      <c r="E214" s="437">
        <f>'4th Order Polynomial Tmp vs Res'!$B$40+'4th Order Polynomial Tmp vs Res'!$C$40*POWER(B214,1)+'4th Order Polynomial Tmp vs Res'!$D$40*POWER(B214,2)+'4th Order Polynomial Tmp vs Res'!$E$40*POWER(B214,3)+'4th Order Polynomial Tmp vs Res'!$F$40*POWER(B214,4)</f>
        <v>20564.967018531104</v>
      </c>
      <c r="F214" s="564" t="e">
        <f t="shared" si="27"/>
        <v>#N/A</v>
      </c>
      <c r="G214" s="585" t="e">
        <f t="shared" si="23"/>
        <v>#N/A</v>
      </c>
      <c r="H214" s="388"/>
      <c r="I214" s="586"/>
      <c r="J214" s="388"/>
      <c r="K214" s="520">
        <f>'4th Order Polynomial Tmp vs Res'!$I$40*E214^4 + '4th Order Polynomial Tmp vs Res'!$J$40*E214^3 + '4th Order Polynomial Tmp vs Res'!$K$40*E214^2 + '4th Order Polynomial Tmp vs Res'!$L$40*E214 + '4th Order Polynomial Tmp vs Res'!$M$40</f>
        <v>145.51078597954802</v>
      </c>
      <c r="L214" s="520" t="e">
        <f>IF((VLOOKUP(Main!$N$22,Coefficients!$E$2:$H$28,4,FALSE)) = 125, NA(), B214-K214)</f>
        <v>#N/A</v>
      </c>
      <c r="M214" s="388"/>
      <c r="N214" s="388"/>
      <c r="O214" s="388"/>
      <c r="P214" s="388"/>
      <c r="Q214" s="388"/>
      <c r="R214" s="388"/>
      <c r="S214" s="388"/>
      <c r="T214" s="388"/>
    </row>
    <row r="215" spans="1:20" s="253" customFormat="1" ht="15" x14ac:dyDescent="0.25">
      <c r="A215" s="562">
        <v>192</v>
      </c>
      <c r="B215" s="563">
        <f t="shared" si="25"/>
        <v>151</v>
      </c>
      <c r="C215" s="564" t="e">
        <f>IFERROR(D215*0.975,NA())</f>
        <v>#N/A</v>
      </c>
      <c r="D215" s="564" t="e">
        <f>IF(B215 &lt;= VLOOKUP(Main!$N$22,Coefficients!$E$2:$H$28,4,FALSE),E215,NA())</f>
        <v>#N/A</v>
      </c>
      <c r="E215" s="437">
        <f>'4th Order Polynomial Tmp vs Res'!$B$40+'4th Order Polynomial Tmp vs Res'!$C$40*POWER(B215,1)+'4th Order Polynomial Tmp vs Res'!$D$40*POWER(B215,2)+'4th Order Polynomial Tmp vs Res'!$E$40*POWER(B215,3)+'4th Order Polynomial Tmp vs Res'!$F$40*POWER(B215,4)</f>
        <v>20680.017299486386</v>
      </c>
      <c r="F215" s="564" t="e">
        <f>IFERROR(D215*1.025,NA())</f>
        <v>#N/A</v>
      </c>
      <c r="G215" s="585" t="e">
        <f t="shared" si="23"/>
        <v>#N/A</v>
      </c>
      <c r="H215" s="388"/>
      <c r="I215" s="586"/>
      <c r="J215" s="520"/>
      <c r="K215" s="520">
        <f>'4th Order Polynomial Tmp vs Res'!$I$40*E215^4 + '4th Order Polynomial Tmp vs Res'!$J$40*E215^3 + '4th Order Polynomial Tmp vs Res'!$K$40*E215^2 + '4th Order Polynomial Tmp vs Res'!$L$40*E215 + '4th Order Polynomial Tmp vs Res'!$M$40</f>
        <v>146.14123528953371</v>
      </c>
      <c r="L215" s="520" t="e">
        <f>IF((VLOOKUP(Main!$N$22,Coefficients!$E$2:$H$28,4,FALSE)) = 125, NA(), B215-K215)</f>
        <v>#N/A</v>
      </c>
      <c r="M215" s="388"/>
      <c r="N215" s="388"/>
      <c r="O215" s="388"/>
      <c r="P215" s="388"/>
      <c r="Q215" s="388"/>
      <c r="R215" s="388"/>
      <c r="S215" s="388"/>
      <c r="T215" s="388"/>
    </row>
    <row r="216" spans="1:20" ht="15" x14ac:dyDescent="0.25">
      <c r="A216" s="562">
        <v>193</v>
      </c>
      <c r="B216" s="563">
        <f t="shared" si="25"/>
        <v>152</v>
      </c>
      <c r="C216" s="564" t="e">
        <f t="shared" ref="C216:C234" si="29">IFERROR(D216*0.975,NA())</f>
        <v>#N/A</v>
      </c>
      <c r="D216" s="564" t="e">
        <f>IF(B216 &lt;= VLOOKUP(Main!$N$22,Coefficients!$E$2:$H$28,4,FALSE),E216,NA())</f>
        <v>#N/A</v>
      </c>
      <c r="E216" s="437">
        <f>'4th Order Polynomial Tmp vs Res'!$B$40+'4th Order Polynomial Tmp vs Res'!$C$40*POWER(B216,1)+'4th Order Polynomial Tmp vs Res'!$D$40*POWER(B216,2)+'4th Order Polynomial Tmp vs Res'!$E$40*POWER(B216,3)+'4th Order Polynomial Tmp vs Res'!$F$40*POWER(B216,4)</f>
        <v>20795.721246615518</v>
      </c>
      <c r="F216" s="564" t="e">
        <f t="shared" ref="F216:F234" si="30">IFERROR(D216*1.025,NA())</f>
        <v>#N/A</v>
      </c>
      <c r="G216" s="585" t="e">
        <f t="shared" ref="G216:G239" si="31">IFERROR(D216*(($B$18/1000000)),NA())</f>
        <v>#N/A</v>
      </c>
      <c r="H216" s="388"/>
      <c r="I216" s="388"/>
      <c r="J216" s="388"/>
      <c r="K216" s="520">
        <f>'4th Order Polynomial Tmp vs Res'!$I$40*E216^4 + '4th Order Polynomial Tmp vs Res'!$J$40*E216^3 + '4th Order Polynomial Tmp vs Res'!$K$40*E216^2 + '4th Order Polynomial Tmp vs Res'!$L$40*E216 + '4th Order Polynomial Tmp vs Res'!$M$40</f>
        <v>146.74869000385263</v>
      </c>
      <c r="L216" s="520" t="e">
        <f>IF((VLOOKUP(Main!$N$22,Coefficients!$E$2:$H$28,4,FALSE)) = 125, NA(), B216-K216)</f>
        <v>#N/A</v>
      </c>
      <c r="M216" s="388"/>
      <c r="N216" s="388"/>
      <c r="O216" s="388"/>
      <c r="P216" s="388"/>
      <c r="Q216" s="388"/>
      <c r="R216" s="388"/>
      <c r="S216" s="388"/>
      <c r="T216" s="388"/>
    </row>
    <row r="217" spans="1:20" s="253" customFormat="1" ht="15" x14ac:dyDescent="0.25">
      <c r="A217" s="562">
        <v>194</v>
      </c>
      <c r="B217" s="563">
        <f t="shared" si="25"/>
        <v>153</v>
      </c>
      <c r="C217" s="564" t="e">
        <f t="shared" si="29"/>
        <v>#N/A</v>
      </c>
      <c r="D217" s="564" t="e">
        <f>IF(B217 &lt;= VLOOKUP(Main!$N$22,Coefficients!$E$2:$H$28,4,FALSE),E217,NA())</f>
        <v>#N/A</v>
      </c>
      <c r="E217" s="437">
        <f>'4th Order Polynomial Tmp vs Res'!$B$40+'4th Order Polynomial Tmp vs Res'!$C$40*POWER(B217,1)+'4th Order Polynomial Tmp vs Res'!$D$40*POWER(B217,2)+'4th Order Polynomial Tmp vs Res'!$E$40*POWER(B217,3)+'4th Order Polynomial Tmp vs Res'!$F$40*POWER(B217,4)</f>
        <v>20912.084436179586</v>
      </c>
      <c r="F217" s="564" t="e">
        <f t="shared" si="30"/>
        <v>#N/A</v>
      </c>
      <c r="G217" s="585" t="e">
        <f t="shared" si="31"/>
        <v>#N/A</v>
      </c>
      <c r="H217" s="388"/>
      <c r="I217" s="388"/>
      <c r="J217" s="388"/>
      <c r="K217" s="520">
        <f>'4th Order Polynomial Tmp vs Res'!$I$40*E217^4 + '4th Order Polynomial Tmp vs Res'!$J$40*E217^3 + '4th Order Polynomial Tmp vs Res'!$K$40*E217^2 + '4th Order Polynomial Tmp vs Res'!$L$40*E217 + '4th Order Polynomial Tmp vs Res'!$M$40</f>
        <v>147.33203791089113</v>
      </c>
      <c r="L217" s="520" t="e">
        <f>IF((VLOOKUP(Main!$N$22,Coefficients!$E$2:$H$28,4,FALSE)) = 125, NA(), B217-K217)</f>
        <v>#N/A</v>
      </c>
      <c r="M217" s="388"/>
      <c r="N217" s="388"/>
      <c r="O217" s="388"/>
      <c r="P217" s="388"/>
      <c r="Q217" s="388"/>
      <c r="R217" s="388"/>
      <c r="S217" s="388"/>
      <c r="T217" s="388"/>
    </row>
    <row r="218" spans="1:20" s="253" customFormat="1" ht="15" x14ac:dyDescent="0.25">
      <c r="A218" s="562">
        <v>195</v>
      </c>
      <c r="B218" s="563">
        <f t="shared" ref="B218:B234" si="32">B217+1</f>
        <v>154</v>
      </c>
      <c r="C218" s="564" t="e">
        <f t="shared" si="29"/>
        <v>#N/A</v>
      </c>
      <c r="D218" s="564" t="e">
        <f>IF(B218 &lt;= VLOOKUP(Main!$N$22,Coefficients!$E$2:$H$28,4,FALSE),E218,NA())</f>
        <v>#N/A</v>
      </c>
      <c r="E218" s="437">
        <f>'4th Order Polynomial Tmp vs Res'!$B$40+'4th Order Polynomial Tmp vs Res'!$C$40*POWER(B218,1)+'4th Order Polynomial Tmp vs Res'!$D$40*POWER(B218,2)+'4th Order Polynomial Tmp vs Res'!$E$40*POWER(B218,3)+'4th Order Polynomial Tmp vs Res'!$F$40*POWER(B218,4)</f>
        <v>21029.112487691145</v>
      </c>
      <c r="F218" s="564" t="e">
        <f t="shared" si="30"/>
        <v>#N/A</v>
      </c>
      <c r="G218" s="585" t="e">
        <f t="shared" si="31"/>
        <v>#N/A</v>
      </c>
      <c r="H218" s="388"/>
      <c r="I218" s="388"/>
      <c r="J218" s="388"/>
      <c r="K218" s="520">
        <f>'4th Order Polynomial Tmp vs Res'!$I$40*E218^4 + '4th Order Polynomial Tmp vs Res'!$J$40*E218^3 + '4th Order Polynomial Tmp vs Res'!$K$40*E218^2 + '4th Order Polynomial Tmp vs Res'!$L$40*E218 + '4th Order Polynomial Tmp vs Res'!$M$40</f>
        <v>147.89012277499523</v>
      </c>
      <c r="L218" s="520" t="e">
        <f>IF((VLOOKUP(Main!$N$22,Coefficients!$E$2:$H$28,4,FALSE)) = 125, NA(), B218-K218)</f>
        <v>#N/A</v>
      </c>
      <c r="M218" s="388"/>
      <c r="N218" s="388"/>
      <c r="O218" s="388"/>
      <c r="P218" s="388"/>
      <c r="Q218" s="388"/>
      <c r="R218" s="388"/>
      <c r="S218" s="388"/>
      <c r="T218" s="388"/>
    </row>
    <row r="219" spans="1:20" s="253" customFormat="1" ht="15" x14ac:dyDescent="0.25">
      <c r="A219" s="562">
        <v>196</v>
      </c>
      <c r="B219" s="563">
        <f t="shared" si="32"/>
        <v>155</v>
      </c>
      <c r="C219" s="564" t="e">
        <f t="shared" si="29"/>
        <v>#N/A</v>
      </c>
      <c r="D219" s="564" t="e">
        <f>IF(B219 &lt;= VLOOKUP(Main!$N$22,Coefficients!$E$2:$H$28,4,FALSE),E219,NA())</f>
        <v>#N/A</v>
      </c>
      <c r="E219" s="437">
        <f>'4th Order Polynomial Tmp vs Res'!$B$40+'4th Order Polynomial Tmp vs Res'!$C$40*POWER(B219,1)+'4th Order Polynomial Tmp vs Res'!$D$40*POWER(B219,2)+'4th Order Polynomial Tmp vs Res'!$E$40*POWER(B219,3)+'4th Order Polynomial Tmp vs Res'!$F$40*POWER(B219,4)</f>
        <v>21146.81106391416</v>
      </c>
      <c r="F219" s="564" t="e">
        <f t="shared" si="30"/>
        <v>#N/A</v>
      </c>
      <c r="G219" s="585" t="e">
        <f t="shared" si="31"/>
        <v>#N/A</v>
      </c>
      <c r="H219" s="388"/>
      <c r="I219" s="388"/>
      <c r="J219" s="388"/>
      <c r="K219" s="520">
        <f>'4th Order Polynomial Tmp vs Res'!$I$40*E219^4 + '4th Order Polynomial Tmp vs Res'!$J$40*E219^3 + '4th Order Polynomial Tmp vs Res'!$K$40*E219^2 + '4th Order Polynomial Tmp vs Res'!$L$40*E219 + '4th Order Polynomial Tmp vs Res'!$M$40</f>
        <v>148.42174279735127</v>
      </c>
      <c r="L219" s="520" t="e">
        <f>IF((VLOOKUP(Main!$N$22,Coefficients!$E$2:$H$28,4,FALSE)) = 125, NA(), B219-K219)</f>
        <v>#N/A</v>
      </c>
      <c r="M219" s="388"/>
      <c r="N219" s="388"/>
      <c r="O219" s="388"/>
      <c r="P219" s="388"/>
      <c r="Q219" s="388"/>
      <c r="R219" s="388"/>
      <c r="S219" s="388"/>
      <c r="T219" s="388"/>
    </row>
    <row r="220" spans="1:20" s="253" customFormat="1" ht="15" x14ac:dyDescent="0.25">
      <c r="A220" s="562">
        <v>197</v>
      </c>
      <c r="B220" s="563">
        <f t="shared" si="32"/>
        <v>156</v>
      </c>
      <c r="C220" s="564" t="e">
        <f t="shared" si="29"/>
        <v>#N/A</v>
      </c>
      <c r="D220" s="564" t="e">
        <f>IF(B220 &lt;= VLOOKUP(Main!$N$22,Coefficients!$E$2:$H$28,4,FALSE),E220,NA())</f>
        <v>#N/A</v>
      </c>
      <c r="E220" s="437">
        <f>'4th Order Polynomial Tmp vs Res'!$B$40+'4th Order Polynomial Tmp vs Res'!$C$40*POWER(B220,1)+'4th Order Polynomial Tmp vs Res'!$D$40*POWER(B220,2)+'4th Order Polynomial Tmp vs Res'!$E$40*POWER(B220,3)+'4th Order Polynomial Tmp vs Res'!$F$40*POWER(B220,4)</f>
        <v>21265.185870864047</v>
      </c>
      <c r="F220" s="564" t="e">
        <f t="shared" si="30"/>
        <v>#N/A</v>
      </c>
      <c r="G220" s="585" t="e">
        <f t="shared" si="31"/>
        <v>#N/A</v>
      </c>
      <c r="H220" s="388"/>
      <c r="I220" s="388"/>
      <c r="J220" s="388"/>
      <c r="K220" s="520">
        <f>'4th Order Polynomial Tmp vs Res'!$I$40*E220^4 + '4th Order Polynomial Tmp vs Res'!$J$40*E220^3 + '4th Order Polynomial Tmp vs Res'!$K$40*E220^2 + '4th Order Polynomial Tmp vs Res'!$L$40*E220 + '4th Order Polynomial Tmp vs Res'!$M$40</f>
        <v>148.92564902609411</v>
      </c>
      <c r="L220" s="520" t="e">
        <f>IF((VLOOKUP(Main!$N$22,Coefficients!$E$2:$H$28,4,FALSE)) = 125, NA(), B220-K220)</f>
        <v>#N/A</v>
      </c>
      <c r="M220" s="388"/>
      <c r="N220" s="388"/>
      <c r="O220" s="388"/>
      <c r="P220" s="388"/>
      <c r="Q220" s="388"/>
      <c r="R220" s="388"/>
      <c r="S220" s="388"/>
      <c r="T220" s="388"/>
    </row>
    <row r="221" spans="1:20" s="253" customFormat="1" ht="15" x14ac:dyDescent="0.25">
      <c r="A221" s="562">
        <v>198</v>
      </c>
      <c r="B221" s="563">
        <f t="shared" si="32"/>
        <v>157</v>
      </c>
      <c r="C221" s="564" t="e">
        <f t="shared" si="29"/>
        <v>#N/A</v>
      </c>
      <c r="D221" s="564" t="e">
        <f>IF(B221 &lt;= VLOOKUP(Main!$N$22,Coefficients!$E$2:$H$28,4,FALSE),E221,NA())</f>
        <v>#N/A</v>
      </c>
      <c r="E221" s="437">
        <f>'4th Order Polynomial Tmp vs Res'!$B$40+'4th Order Polynomial Tmp vs Res'!$C$40*POWER(B221,1)+'4th Order Polynomial Tmp vs Res'!$D$40*POWER(B221,2)+'4th Order Polynomial Tmp vs Res'!$E$40*POWER(B221,3)+'4th Order Polynomial Tmp vs Res'!$F$40*POWER(B221,4)</f>
        <v>21384.242657807674</v>
      </c>
      <c r="F221" s="564" t="e">
        <f t="shared" si="30"/>
        <v>#N/A</v>
      </c>
      <c r="G221" s="585" t="e">
        <f t="shared" si="31"/>
        <v>#N/A</v>
      </c>
      <c r="H221" s="388"/>
      <c r="I221" s="388"/>
      <c r="J221" s="388"/>
      <c r="K221" s="520">
        <f>'4th Order Polynomial Tmp vs Res'!$I$40*E221^4 + '4th Order Polynomial Tmp vs Res'!$J$40*E221^3 + '4th Order Polynomial Tmp vs Res'!$K$40*E221^2 + '4th Order Polynomial Tmp vs Res'!$L$40*E221 + '4th Order Polynomial Tmp vs Res'!$M$40</f>
        <v>149.40054371404688</v>
      </c>
      <c r="L221" s="520" t="e">
        <f>IF((VLOOKUP(Main!$N$22,Coefficients!$E$2:$H$28,4,FALSE)) = 125, NA(), B221-K221)</f>
        <v>#N/A</v>
      </c>
      <c r="M221" s="388"/>
      <c r="N221" s="388"/>
      <c r="O221" s="388"/>
      <c r="P221" s="388"/>
      <c r="Q221" s="388"/>
      <c r="R221" s="388"/>
      <c r="S221" s="388"/>
      <c r="T221" s="388"/>
    </row>
    <row r="222" spans="1:20" s="253" customFormat="1" ht="15" x14ac:dyDescent="0.25">
      <c r="A222" s="562">
        <v>199</v>
      </c>
      <c r="B222" s="563">
        <f t="shared" si="32"/>
        <v>158</v>
      </c>
      <c r="C222" s="564" t="e">
        <f t="shared" si="29"/>
        <v>#N/A</v>
      </c>
      <c r="D222" s="564" t="e">
        <f>IF(B222 &lt;= VLOOKUP(Main!$N$22,Coefficients!$E$2:$H$28,4,FALSE),E222,NA())</f>
        <v>#N/A</v>
      </c>
      <c r="E222" s="437">
        <f>'4th Order Polynomial Tmp vs Res'!$B$40+'4th Order Polynomial Tmp vs Res'!$C$40*POWER(B222,1)+'4th Order Polynomial Tmp vs Res'!$D$40*POWER(B222,2)+'4th Order Polynomial Tmp vs Res'!$E$40*POWER(B222,3)+'4th Order Polynomial Tmp vs Res'!$F$40*POWER(B222,4)</f>
        <v>21503.98721726334</v>
      </c>
      <c r="F222" s="564" t="e">
        <f t="shared" si="30"/>
        <v>#N/A</v>
      </c>
      <c r="G222" s="585" t="e">
        <f t="shared" si="31"/>
        <v>#N/A</v>
      </c>
      <c r="H222" s="388"/>
      <c r="I222" s="388"/>
      <c r="J222" s="388"/>
      <c r="K222" s="520">
        <f>'4th Order Polynomial Tmp vs Res'!$I$40*E222^4 + '4th Order Polynomial Tmp vs Res'!$J$40*E222^3 + '4th Order Polynomial Tmp vs Res'!$K$40*E222^2 + '4th Order Polynomial Tmp vs Res'!$L$40*E222 + '4th Order Polynomial Tmp vs Res'!$M$40</f>
        <v>149.84507862243561</v>
      </c>
      <c r="L222" s="520" t="e">
        <f>IF((VLOOKUP(Main!$N$22,Coefficients!$E$2:$H$28,4,FALSE)) = 125, NA(), B222-K222)</f>
        <v>#N/A</v>
      </c>
      <c r="M222" s="388"/>
      <c r="N222" s="388"/>
      <c r="O222" s="388"/>
      <c r="P222" s="388"/>
      <c r="Q222" s="388"/>
      <c r="R222" s="388"/>
      <c r="S222" s="388"/>
      <c r="T222" s="388"/>
    </row>
    <row r="223" spans="1:20" s="253" customFormat="1" ht="15" x14ac:dyDescent="0.25">
      <c r="A223" s="562">
        <v>200</v>
      </c>
      <c r="B223" s="563">
        <f t="shared" si="32"/>
        <v>159</v>
      </c>
      <c r="C223" s="564" t="e">
        <f t="shared" si="29"/>
        <v>#N/A</v>
      </c>
      <c r="D223" s="564" t="e">
        <f>IF(B223 &lt;= VLOOKUP(Main!$N$22,Coefficients!$E$2:$H$28,4,FALSE),E223,NA())</f>
        <v>#N/A</v>
      </c>
      <c r="E223" s="437">
        <f>'4th Order Polynomial Tmp vs Res'!$B$40+'4th Order Polynomial Tmp vs Res'!$C$40*POWER(B223,1)+'4th Order Polynomial Tmp vs Res'!$D$40*POWER(B223,2)+'4th Order Polynomial Tmp vs Res'!$E$40*POWER(B223,3)+'4th Order Polynomial Tmp vs Res'!$F$40*POWER(B223,4)</f>
        <v>21624.425385000792</v>
      </c>
      <c r="F223" s="564" t="e">
        <f t="shared" si="30"/>
        <v>#N/A</v>
      </c>
      <c r="G223" s="585" t="e">
        <f t="shared" si="31"/>
        <v>#N/A</v>
      </c>
      <c r="H223" s="388"/>
      <c r="I223" s="388"/>
      <c r="J223" s="388"/>
      <c r="K223" s="520">
        <f>'4th Order Polynomial Tmp vs Res'!$I$40*E223^4 + '4th Order Polynomial Tmp vs Res'!$J$40*E223^3 + '4th Order Polynomial Tmp vs Res'!$K$40*E223^2 + '4th Order Polynomial Tmp vs Res'!$L$40*E223 + '4th Order Polynomial Tmp vs Res'!$M$40</f>
        <v>150.25785326888433</v>
      </c>
      <c r="L223" s="520" t="e">
        <f>IF((VLOOKUP(Main!$N$22,Coefficients!$E$2:$H$28,4,FALSE)) = 125, NA(), B223-K223)</f>
        <v>#N/A</v>
      </c>
      <c r="M223" s="388"/>
      <c r="N223" s="388"/>
      <c r="O223" s="388"/>
      <c r="P223" s="388"/>
      <c r="Q223" s="388"/>
      <c r="R223" s="388"/>
      <c r="S223" s="388"/>
      <c r="T223" s="388"/>
    </row>
    <row r="224" spans="1:20" s="253" customFormat="1" ht="15" x14ac:dyDescent="0.25">
      <c r="A224" s="562">
        <v>201</v>
      </c>
      <c r="B224" s="563">
        <f t="shared" si="32"/>
        <v>160</v>
      </c>
      <c r="C224" s="564" t="e">
        <f t="shared" si="29"/>
        <v>#N/A</v>
      </c>
      <c r="D224" s="564" t="e">
        <f>IF(B224 &lt;= VLOOKUP(Main!$N$22,Coefficients!$E$2:$H$28,4,FALSE),E224,NA())</f>
        <v>#N/A</v>
      </c>
      <c r="E224" s="437">
        <f>'4th Order Polynomial Tmp vs Res'!$B$40+'4th Order Polynomial Tmp vs Res'!$C$40*POWER(B224,1)+'4th Order Polynomial Tmp vs Res'!$D$40*POWER(B224,2)+'4th Order Polynomial Tmp vs Res'!$E$40*POWER(B224,3)+'4th Order Polynomial Tmp vs Res'!$F$40*POWER(B224,4)</f>
        <v>21745.563040041208</v>
      </c>
      <c r="F224" s="564" t="e">
        <f t="shared" si="30"/>
        <v>#N/A</v>
      </c>
      <c r="G224" s="585" t="e">
        <f t="shared" si="31"/>
        <v>#N/A</v>
      </c>
      <c r="H224" s="388"/>
      <c r="I224" s="388"/>
      <c r="J224" s="388"/>
      <c r="K224" s="520">
        <f>'4th Order Polynomial Tmp vs Res'!$I$40*E224^4 + '4th Order Polynomial Tmp vs Res'!$J$40*E224^3 + '4th Order Polynomial Tmp vs Res'!$K$40*E224^2 + '4th Order Polynomial Tmp vs Res'!$L$40*E224 + '4th Order Polynomial Tmp vs Res'!$M$40</f>
        <v>150.63741311794399</v>
      </c>
      <c r="L224" s="520" t="e">
        <f>IF((VLOOKUP(Main!$N$22,Coefficients!$E$2:$H$28,4,FALSE)) = 125, NA(), B224-K224)</f>
        <v>#N/A</v>
      </c>
      <c r="M224" s="388"/>
      <c r="N224" s="388"/>
      <c r="O224" s="388"/>
      <c r="P224" s="388"/>
      <c r="Q224" s="388"/>
      <c r="R224" s="388"/>
      <c r="S224" s="388"/>
      <c r="T224" s="388"/>
    </row>
    <row r="225" spans="1:20" s="253" customFormat="1" ht="15" x14ac:dyDescent="0.25">
      <c r="A225" s="562">
        <v>202</v>
      </c>
      <c r="B225" s="563">
        <f t="shared" si="32"/>
        <v>161</v>
      </c>
      <c r="C225" s="564" t="e">
        <f t="shared" si="29"/>
        <v>#N/A</v>
      </c>
      <c r="D225" s="564" t="e">
        <f>IF(B225 &lt;= VLOOKUP(Main!$N$22,Coefficients!$E$2:$H$28,4,FALSE),E225,NA())</f>
        <v>#N/A</v>
      </c>
      <c r="E225" s="437">
        <f>'4th Order Polynomial Tmp vs Res'!$B$40+'4th Order Polynomial Tmp vs Res'!$C$40*POWER(B225,1)+'4th Order Polynomial Tmp vs Res'!$D$40*POWER(B225,2)+'4th Order Polynomial Tmp vs Res'!$E$40*POWER(B225,3)+'4th Order Polynomial Tmp vs Res'!$F$40*POWER(B225,4)</f>
        <v>21867.406104657217</v>
      </c>
      <c r="F225" s="564" t="e">
        <f t="shared" si="30"/>
        <v>#N/A</v>
      </c>
      <c r="G225" s="585" t="e">
        <f t="shared" si="31"/>
        <v>#N/A</v>
      </c>
      <c r="H225" s="388"/>
      <c r="I225" s="388"/>
      <c r="J225" s="388"/>
      <c r="K225" s="520">
        <f>'4th Order Polynomial Tmp vs Res'!$I$40*E225^4 + '4th Order Polynomial Tmp vs Res'!$J$40*E225^3 + '4th Order Polynomial Tmp vs Res'!$K$40*E225^2 + '4th Order Polynomial Tmp vs Res'!$L$40*E225 + '4th Order Polynomial Tmp vs Res'!$M$40</f>
        <v>150.98224771234743</v>
      </c>
      <c r="L225" s="520" t="e">
        <f>IF((VLOOKUP(Main!$N$22,Coefficients!$E$2:$H$28,4,FALSE)) = 125, NA(), B225-K225)</f>
        <v>#N/A</v>
      </c>
      <c r="M225" s="388"/>
      <c r="N225" s="388"/>
      <c r="O225" s="388"/>
      <c r="P225" s="388"/>
      <c r="Q225" s="388"/>
      <c r="R225" s="388"/>
      <c r="S225" s="388"/>
      <c r="T225" s="388"/>
    </row>
    <row r="226" spans="1:20" s="253" customFormat="1" ht="15" x14ac:dyDescent="0.25">
      <c r="A226" s="562">
        <v>203</v>
      </c>
      <c r="B226" s="563">
        <f t="shared" si="32"/>
        <v>162</v>
      </c>
      <c r="C226" s="564" t="e">
        <f t="shared" si="29"/>
        <v>#N/A</v>
      </c>
      <c r="D226" s="564" t="e">
        <f>IF(B226 &lt;= VLOOKUP(Main!$N$22,Coefficients!$E$2:$H$28,4,FALSE),E226,NA())</f>
        <v>#N/A</v>
      </c>
      <c r="E226" s="437">
        <f>'4th Order Polynomial Tmp vs Res'!$B$40+'4th Order Polynomial Tmp vs Res'!$C$40*POWER(B226,1)+'4th Order Polynomial Tmp vs Res'!$D$40*POWER(B226,2)+'4th Order Polynomial Tmp vs Res'!$E$40*POWER(B226,3)+'4th Order Polynomial Tmp vs Res'!$F$40*POWER(B226,4)</f>
        <v>21989.960544372887</v>
      </c>
      <c r="F226" s="564" t="e">
        <f t="shared" si="30"/>
        <v>#N/A</v>
      </c>
      <c r="G226" s="585" t="e">
        <f t="shared" si="31"/>
        <v>#N/A</v>
      </c>
      <c r="H226" s="388"/>
      <c r="I226" s="388"/>
      <c r="J226" s="388"/>
      <c r="K226" s="520">
        <f>'4th Order Polynomial Tmp vs Res'!$I$40*E226^4 + '4th Order Polynomial Tmp vs Res'!$J$40*E226^3 + '4th Order Polynomial Tmp vs Res'!$K$40*E226^2 + '4th Order Polynomial Tmp vs Res'!$L$40*E226 + '4th Order Polynomial Tmp vs Res'!$M$40</f>
        <v>151.29078874314075</v>
      </c>
      <c r="L226" s="520" t="e">
        <f>IF((VLOOKUP(Main!$N$22,Coefficients!$E$2:$H$28,4,FALSE)) = 125, NA(), B226-K226)</f>
        <v>#N/A</v>
      </c>
      <c r="M226" s="388"/>
      <c r="N226" s="388"/>
      <c r="O226" s="388"/>
      <c r="P226" s="388"/>
      <c r="Q226" s="388"/>
      <c r="R226" s="388"/>
      <c r="S226" s="388"/>
      <c r="T226" s="388"/>
    </row>
    <row r="227" spans="1:20" s="253" customFormat="1" ht="15" x14ac:dyDescent="0.25">
      <c r="A227" s="562">
        <v>204</v>
      </c>
      <c r="B227" s="563">
        <f t="shared" si="32"/>
        <v>163</v>
      </c>
      <c r="C227" s="564" t="e">
        <f t="shared" si="29"/>
        <v>#N/A</v>
      </c>
      <c r="D227" s="564" t="e">
        <f>IF(B227 &lt;= VLOOKUP(Main!$N$22,Coefficients!$E$2:$H$28,4,FALSE),E227,NA())</f>
        <v>#N/A</v>
      </c>
      <c r="E227" s="437">
        <f>'4th Order Polynomial Tmp vs Res'!$B$40+'4th Order Polynomial Tmp vs Res'!$C$40*POWER(B227,1)+'4th Order Polynomial Tmp vs Res'!$D$40*POWER(B227,2)+'4th Order Polynomial Tmp vs Res'!$E$40*POWER(B227,3)+'4th Order Polynomial Tmp vs Res'!$F$40*POWER(B227,4)</f>
        <v>22113.232367963734</v>
      </c>
      <c r="F227" s="564" t="e">
        <f t="shared" si="30"/>
        <v>#N/A</v>
      </c>
      <c r="G227" s="585" t="e">
        <f t="shared" si="31"/>
        <v>#N/A</v>
      </c>
      <c r="H227" s="388"/>
      <c r="I227" s="388"/>
      <c r="J227" s="388"/>
      <c r="K227" s="520">
        <f>'4th Order Polynomial Tmp vs Res'!$I$40*E227^4 + '4th Order Polynomial Tmp vs Res'!$J$40*E227^3 + '4th Order Polynomial Tmp vs Res'!$K$40*E227^2 + '4th Order Polynomial Tmp vs Res'!$L$40*E227 + '4th Order Polynomial Tmp vs Res'!$M$40</f>
        <v>151.56140805678353</v>
      </c>
      <c r="L227" s="520" t="e">
        <f>IF((VLOOKUP(Main!$N$22,Coefficients!$E$2:$H$28,4,FALSE)) = 125, NA(), B227-K227)</f>
        <v>#N/A</v>
      </c>
      <c r="M227" s="388"/>
      <c r="N227" s="388"/>
      <c r="O227" s="388"/>
      <c r="P227" s="388"/>
      <c r="Q227" s="388"/>
      <c r="R227" s="388"/>
      <c r="S227" s="388"/>
      <c r="T227" s="388"/>
    </row>
    <row r="228" spans="1:20" s="253" customFormat="1" ht="15" x14ac:dyDescent="0.25">
      <c r="A228" s="562">
        <v>205</v>
      </c>
      <c r="B228" s="563">
        <f t="shared" si="32"/>
        <v>164</v>
      </c>
      <c r="C228" s="564" t="e">
        <f t="shared" si="29"/>
        <v>#N/A</v>
      </c>
      <c r="D228" s="564" t="e">
        <f>IF(B228 &lt;= VLOOKUP(Main!$N$22,Coefficients!$E$2:$H$28,4,FALSE),E228,NA())</f>
        <v>#N/A</v>
      </c>
      <c r="E228" s="437">
        <f>'4th Order Polynomial Tmp vs Res'!$B$40+'4th Order Polynomial Tmp vs Res'!$C$40*POWER(B228,1)+'4th Order Polynomial Tmp vs Res'!$D$40*POWER(B228,2)+'4th Order Polynomial Tmp vs Res'!$E$40*POWER(B228,3)+'4th Order Polynomial Tmp vs Res'!$F$40*POWER(B228,4)</f>
        <v>22237.227627456694</v>
      </c>
      <c r="F228" s="564" t="e">
        <f t="shared" si="30"/>
        <v>#N/A</v>
      </c>
      <c r="G228" s="585" t="e">
        <f t="shared" si="31"/>
        <v>#N/A</v>
      </c>
      <c r="H228" s="388"/>
      <c r="I228" s="388"/>
      <c r="J228" s="388"/>
      <c r="K228" s="520">
        <f>'4th Order Polynomial Tmp vs Res'!$I$40*E228^4 + '4th Order Polynomial Tmp vs Res'!$J$40*E228^3 + '4th Order Polynomial Tmp vs Res'!$K$40*E228^2 + '4th Order Polynomial Tmp vs Res'!$L$40*E228 + '4th Order Polynomial Tmp vs Res'!$M$40</f>
        <v>151.79241559723971</v>
      </c>
      <c r="L228" s="520" t="e">
        <f>IF((VLOOKUP(Main!$N$22,Coefficients!$E$2:$H$28,4,FALSE)) = 125, NA(), B228-K228)</f>
        <v>#N/A</v>
      </c>
      <c r="M228" s="388"/>
      <c r="N228" s="388"/>
      <c r="O228" s="388"/>
      <c r="P228" s="388"/>
      <c r="Q228" s="388"/>
      <c r="R228" s="388"/>
      <c r="S228" s="388"/>
      <c r="T228" s="388"/>
    </row>
    <row r="229" spans="1:20" s="156" customFormat="1" ht="15" x14ac:dyDescent="0.25">
      <c r="A229" s="562">
        <v>206</v>
      </c>
      <c r="B229" s="563">
        <f t="shared" si="32"/>
        <v>165</v>
      </c>
      <c r="C229" s="564" t="e">
        <f t="shared" si="29"/>
        <v>#N/A</v>
      </c>
      <c r="D229" s="564" t="e">
        <f>IF(B229 &lt;= VLOOKUP(Main!$N$22,Coefficients!$E$2:$H$28,4,FALSE),E229,NA())</f>
        <v>#N/A</v>
      </c>
      <c r="E229" s="437">
        <f>'4th Order Polynomial Tmp vs Res'!$B$40+'4th Order Polynomial Tmp vs Res'!$C$40*POWER(B229,1)+'4th Order Polynomial Tmp vs Res'!$D$40*POWER(B229,2)+'4th Order Polynomial Tmp vs Res'!$E$40*POWER(B229,3)+'4th Order Polynomial Tmp vs Res'!$F$40*POWER(B229,4)</f>
        <v>22361.952418130171</v>
      </c>
      <c r="F229" s="564" t="e">
        <f t="shared" si="30"/>
        <v>#N/A</v>
      </c>
      <c r="G229" s="585" t="e">
        <f t="shared" si="31"/>
        <v>#N/A</v>
      </c>
      <c r="H229" s="388"/>
      <c r="I229" s="388"/>
      <c r="J229" s="388"/>
      <c r="K229" s="520">
        <f>'4th Order Polynomial Tmp vs Res'!$I$40*E229^4 + '4th Order Polynomial Tmp vs Res'!$J$40*E229^3 + '4th Order Polynomial Tmp vs Res'!$K$40*E229^2 + '4th Order Polynomial Tmp vs Res'!$L$40*E229 + '4th Order Polynomial Tmp vs Res'!$M$40</f>
        <v>151.98205728105279</v>
      </c>
      <c r="L229" s="520" t="e">
        <f>IF((VLOOKUP(Main!$N$22,Coefficients!$E$2:$H$28,4,FALSE)) = 125, NA(), B229-K229)</f>
        <v>#N/A</v>
      </c>
      <c r="M229" s="388"/>
      <c r="N229" s="388"/>
      <c r="O229" s="388"/>
      <c r="P229" s="388"/>
      <c r="Q229" s="388"/>
      <c r="R229" s="388"/>
      <c r="S229" s="388"/>
      <c r="T229" s="388"/>
    </row>
    <row r="230" spans="1:20" s="156" customFormat="1" ht="15" x14ac:dyDescent="0.25">
      <c r="A230" s="562">
        <v>207</v>
      </c>
      <c r="B230" s="563">
        <f t="shared" si="32"/>
        <v>166</v>
      </c>
      <c r="C230" s="564" t="e">
        <f t="shared" si="29"/>
        <v>#N/A</v>
      </c>
      <c r="D230" s="564" t="e">
        <f>IF(B230 &lt;= VLOOKUP(Main!$N$22,Coefficients!$E$2:$H$28,4,FALSE),E230,NA())</f>
        <v>#N/A</v>
      </c>
      <c r="E230" s="437">
        <f>'4th Order Polynomial Tmp vs Res'!$B$40+'4th Order Polynomial Tmp vs Res'!$C$40*POWER(B230,1)+'4th Order Polynomial Tmp vs Res'!$D$40*POWER(B230,2)+'4th Order Polynomial Tmp vs Res'!$E$40*POWER(B230,3)+'4th Order Polynomial Tmp vs Res'!$F$40*POWER(B230,4)</f>
        <v>22487.412878513987</v>
      </c>
      <c r="F230" s="564" t="e">
        <f t="shared" si="30"/>
        <v>#N/A</v>
      </c>
      <c r="G230" s="585" t="e">
        <f t="shared" si="31"/>
        <v>#N/A</v>
      </c>
      <c r="H230" s="388"/>
      <c r="I230" s="388"/>
      <c r="J230" s="388"/>
      <c r="K230" s="520">
        <f>'4th Order Polynomial Tmp vs Res'!$I$40*E230^4 + '4th Order Polynomial Tmp vs Res'!$J$40*E230^3 + '4th Order Polynomial Tmp vs Res'!$K$40*E230^2 + '4th Order Polynomial Tmp vs Res'!$L$40*E230 + '4th Order Polynomial Tmp vs Res'!$M$40</f>
        <v>152.12851280330312</v>
      </c>
      <c r="L230" s="520" t="e">
        <f>IF((VLOOKUP(Main!$N$22,Coefficients!$E$2:$H$28,4,FALSE)) = 125, NA(), B230-K230)</f>
        <v>#N/A</v>
      </c>
      <c r="M230" s="388"/>
      <c r="N230" s="388"/>
      <c r="O230" s="388"/>
      <c r="P230" s="388"/>
      <c r="Q230" s="388"/>
      <c r="R230" s="388"/>
      <c r="S230" s="388"/>
      <c r="T230" s="388"/>
    </row>
    <row r="231" spans="1:20" s="156" customFormat="1" ht="15" x14ac:dyDescent="0.25">
      <c r="A231" s="562">
        <v>208</v>
      </c>
      <c r="B231" s="563">
        <f t="shared" si="32"/>
        <v>167</v>
      </c>
      <c r="C231" s="564" t="e">
        <f t="shared" si="29"/>
        <v>#N/A</v>
      </c>
      <c r="D231" s="564" t="e">
        <f>IF(B231 &lt;= VLOOKUP(Main!$N$22,Coefficients!$E$2:$H$28,4,FALSE),E231,NA())</f>
        <v>#N/A</v>
      </c>
      <c r="E231" s="437">
        <f>'4th Order Polynomial Tmp vs Res'!$B$40+'4th Order Polynomial Tmp vs Res'!$C$40*POWER(B231,1)+'4th Order Polynomial Tmp vs Res'!$D$40*POWER(B231,2)+'4th Order Polynomial Tmp vs Res'!$E$40*POWER(B231,3)+'4th Order Polynomial Tmp vs Res'!$F$40*POWER(B231,4)</f>
        <v>22613.615190389424</v>
      </c>
      <c r="F231" s="564" t="e">
        <f t="shared" si="30"/>
        <v>#N/A</v>
      </c>
      <c r="G231" s="585" t="e">
        <f t="shared" si="31"/>
        <v>#N/A</v>
      </c>
      <c r="H231" s="388"/>
      <c r="I231" s="388"/>
      <c r="J231" s="388"/>
      <c r="K231" s="520">
        <f>'4th Order Polynomial Tmp vs Res'!$I$40*E231^4 + '4th Order Polynomial Tmp vs Res'!$J$40*E231^3 + '4th Order Polynomial Tmp vs Res'!$K$40*E231^2 + '4th Order Polynomial Tmp vs Res'!$L$40*E231 + '4th Order Polynomial Tmp vs Res'!$M$40</f>
        <v>152.2298933723099</v>
      </c>
      <c r="L231" s="520" t="e">
        <f>IF((VLOOKUP(Main!$N$22,Coefficients!$E$2:$H$28,4,FALSE)) = 125, NA(), B231-K231)</f>
        <v>#N/A</v>
      </c>
      <c r="M231" s="388"/>
      <c r="N231" s="388"/>
      <c r="O231" s="388"/>
      <c r="P231" s="388"/>
      <c r="Q231" s="388"/>
      <c r="R231" s="388"/>
      <c r="S231" s="388"/>
      <c r="T231" s="388"/>
    </row>
    <row r="232" spans="1:20" s="156" customFormat="1" ht="15" x14ac:dyDescent="0.25">
      <c r="A232" s="562">
        <v>209</v>
      </c>
      <c r="B232" s="563">
        <f t="shared" si="32"/>
        <v>168</v>
      </c>
      <c r="C232" s="564" t="e">
        <f t="shared" si="29"/>
        <v>#N/A</v>
      </c>
      <c r="D232" s="564" t="e">
        <f>IF(B232 &lt;= VLOOKUP(Main!$N$22,Coefficients!$E$2:$H$28,4,FALSE),E232,NA())</f>
        <v>#N/A</v>
      </c>
      <c r="E232" s="437">
        <f>'4th Order Polynomial Tmp vs Res'!$B$40+'4th Order Polynomial Tmp vs Res'!$C$40*POWER(B232,1)+'4th Order Polynomial Tmp vs Res'!$D$40*POWER(B232,2)+'4th Order Polynomial Tmp vs Res'!$E$40*POWER(B232,3)+'4th Order Polynomial Tmp vs Res'!$F$40*POWER(B232,4)</f>
        <v>22740.565578789188</v>
      </c>
      <c r="F232" s="564" t="e">
        <f t="shared" si="30"/>
        <v>#N/A</v>
      </c>
      <c r="G232" s="585" t="e">
        <f t="shared" si="31"/>
        <v>#N/A</v>
      </c>
      <c r="H232" s="388"/>
      <c r="I232" s="388"/>
      <c r="J232" s="388"/>
      <c r="K232" s="520">
        <f>'4th Order Polynomial Tmp vs Res'!$I$40*E232^4 + '4th Order Polynomial Tmp vs Res'!$J$40*E232^3 + '4th Order Polynomial Tmp vs Res'!$K$40*E232^2 + '4th Order Polynomial Tmp vs Res'!$L$40*E232 + '4th Order Polynomial Tmp vs Res'!$M$40</f>
        <v>152.28423937087371</v>
      </c>
      <c r="L232" s="520" t="e">
        <f>IF((VLOOKUP(Main!$N$22,Coefficients!$E$2:$H$28,4,FALSE)) = 125, NA(), B232-K232)</f>
        <v>#N/A</v>
      </c>
      <c r="M232" s="388"/>
      <c r="N232" s="388"/>
      <c r="O232" s="388"/>
      <c r="P232" s="388"/>
      <c r="Q232" s="388"/>
      <c r="R232" s="388"/>
      <c r="S232" s="388"/>
      <c r="T232" s="388"/>
    </row>
    <row r="233" spans="1:20" s="253" customFormat="1" ht="15" x14ac:dyDescent="0.25">
      <c r="A233" s="562">
        <v>210</v>
      </c>
      <c r="B233" s="563">
        <f t="shared" si="32"/>
        <v>169</v>
      </c>
      <c r="C233" s="564" t="e">
        <f t="shared" si="29"/>
        <v>#N/A</v>
      </c>
      <c r="D233" s="564" t="e">
        <f>IF(B233 &lt;= VLOOKUP(Main!$N$22,Coefficients!$E$2:$H$28,4,FALSE),E233,NA())</f>
        <v>#N/A</v>
      </c>
      <c r="E233" s="437">
        <f>'4th Order Polynomial Tmp vs Res'!$B$40+'4th Order Polynomial Tmp vs Res'!$C$40*POWER(B233,1)+'4th Order Polynomial Tmp vs Res'!$D$40*POWER(B233,2)+'4th Order Polynomial Tmp vs Res'!$E$40*POWER(B233,3)+'4th Order Polynomial Tmp vs Res'!$F$40*POWER(B233,4)</f>
        <v>22868.270311997447</v>
      </c>
      <c r="F233" s="564" t="e">
        <f t="shared" si="30"/>
        <v>#N/A</v>
      </c>
      <c r="G233" s="585" t="e">
        <f t="shared" si="31"/>
        <v>#N/A</v>
      </c>
      <c r="H233" s="388"/>
      <c r="I233" s="388"/>
      <c r="J233" s="388"/>
      <c r="K233" s="520">
        <f>'4th Order Polynomial Tmp vs Res'!$I$40*E233^4 + '4th Order Polynomial Tmp vs Res'!$J$40*E233^3 + '4th Order Polynomial Tmp vs Res'!$K$40*E233^2 + '4th Order Polynomial Tmp vs Res'!$L$40*E233 + '4th Order Polynomial Tmp vs Res'!$M$40</f>
        <v>152.28951794176839</v>
      </c>
      <c r="L233" s="520" t="e">
        <f>IF((VLOOKUP(Main!$N$22,Coefficients!$E$2:$H$28,4,FALSE)) = 125, NA(), B233-K233)</f>
        <v>#N/A</v>
      </c>
      <c r="M233" s="388"/>
      <c r="N233" s="388"/>
      <c r="O233" s="388"/>
      <c r="P233" s="388"/>
      <c r="Q233" s="388"/>
      <c r="R233" s="388"/>
      <c r="S233" s="388"/>
      <c r="T233" s="388"/>
    </row>
    <row r="234" spans="1:20" s="253" customFormat="1" ht="15" x14ac:dyDescent="0.25">
      <c r="A234" s="562">
        <v>211</v>
      </c>
      <c r="B234" s="563">
        <f t="shared" si="32"/>
        <v>170</v>
      </c>
      <c r="C234" s="564" t="e">
        <f t="shared" si="29"/>
        <v>#N/A</v>
      </c>
      <c r="D234" s="564" t="e">
        <f>IF(B234 &lt;= VLOOKUP(Main!$N$22,Coefficients!$E$2:$H$28,4,FALSE),E234,NA())</f>
        <v>#N/A</v>
      </c>
      <c r="E234" s="437">
        <f>'4th Order Polynomial Tmp vs Res'!$B$40+'4th Order Polynomial Tmp vs Res'!$C$40*POWER(B234,1)+'4th Order Polynomial Tmp vs Res'!$D$40*POWER(B234,2)+'4th Order Polynomial Tmp vs Res'!$E$40*POWER(B234,3)+'4th Order Polynomial Tmp vs Res'!$F$40*POWER(B234,4)</f>
        <v>22996.735701549795</v>
      </c>
      <c r="F234" s="564" t="e">
        <f t="shared" si="30"/>
        <v>#N/A</v>
      </c>
      <c r="G234" s="585" t="e">
        <f t="shared" si="31"/>
        <v>#N/A</v>
      </c>
      <c r="H234" s="388"/>
      <c r="I234" s="388"/>
      <c r="J234" s="388"/>
      <c r="K234" s="520">
        <f>'4th Order Polynomial Tmp vs Res'!$I$40*E234^4 + '4th Order Polynomial Tmp vs Res'!$J$40*E234^3 + '4th Order Polynomial Tmp vs Res'!$K$40*E234^2 + '4th Order Polynomial Tmp vs Res'!$L$40*E234 + '4th Order Polynomial Tmp vs Res'!$M$40</f>
        <v>152.24362049516128</v>
      </c>
      <c r="L234" s="520" t="e">
        <f>IF((VLOOKUP(Main!$N$22,Coefficients!$E$2:$H$28,4,FALSE)) = 125, NA(), B234-K234)</f>
        <v>#N/A</v>
      </c>
      <c r="M234" s="388"/>
      <c r="N234" s="388"/>
      <c r="O234" s="388"/>
      <c r="P234" s="388"/>
      <c r="Q234" s="388"/>
      <c r="R234" s="388"/>
      <c r="S234" s="388"/>
      <c r="T234" s="388"/>
    </row>
    <row r="235" spans="1:20" s="253" customFormat="1" ht="15" x14ac:dyDescent="0.25">
      <c r="A235" s="594"/>
      <c r="B235" s="595"/>
      <c r="C235" s="592"/>
      <c r="D235" s="592"/>
      <c r="E235" s="596"/>
      <c r="F235" s="592"/>
      <c r="G235" s="597">
        <f t="shared" si="31"/>
        <v>0</v>
      </c>
      <c r="H235" s="388"/>
      <c r="I235" s="388"/>
      <c r="J235" s="388"/>
      <c r="K235" s="520">
        <f>'4th Order Polynomial Tmp vs Res'!$I$40*E235^4 + '4th Order Polynomial Tmp vs Res'!$J$40*E235^3 + '4th Order Polynomial Tmp vs Res'!$K$40*E235^2 + '4th Order Polynomial Tmp vs Res'!$L$40*E235 + '4th Order Polynomial Tmp vs Res'!$M$40</f>
        <v>-277.66082224461309</v>
      </c>
      <c r="L235" s="520" t="e">
        <f>IF((VLOOKUP(Main!$N$22,Coefficients!$E$2:$H$28,4,FALSE)) = 125, NA(), B235-K235)</f>
        <v>#N/A</v>
      </c>
      <c r="M235" s="388"/>
      <c r="N235" s="388"/>
      <c r="O235" s="388"/>
      <c r="P235" s="388"/>
      <c r="Q235" s="388"/>
      <c r="R235" s="388"/>
      <c r="S235" s="388"/>
      <c r="T235" s="388"/>
    </row>
    <row r="236" spans="1:20" s="253" customFormat="1" x14ac:dyDescent="0.25">
      <c r="A236" s="467"/>
      <c r="B236" s="19"/>
      <c r="C236" s="310"/>
      <c r="D236" s="310"/>
      <c r="E236" s="206"/>
      <c r="F236" s="310"/>
      <c r="G236" s="357">
        <f t="shared" si="31"/>
        <v>0</v>
      </c>
      <c r="K236" s="55">
        <f>'4th Order Polynomial Tmp vs Res'!$I$40*E236^4 + '4th Order Polynomial Tmp vs Res'!$J$40*E236^3 + '4th Order Polynomial Tmp vs Res'!$K$40*E236^2 + '4th Order Polynomial Tmp vs Res'!$L$40*E236 + '4th Order Polynomial Tmp vs Res'!$M$40</f>
        <v>-277.66082224461309</v>
      </c>
      <c r="L236" s="55" t="e">
        <f>IF((VLOOKUP(Main!$N$22,Coefficients!$E$2:$H$28,4,FALSE)) = 125, NA(), B236-K236)</f>
        <v>#N/A</v>
      </c>
    </row>
    <row r="237" spans="1:20" s="253" customFormat="1" x14ac:dyDescent="0.25">
      <c r="A237" s="467"/>
      <c r="B237" s="19"/>
      <c r="C237" s="310"/>
      <c r="D237" s="310"/>
      <c r="E237" s="206"/>
      <c r="F237" s="310"/>
      <c r="G237" s="357">
        <f t="shared" si="31"/>
        <v>0</v>
      </c>
      <c r="K237" s="55">
        <f>'4th Order Polynomial Tmp vs Res'!$I$40*E237^4 + '4th Order Polynomial Tmp vs Res'!$J$40*E237^3 + '4th Order Polynomial Tmp vs Res'!$K$40*E237^2 + '4th Order Polynomial Tmp vs Res'!$L$40*E237 + '4th Order Polynomial Tmp vs Res'!$M$40</f>
        <v>-277.66082224461309</v>
      </c>
      <c r="L237" s="55" t="e">
        <f>IF((VLOOKUP(Main!$N$22,Coefficients!$E$2:$H$28,4,FALSE)) = 125, NA(), B237-K237)</f>
        <v>#N/A</v>
      </c>
    </row>
    <row r="238" spans="1:20" s="253" customFormat="1" x14ac:dyDescent="0.25">
      <c r="A238" s="467"/>
      <c r="B238" s="19"/>
      <c r="C238" s="310"/>
      <c r="D238" s="310"/>
      <c r="E238" s="206"/>
      <c r="F238" s="310"/>
      <c r="G238" s="357">
        <f t="shared" si="31"/>
        <v>0</v>
      </c>
      <c r="K238" s="55">
        <f>'4th Order Polynomial Tmp vs Res'!$I$40*E238^4 + '4th Order Polynomial Tmp vs Res'!$J$40*E238^3 + '4th Order Polynomial Tmp vs Res'!$K$40*E238^2 + '4th Order Polynomial Tmp vs Res'!$L$40*E238 + '4th Order Polynomial Tmp vs Res'!$M$40</f>
        <v>-277.66082224461309</v>
      </c>
      <c r="L238" s="55" t="e">
        <f>IF((VLOOKUP(Main!$N$22,Coefficients!$E$2:$H$28,4,FALSE)) = 125, NA(), B238-K238)</f>
        <v>#N/A</v>
      </c>
    </row>
    <row r="239" spans="1:20" s="253" customFormat="1" x14ac:dyDescent="0.25">
      <c r="A239" s="467"/>
      <c r="B239" s="19"/>
      <c r="C239" s="310"/>
      <c r="D239" s="310"/>
      <c r="E239" s="206"/>
      <c r="F239" s="310"/>
      <c r="G239" s="357">
        <f t="shared" si="31"/>
        <v>0</v>
      </c>
      <c r="K239" s="55">
        <f>'4th Order Polynomial Tmp vs Res'!$I$40*E239^4 + '4th Order Polynomial Tmp vs Res'!$J$40*E239^3 + '4th Order Polynomial Tmp vs Res'!$K$40*E239^2 + '4th Order Polynomial Tmp vs Res'!$L$40*E239 + '4th Order Polynomial Tmp vs Res'!$M$40</f>
        <v>-277.66082224461309</v>
      </c>
      <c r="L239" s="55" t="e">
        <f>IF((VLOOKUP(Main!$N$22,Coefficients!$E$2:$H$28,4,FALSE)) = 125, NA(), B239-K239)</f>
        <v>#N/A</v>
      </c>
    </row>
    <row r="240" spans="1:20" s="253" customFormat="1" x14ac:dyDescent="0.25"/>
    <row r="241" spans="1:21" s="253" customFormat="1" x14ac:dyDescent="0.25"/>
    <row r="242" spans="1:21" s="253" customFormat="1" x14ac:dyDescent="0.25"/>
    <row r="243" spans="1:21" s="253" customFormat="1" x14ac:dyDescent="0.25"/>
    <row r="244" spans="1:21" s="253" customFormat="1" x14ac:dyDescent="0.25"/>
    <row r="245" spans="1:21" s="253" customFormat="1" x14ac:dyDescent="0.25"/>
    <row r="246" spans="1:21" x14ac:dyDescent="0.25"/>
    <row r="247" spans="1:21" x14ac:dyDescent="0.25"/>
    <row r="248" spans="1:21" x14ac:dyDescent="0.25"/>
    <row r="249" spans="1:21" x14ac:dyDescent="0.25">
      <c r="H249" s="12"/>
      <c r="I249" s="12"/>
    </row>
    <row r="250" spans="1:21" ht="15.6" x14ac:dyDescent="0.3">
      <c r="A250" s="236" t="s">
        <v>235</v>
      </c>
      <c r="C250" s="153" t="s">
        <v>236</v>
      </c>
      <c r="D250" s="281"/>
      <c r="E250" s="152"/>
      <c r="F250" s="152"/>
      <c r="G250" s="152"/>
      <c r="H250" s="151"/>
      <c r="I250" s="157"/>
      <c r="J250" s="157"/>
      <c r="M250" s="157"/>
      <c r="N250" s="238" t="s">
        <v>237</v>
      </c>
      <c r="O250" s="153"/>
      <c r="P250" s="153" t="s">
        <v>236</v>
      </c>
      <c r="Q250" s="152"/>
      <c r="R250" s="152"/>
      <c r="S250" s="151"/>
    </row>
    <row r="251" spans="1:21" x14ac:dyDescent="0.25">
      <c r="A251" s="83" t="s">
        <v>467</v>
      </c>
      <c r="B251" s="46"/>
      <c r="C251" s="46"/>
      <c r="D251" s="46"/>
      <c r="F251" s="46"/>
      <c r="G251" s="46"/>
      <c r="H251" s="84" t="s">
        <v>119</v>
      </c>
      <c r="I251" s="46"/>
      <c r="J251" s="85"/>
      <c r="N251" s="83" t="s">
        <v>468</v>
      </c>
      <c r="O251" s="46"/>
      <c r="P251" s="46"/>
      <c r="Q251" s="46"/>
      <c r="R251" s="46"/>
      <c r="S251" s="84" t="s">
        <v>118</v>
      </c>
      <c r="T251" s="46"/>
      <c r="U251" s="85"/>
    </row>
    <row r="252" spans="1:21" x14ac:dyDescent="0.25">
      <c r="A252" s="49"/>
      <c r="B252" s="37"/>
      <c r="C252" s="86" t="s">
        <v>28</v>
      </c>
      <c r="D252" s="37">
        <f t="shared" ref="D252:D283" si="33">B24</f>
        <v>-40</v>
      </c>
      <c r="F252" s="38" t="s">
        <v>117</v>
      </c>
      <c r="G252" s="38"/>
      <c r="H252" s="87">
        <f t="shared" ref="H252:H283" si="34">D24</f>
        <v>6514.0402550496137</v>
      </c>
      <c r="I252" s="38" t="s">
        <v>31</v>
      </c>
      <c r="J252" s="88" t="s">
        <v>117</v>
      </c>
      <c r="N252" s="51"/>
      <c r="O252" s="37"/>
      <c r="P252" s="86" t="s">
        <v>28</v>
      </c>
      <c r="Q252" s="50">
        <f t="shared" ref="Q252:Q294" si="35">O24</f>
        <v>-40</v>
      </c>
      <c r="R252" s="38" t="s">
        <v>117</v>
      </c>
      <c r="S252" s="87">
        <f t="shared" ref="S252:S290" ca="1" si="36">Q24</f>
        <v>6514.0402550496137</v>
      </c>
      <c r="T252" s="38" t="s">
        <v>31</v>
      </c>
      <c r="U252" s="88" t="s">
        <v>117</v>
      </c>
    </row>
    <row r="253" spans="1:21" x14ac:dyDescent="0.25">
      <c r="A253" s="49"/>
      <c r="B253" s="37"/>
      <c r="C253" s="86" t="s">
        <v>28</v>
      </c>
      <c r="D253" s="37">
        <f t="shared" si="33"/>
        <v>-39</v>
      </c>
      <c r="F253" s="38" t="s">
        <v>117</v>
      </c>
      <c r="G253" s="38"/>
      <c r="H253" s="266">
        <f t="shared" si="34"/>
        <v>6555.848186798853</v>
      </c>
      <c r="I253" s="38" t="s">
        <v>31</v>
      </c>
      <c r="J253" s="88" t="s">
        <v>117</v>
      </c>
      <c r="N253" s="51"/>
      <c r="O253" s="37"/>
      <c r="P253" s="86" t="s">
        <v>28</v>
      </c>
      <c r="Q253" s="50">
        <f t="shared" si="35"/>
        <v>-35</v>
      </c>
      <c r="R253" s="38" t="s">
        <v>117</v>
      </c>
      <c r="S253" s="87">
        <f t="shared" ca="1" si="36"/>
        <v>6726.8434546065191</v>
      </c>
      <c r="T253" s="38" t="s">
        <v>31</v>
      </c>
      <c r="U253" s="88" t="s">
        <v>117</v>
      </c>
    </row>
    <row r="254" spans="1:21" x14ac:dyDescent="0.25">
      <c r="A254" s="49"/>
      <c r="B254" s="37"/>
      <c r="C254" s="86" t="s">
        <v>28</v>
      </c>
      <c r="D254" s="37">
        <f t="shared" si="33"/>
        <v>-38</v>
      </c>
      <c r="F254" s="38" t="s">
        <v>117</v>
      </c>
      <c r="G254" s="38"/>
      <c r="H254" s="266">
        <f t="shared" si="34"/>
        <v>6598.0350925161956</v>
      </c>
      <c r="I254" s="38" t="s">
        <v>31</v>
      </c>
      <c r="J254" s="88" t="s">
        <v>117</v>
      </c>
      <c r="N254" s="51"/>
      <c r="O254" s="37"/>
      <c r="P254" s="86" t="s">
        <v>28</v>
      </c>
      <c r="Q254" s="50">
        <f t="shared" si="35"/>
        <v>-30</v>
      </c>
      <c r="R254" s="38" t="s">
        <v>117</v>
      </c>
      <c r="S254" s="87">
        <f t="shared" ca="1" si="36"/>
        <v>6948.8655023790488</v>
      </c>
      <c r="T254" s="38" t="s">
        <v>31</v>
      </c>
      <c r="U254" s="88" t="s">
        <v>117</v>
      </c>
    </row>
    <row r="255" spans="1:21" x14ac:dyDescent="0.25">
      <c r="A255" s="49"/>
      <c r="B255" s="37"/>
      <c r="C255" s="86" t="s">
        <v>28</v>
      </c>
      <c r="D255" s="37">
        <f t="shared" si="33"/>
        <v>-37</v>
      </c>
      <c r="F255" s="38" t="s">
        <v>117</v>
      </c>
      <c r="G255" s="38"/>
      <c r="H255" s="266">
        <f t="shared" si="34"/>
        <v>6640.5983306888866</v>
      </c>
      <c r="I255" s="38" t="s">
        <v>31</v>
      </c>
      <c r="J255" s="88" t="s">
        <v>117</v>
      </c>
      <c r="N255" s="51"/>
      <c r="O255" s="37"/>
      <c r="P255" s="86" t="s">
        <v>28</v>
      </c>
      <c r="Q255" s="50">
        <f t="shared" si="35"/>
        <v>-25</v>
      </c>
      <c r="R255" s="38" t="s">
        <v>117</v>
      </c>
      <c r="S255" s="87">
        <f t="shared" ca="1" si="36"/>
        <v>7179.8086478542191</v>
      </c>
      <c r="T255" s="38" t="s">
        <v>31</v>
      </c>
      <c r="U255" s="88" t="s">
        <v>117</v>
      </c>
    </row>
    <row r="256" spans="1:21" x14ac:dyDescent="0.25">
      <c r="A256" s="49"/>
      <c r="B256" s="37"/>
      <c r="C256" s="86" t="s">
        <v>28</v>
      </c>
      <c r="D256" s="37">
        <f t="shared" si="33"/>
        <v>-36</v>
      </c>
      <c r="F256" s="38" t="s">
        <v>117</v>
      </c>
      <c r="G256" s="38"/>
      <c r="H256" s="266">
        <f t="shared" si="34"/>
        <v>6683.535303055618</v>
      </c>
      <c r="I256" s="38" t="s">
        <v>31</v>
      </c>
      <c r="J256" s="88" t="s">
        <v>117</v>
      </c>
      <c r="N256" s="51"/>
      <c r="O256" s="37"/>
      <c r="P256" s="86" t="s">
        <v>28</v>
      </c>
      <c r="Q256" s="50">
        <f t="shared" si="35"/>
        <v>-20</v>
      </c>
      <c r="R256" s="38" t="s">
        <v>117</v>
      </c>
      <c r="S256" s="87">
        <f t="shared" ca="1" si="36"/>
        <v>7419.4021726698502</v>
      </c>
      <c r="T256" s="38" t="s">
        <v>31</v>
      </c>
      <c r="U256" s="88" t="s">
        <v>117</v>
      </c>
    </row>
    <row r="257" spans="1:21" x14ac:dyDescent="0.25">
      <c r="A257" s="49"/>
      <c r="B257" s="37"/>
      <c r="C257" s="86" t="s">
        <v>28</v>
      </c>
      <c r="D257" s="37">
        <f t="shared" si="33"/>
        <v>-35</v>
      </c>
      <c r="F257" s="38" t="s">
        <v>117</v>
      </c>
      <c r="G257" s="38"/>
      <c r="H257" s="266">
        <f t="shared" si="34"/>
        <v>6726.8434546065191</v>
      </c>
      <c r="I257" s="38" t="s">
        <v>31</v>
      </c>
      <c r="J257" s="88" t="s">
        <v>117</v>
      </c>
      <c r="N257" s="51"/>
      <c r="O257" s="37"/>
      <c r="P257" s="86" t="s">
        <v>28</v>
      </c>
      <c r="Q257" s="50">
        <f t="shared" si="35"/>
        <v>-15</v>
      </c>
      <c r="R257" s="38" t="s">
        <v>117</v>
      </c>
      <c r="S257" s="87">
        <f t="shared" ca="1" si="36"/>
        <v>7667.4023906145867</v>
      </c>
      <c r="T257" s="38" t="s">
        <v>31</v>
      </c>
      <c r="U257" s="88" t="s">
        <v>117</v>
      </c>
    </row>
    <row r="258" spans="1:21" x14ac:dyDescent="0.25">
      <c r="A258" s="49"/>
      <c r="B258" s="37"/>
      <c r="C258" s="86" t="s">
        <v>28</v>
      </c>
      <c r="D258" s="37">
        <f t="shared" si="33"/>
        <v>-34</v>
      </c>
      <c r="F258" s="38" t="s">
        <v>117</v>
      </c>
      <c r="G258" s="38"/>
      <c r="H258" s="266">
        <f t="shared" si="34"/>
        <v>6770.5202735831617</v>
      </c>
      <c r="I258" s="38" t="s">
        <v>31</v>
      </c>
      <c r="J258" s="88" t="s">
        <v>117</v>
      </c>
      <c r="N258" s="51"/>
      <c r="O258" s="37"/>
      <c r="P258" s="86" t="s">
        <v>28</v>
      </c>
      <c r="Q258" s="50">
        <f t="shared" si="35"/>
        <v>-10</v>
      </c>
      <c r="R258" s="38" t="s">
        <v>117</v>
      </c>
      <c r="S258" s="87">
        <f t="shared" ca="1" si="36"/>
        <v>7923.5926476278764</v>
      </c>
      <c r="T258" s="38" t="s">
        <v>31</v>
      </c>
      <c r="U258" s="88" t="s">
        <v>117</v>
      </c>
    </row>
    <row r="259" spans="1:21" x14ac:dyDescent="0.25">
      <c r="A259" s="49"/>
      <c r="B259" s="37"/>
      <c r="C259" s="86" t="s">
        <v>28</v>
      </c>
      <c r="D259" s="37">
        <f t="shared" si="33"/>
        <v>-33</v>
      </c>
      <c r="F259" s="38" t="s">
        <v>117</v>
      </c>
      <c r="G259" s="38"/>
      <c r="H259" s="266">
        <f t="shared" si="34"/>
        <v>6814.563291478561</v>
      </c>
      <c r="I259" s="38" t="s">
        <v>31</v>
      </c>
      <c r="J259" s="88" t="s">
        <v>117</v>
      </c>
      <c r="N259" s="51"/>
      <c r="O259" s="37"/>
      <c r="P259" s="86" t="s">
        <v>28</v>
      </c>
      <c r="Q259" s="50">
        <f t="shared" si="35"/>
        <v>-5</v>
      </c>
      <c r="R259" s="38" t="s">
        <v>117</v>
      </c>
      <c r="S259" s="87">
        <f t="shared" ca="1" si="36"/>
        <v>8187.7833217999869</v>
      </c>
      <c r="T259" s="38" t="s">
        <v>31</v>
      </c>
      <c r="U259" s="88" t="s">
        <v>117</v>
      </c>
    </row>
    <row r="260" spans="1:21" x14ac:dyDescent="0.25">
      <c r="A260" s="49"/>
      <c r="B260" s="37"/>
      <c r="C260" s="86" t="s">
        <v>28</v>
      </c>
      <c r="D260" s="37">
        <f t="shared" si="33"/>
        <v>-32</v>
      </c>
      <c r="F260" s="38" t="s">
        <v>117</v>
      </c>
      <c r="G260" s="38"/>
      <c r="H260" s="266">
        <f t="shared" si="34"/>
        <v>6858.9700830371703</v>
      </c>
      <c r="I260" s="38" t="s">
        <v>31</v>
      </c>
      <c r="J260" s="88" t="s">
        <v>117</v>
      </c>
      <c r="N260" s="51"/>
      <c r="O260" s="37"/>
      <c r="P260" s="86" t="s">
        <v>28</v>
      </c>
      <c r="Q260" s="50">
        <f t="shared" si="35"/>
        <v>0</v>
      </c>
      <c r="R260" s="38" t="s">
        <v>117</v>
      </c>
      <c r="S260" s="87">
        <f t="shared" ca="1" si="36"/>
        <v>8459.8118233719997</v>
      </c>
      <c r="T260" s="38" t="s">
        <v>31</v>
      </c>
      <c r="U260" s="88" t="s">
        <v>117</v>
      </c>
    </row>
    <row r="261" spans="1:21" x14ac:dyDescent="0.25">
      <c r="A261" s="49"/>
      <c r="B261" s="37"/>
      <c r="C261" s="86" t="s">
        <v>28</v>
      </c>
      <c r="D261" s="37">
        <f t="shared" si="33"/>
        <v>-31</v>
      </c>
      <c r="F261" s="38" t="s">
        <v>117</v>
      </c>
      <c r="G261" s="38"/>
      <c r="H261" s="266">
        <f t="shared" si="34"/>
        <v>6903.7382662548889</v>
      </c>
      <c r="I261" s="38" t="s">
        <v>31</v>
      </c>
      <c r="J261" s="88" t="s">
        <v>117</v>
      </c>
      <c r="N261" s="51"/>
      <c r="O261" s="37"/>
      <c r="P261" s="86" t="s">
        <v>28</v>
      </c>
      <c r="Q261" s="50">
        <f t="shared" si="35"/>
        <v>5</v>
      </c>
      <c r="R261" s="38" t="s">
        <v>117</v>
      </c>
      <c r="S261" s="87">
        <f t="shared" ca="1" si="36"/>
        <v>8739.5425947358053</v>
      </c>
      <c r="T261" s="38" t="s">
        <v>31</v>
      </c>
      <c r="U261" s="88" t="s">
        <v>117</v>
      </c>
    </row>
    <row r="262" spans="1:21" x14ac:dyDescent="0.25">
      <c r="A262" s="49"/>
      <c r="B262" s="37"/>
      <c r="C262" s="86" t="s">
        <v>28</v>
      </c>
      <c r="D262" s="37">
        <f t="shared" si="33"/>
        <v>-30</v>
      </c>
      <c r="F262" s="38" t="s">
        <v>117</v>
      </c>
      <c r="G262" s="38"/>
      <c r="H262" s="266">
        <f t="shared" si="34"/>
        <v>6948.8655023790488</v>
      </c>
      <c r="I262" s="38" t="s">
        <v>31</v>
      </c>
      <c r="J262" s="88" t="s">
        <v>117</v>
      </c>
      <c r="N262" s="51"/>
      <c r="O262" s="37"/>
      <c r="P262" s="86" t="s">
        <v>28</v>
      </c>
      <c r="Q262" s="50">
        <f t="shared" si="35"/>
        <v>10</v>
      </c>
      <c r="R262" s="38" t="s">
        <v>117</v>
      </c>
      <c r="S262" s="87">
        <f t="shared" ca="1" si="36"/>
        <v>9026.8671104341156</v>
      </c>
      <c r="T262" s="38" t="s">
        <v>31</v>
      </c>
      <c r="U262" s="88" t="s">
        <v>117</v>
      </c>
    </row>
    <row r="263" spans="1:21" x14ac:dyDescent="0.25">
      <c r="A263" s="49"/>
      <c r="B263" s="37"/>
      <c r="C263" s="86" t="s">
        <v>28</v>
      </c>
      <c r="D263" s="37">
        <f t="shared" si="33"/>
        <v>-29</v>
      </c>
      <c r="F263" s="38" t="s">
        <v>117</v>
      </c>
      <c r="G263" s="38"/>
      <c r="H263" s="266">
        <f t="shared" si="34"/>
        <v>6994.3494959084337</v>
      </c>
      <c r="I263" s="38" t="s">
        <v>31</v>
      </c>
      <c r="J263" s="88" t="s">
        <v>117</v>
      </c>
      <c r="N263" s="51"/>
      <c r="O263" s="37"/>
      <c r="P263" s="86" t="s">
        <v>28</v>
      </c>
      <c r="Q263" s="50">
        <f t="shared" si="35"/>
        <v>15</v>
      </c>
      <c r="R263" s="38" t="s">
        <v>117</v>
      </c>
      <c r="S263" s="87">
        <f t="shared" ca="1" si="36"/>
        <v>9321.7038771604457</v>
      </c>
      <c r="T263" s="38" t="s">
        <v>31</v>
      </c>
      <c r="U263" s="88" t="s">
        <v>117</v>
      </c>
    </row>
    <row r="264" spans="1:21" x14ac:dyDescent="0.25">
      <c r="A264" s="49"/>
      <c r="B264" s="37"/>
      <c r="C264" s="86" t="s">
        <v>28</v>
      </c>
      <c r="D264" s="37">
        <f t="shared" si="33"/>
        <v>-28</v>
      </c>
      <c r="F264" s="38" t="s">
        <v>117</v>
      </c>
      <c r="G264" s="38"/>
      <c r="H264" s="266">
        <f t="shared" si="34"/>
        <v>7040.1879945932606</v>
      </c>
      <c r="I264" s="38" t="s">
        <v>31</v>
      </c>
      <c r="J264" s="88" t="s">
        <v>117</v>
      </c>
      <c r="N264" s="51"/>
      <c r="O264" s="37"/>
      <c r="P264" s="86" t="s">
        <v>28</v>
      </c>
      <c r="Q264" s="50">
        <f t="shared" si="35"/>
        <v>20</v>
      </c>
      <c r="R264" s="38" t="s">
        <v>117</v>
      </c>
      <c r="S264" s="87">
        <f t="shared" ca="1" si="36"/>
        <v>9623.9984337591304</v>
      </c>
      <c r="T264" s="38" t="s">
        <v>31</v>
      </c>
      <c r="U264" s="88" t="s">
        <v>117</v>
      </c>
    </row>
    <row r="265" spans="1:21" x14ac:dyDescent="0.25">
      <c r="A265" s="49"/>
      <c r="B265" s="37"/>
      <c r="C265" s="86" t="s">
        <v>28</v>
      </c>
      <c r="D265" s="37">
        <f t="shared" si="33"/>
        <v>-27</v>
      </c>
      <c r="F265" s="38" t="s">
        <v>117</v>
      </c>
      <c r="G265" s="38"/>
      <c r="H265" s="266">
        <f t="shared" si="34"/>
        <v>7086.3787894351908</v>
      </c>
      <c r="I265" s="38" t="s">
        <v>31</v>
      </c>
      <c r="J265" s="88" t="s">
        <v>117</v>
      </c>
      <c r="N265" s="51"/>
      <c r="O265" s="37"/>
      <c r="P265" s="86" t="s">
        <v>28</v>
      </c>
      <c r="Q265" s="50">
        <f t="shared" si="35"/>
        <v>25</v>
      </c>
      <c r="R265" s="38" t="s">
        <v>117</v>
      </c>
      <c r="S265" s="87">
        <f t="shared" ca="1" si="36"/>
        <v>9933.7233512253169</v>
      </c>
      <c r="T265" s="38" t="s">
        <v>31</v>
      </c>
      <c r="U265" s="88" t="s">
        <v>117</v>
      </c>
    </row>
    <row r="266" spans="1:21" x14ac:dyDescent="0.25">
      <c r="A266" s="49"/>
      <c r="B266" s="37"/>
      <c r="C266" s="86" t="s">
        <v>28</v>
      </c>
      <c r="D266" s="37">
        <f t="shared" si="33"/>
        <v>-26</v>
      </c>
      <c r="F266" s="38" t="s">
        <v>117</v>
      </c>
      <c r="G266" s="38"/>
      <c r="H266" s="266">
        <f t="shared" si="34"/>
        <v>7132.9197146873294</v>
      </c>
      <c r="I266" s="38" t="s">
        <v>31</v>
      </c>
      <c r="J266" s="88" t="s">
        <v>117</v>
      </c>
      <c r="N266" s="51"/>
      <c r="O266" s="37"/>
      <c r="P266" s="86" t="s">
        <v>28</v>
      </c>
      <c r="Q266" s="50">
        <f t="shared" si="35"/>
        <v>30</v>
      </c>
      <c r="R266" s="38" t="s">
        <v>117</v>
      </c>
      <c r="S266" s="87">
        <f t="shared" ca="1" si="36"/>
        <v>10250.878232704968</v>
      </c>
      <c r="T266" s="38" t="s">
        <v>31</v>
      </c>
      <c r="U266" s="88" t="s">
        <v>117</v>
      </c>
    </row>
    <row r="267" spans="1:21" x14ac:dyDescent="0.25">
      <c r="A267" s="49"/>
      <c r="B267" s="37"/>
      <c r="C267" s="86" t="s">
        <v>28</v>
      </c>
      <c r="D267" s="37">
        <f t="shared" si="33"/>
        <v>-25</v>
      </c>
      <c r="F267" s="38" t="s">
        <v>117</v>
      </c>
      <c r="G267" s="38"/>
      <c r="H267" s="266">
        <f t="shared" si="34"/>
        <v>7179.8086478542191</v>
      </c>
      <c r="I267" s="38" t="s">
        <v>31</v>
      </c>
      <c r="J267" s="88" t="s">
        <v>117</v>
      </c>
      <c r="N267" s="51"/>
      <c r="O267" s="37"/>
      <c r="P267" s="86" t="s">
        <v>28</v>
      </c>
      <c r="Q267" s="50">
        <f t="shared" si="35"/>
        <v>35</v>
      </c>
      <c r="R267" s="38" t="s">
        <v>117</v>
      </c>
      <c r="S267" s="87">
        <f t="shared" ca="1" si="36"/>
        <v>10575.489713494859</v>
      </c>
      <c r="T267" s="38" t="s">
        <v>31</v>
      </c>
      <c r="U267" s="88" t="s">
        <v>117</v>
      </c>
    </row>
    <row r="268" spans="1:21" x14ac:dyDescent="0.25">
      <c r="A268" s="49"/>
      <c r="B268" s="37"/>
      <c r="C268" s="86" t="s">
        <v>28</v>
      </c>
      <c r="D268" s="37">
        <f t="shared" si="33"/>
        <v>-24</v>
      </c>
      <c r="F268" s="38" t="s">
        <v>117</v>
      </c>
      <c r="G268" s="38"/>
      <c r="H268" s="266">
        <f t="shared" si="34"/>
        <v>7227.0435096918427</v>
      </c>
      <c r="I268" s="38" t="s">
        <v>31</v>
      </c>
      <c r="J268" s="88" t="s">
        <v>117</v>
      </c>
      <c r="N268" s="51"/>
      <c r="O268" s="37"/>
      <c r="P268" s="86" t="s">
        <v>28</v>
      </c>
      <c r="Q268" s="50">
        <f t="shared" si="35"/>
        <v>40</v>
      </c>
      <c r="R268" s="38" t="s">
        <v>117</v>
      </c>
      <c r="S268" s="87">
        <f t="shared" ca="1" si="36"/>
        <v>10907.611461042574</v>
      </c>
      <c r="T268" s="38" t="s">
        <v>31</v>
      </c>
      <c r="U268" s="88" t="s">
        <v>117</v>
      </c>
    </row>
    <row r="269" spans="1:21" x14ac:dyDescent="0.25">
      <c r="A269" s="49"/>
      <c r="B269" s="37"/>
      <c r="C269" s="86" t="s">
        <v>28</v>
      </c>
      <c r="D269" s="37">
        <f t="shared" si="33"/>
        <v>-23</v>
      </c>
      <c r="F269" s="38" t="s">
        <v>117</v>
      </c>
      <c r="G269" s="38"/>
      <c r="H269" s="266">
        <f t="shared" si="34"/>
        <v>7274.62226420763</v>
      </c>
      <c r="I269" s="38" t="s">
        <v>31</v>
      </c>
      <c r="J269" s="88" t="s">
        <v>117</v>
      </c>
      <c r="N269" s="51"/>
      <c r="O269" s="37"/>
      <c r="P269" s="86" t="s">
        <v>28</v>
      </c>
      <c r="Q269" s="50">
        <f t="shared" si="35"/>
        <v>45</v>
      </c>
      <c r="R269" s="38" t="s">
        <v>117</v>
      </c>
      <c r="S269" s="87">
        <f t="shared" ca="1" si="36"/>
        <v>11247.324174946516</v>
      </c>
      <c r="T269" s="38" t="s">
        <v>31</v>
      </c>
      <c r="U269" s="88" t="s">
        <v>117</v>
      </c>
    </row>
    <row r="270" spans="1:21" x14ac:dyDescent="0.25">
      <c r="A270" s="49"/>
      <c r="B270" s="37"/>
      <c r="C270" s="86" t="s">
        <v>28</v>
      </c>
      <c r="D270" s="37">
        <f t="shared" si="33"/>
        <v>-22</v>
      </c>
      <c r="F270" s="38" t="s">
        <v>117</v>
      </c>
      <c r="G270" s="38"/>
      <c r="H270" s="266">
        <f t="shared" si="34"/>
        <v>7322.5429186604479</v>
      </c>
      <c r="I270" s="38" t="s">
        <v>31</v>
      </c>
      <c r="J270" s="88" t="s">
        <v>117</v>
      </c>
      <c r="N270" s="51"/>
      <c r="O270" s="37"/>
      <c r="P270" s="86" t="s">
        <v>28</v>
      </c>
      <c r="Q270" s="50">
        <f t="shared" si="35"/>
        <v>50</v>
      </c>
      <c r="R270" s="38" t="s">
        <v>117</v>
      </c>
      <c r="S270" s="87">
        <f t="shared" ca="1" si="36"/>
        <v>11594.735586955901</v>
      </c>
      <c r="T270" s="38" t="s">
        <v>31</v>
      </c>
      <c r="U270" s="88" t="s">
        <v>117</v>
      </c>
    </row>
    <row r="271" spans="1:21" x14ac:dyDescent="0.25">
      <c r="A271" s="49"/>
      <c r="B271" s="37"/>
      <c r="C271" s="86" t="s">
        <v>28</v>
      </c>
      <c r="D271" s="37">
        <f t="shared" si="33"/>
        <v>-21</v>
      </c>
      <c r="F271" s="38" t="s">
        <v>117</v>
      </c>
      <c r="G271" s="38"/>
      <c r="H271" s="266">
        <f t="shared" si="34"/>
        <v>7370.8035235606039</v>
      </c>
      <c r="I271" s="38" t="s">
        <v>31</v>
      </c>
      <c r="J271" s="88" t="s">
        <v>117</v>
      </c>
      <c r="N271" s="51"/>
      <c r="O271" s="37"/>
      <c r="P271" s="86" t="s">
        <v>28</v>
      </c>
      <c r="Q271" s="50">
        <f t="shared" si="35"/>
        <v>55</v>
      </c>
      <c r="R271" s="38" t="s">
        <v>117</v>
      </c>
      <c r="S271" s="87">
        <f t="shared" ca="1" si="36"/>
        <v>11949.980460970753</v>
      </c>
      <c r="T271" s="38" t="s">
        <v>31</v>
      </c>
      <c r="U271" s="88" t="s">
        <v>117</v>
      </c>
    </row>
    <row r="272" spans="1:21" x14ac:dyDescent="0.25">
      <c r="A272" s="49"/>
      <c r="B272" s="37"/>
      <c r="C272" s="86" t="s">
        <v>28</v>
      </c>
      <c r="D272" s="37">
        <f t="shared" si="33"/>
        <v>-20</v>
      </c>
      <c r="F272" s="38" t="s">
        <v>117</v>
      </c>
      <c r="G272" s="38"/>
      <c r="H272" s="266">
        <f t="shared" si="34"/>
        <v>7419.4021726698502</v>
      </c>
      <c r="I272" s="38" t="s">
        <v>31</v>
      </c>
      <c r="J272" s="88" t="s">
        <v>117</v>
      </c>
      <c r="N272" s="51"/>
      <c r="O272" s="37"/>
      <c r="P272" s="86" t="s">
        <v>28</v>
      </c>
      <c r="Q272" s="50">
        <f t="shared" si="35"/>
        <v>60</v>
      </c>
      <c r="R272" s="38" t="s">
        <v>117</v>
      </c>
      <c r="S272" s="87">
        <f t="shared" ca="1" si="36"/>
        <v>12313.22059304192</v>
      </c>
      <c r="T272" s="38" t="s">
        <v>31</v>
      </c>
      <c r="U272" s="88" t="s">
        <v>117</v>
      </c>
    </row>
    <row r="273" spans="1:21" x14ac:dyDescent="0.25">
      <c r="A273" s="49"/>
      <c r="B273" s="37"/>
      <c r="C273" s="86" t="s">
        <v>28</v>
      </c>
      <c r="D273" s="37">
        <f t="shared" si="33"/>
        <v>-19</v>
      </c>
      <c r="F273" s="38" t="s">
        <v>117</v>
      </c>
      <c r="G273" s="38"/>
      <c r="H273" s="266">
        <f t="shared" si="34"/>
        <v>7468.3370030013784</v>
      </c>
      <c r="I273" s="38" t="s">
        <v>31</v>
      </c>
      <c r="J273" s="88" t="s">
        <v>117</v>
      </c>
      <c r="N273" s="51"/>
      <c r="O273" s="37"/>
      <c r="P273" s="86" t="s">
        <v>28</v>
      </c>
      <c r="Q273" s="50">
        <f t="shared" si="35"/>
        <v>65</v>
      </c>
      <c r="R273" s="38" t="s">
        <v>117</v>
      </c>
      <c r="S273" s="87">
        <f t="shared" ca="1" si="36"/>
        <v>12684.644811371058</v>
      </c>
      <c r="T273" s="38" t="s">
        <v>31</v>
      </c>
      <c r="U273" s="88" t="s">
        <v>117</v>
      </c>
    </row>
    <row r="274" spans="1:21" x14ac:dyDescent="0.25">
      <c r="A274" s="49"/>
      <c r="B274" s="37"/>
      <c r="C274" s="86" t="s">
        <v>28</v>
      </c>
      <c r="D274" s="37">
        <f t="shared" si="33"/>
        <v>-18</v>
      </c>
      <c r="F274" s="38" t="s">
        <v>117</v>
      </c>
      <c r="G274" s="38"/>
      <c r="H274" s="266">
        <f t="shared" si="34"/>
        <v>7517.6061948198203</v>
      </c>
      <c r="I274" s="38" t="s">
        <v>31</v>
      </c>
      <c r="J274" s="88" t="s">
        <v>117</v>
      </c>
      <c r="N274" s="51"/>
      <c r="O274" s="37"/>
      <c r="P274" s="86" t="s">
        <v>28</v>
      </c>
      <c r="Q274" s="50">
        <f t="shared" si="35"/>
        <v>70</v>
      </c>
      <c r="R274" s="38" t="s">
        <v>117</v>
      </c>
      <c r="S274" s="87">
        <f t="shared" ca="1" si="36"/>
        <v>13064.468976310629</v>
      </c>
      <c r="T274" s="38" t="s">
        <v>31</v>
      </c>
      <c r="U274" s="88" t="s">
        <v>117</v>
      </c>
    </row>
    <row r="275" spans="1:21" x14ac:dyDescent="0.25">
      <c r="A275" s="49"/>
      <c r="B275" s="37"/>
      <c r="C275" s="86" t="s">
        <v>28</v>
      </c>
      <c r="D275" s="37">
        <f t="shared" si="33"/>
        <v>-17</v>
      </c>
      <c r="F275" s="38" t="s">
        <v>117</v>
      </c>
      <c r="G275" s="38"/>
      <c r="H275" s="266">
        <f t="shared" si="34"/>
        <v>7567.2079716412518</v>
      </c>
      <c r="I275" s="38" t="s">
        <v>31</v>
      </c>
      <c r="J275" s="88" t="s">
        <v>117</v>
      </c>
      <c r="N275" s="51"/>
      <c r="O275" s="37"/>
      <c r="P275" s="86" t="s">
        <v>28</v>
      </c>
      <c r="Q275" s="50">
        <f t="shared" si="35"/>
        <v>75</v>
      </c>
      <c r="R275" s="38" t="s">
        <v>117</v>
      </c>
      <c r="S275" s="87">
        <f t="shared" ca="1" si="36"/>
        <v>13452.93598036392</v>
      </c>
      <c r="T275" s="38" t="s">
        <v>31</v>
      </c>
      <c r="U275" s="88" t="s">
        <v>117</v>
      </c>
    </row>
    <row r="276" spans="1:21" x14ac:dyDescent="0.25">
      <c r="A276" s="49"/>
      <c r="B276" s="37"/>
      <c r="C276" s="86" t="s">
        <v>28</v>
      </c>
      <c r="D276" s="37">
        <f t="shared" si="33"/>
        <v>-16</v>
      </c>
      <c r="F276" s="38" t="s">
        <v>117</v>
      </c>
      <c r="G276" s="38"/>
      <c r="H276" s="266">
        <f t="shared" si="34"/>
        <v>7617.1406002331887</v>
      </c>
      <c r="I276" s="38" t="s">
        <v>31</v>
      </c>
      <c r="J276" s="88" t="s">
        <v>117</v>
      </c>
      <c r="N276" s="51"/>
      <c r="O276" s="37"/>
      <c r="P276" s="86" t="s">
        <v>28</v>
      </c>
      <c r="Q276" s="50">
        <f t="shared" si="35"/>
        <v>80</v>
      </c>
      <c r="R276" s="38" t="s">
        <v>117</v>
      </c>
      <c r="S276" s="87">
        <f t="shared" ca="1" si="36"/>
        <v>13850.315748185027</v>
      </c>
      <c r="T276" s="38" t="s">
        <v>31</v>
      </c>
      <c r="U276" s="88" t="s">
        <v>117</v>
      </c>
    </row>
    <row r="277" spans="1:21" x14ac:dyDescent="0.25">
      <c r="A277" s="49"/>
      <c r="B277" s="37"/>
      <c r="C277" s="86" t="s">
        <v>28</v>
      </c>
      <c r="D277" s="37">
        <f t="shared" si="33"/>
        <v>-15</v>
      </c>
      <c r="F277" s="38" t="s">
        <v>117</v>
      </c>
      <c r="G277" s="38"/>
      <c r="H277" s="266">
        <f t="shared" si="34"/>
        <v>7667.4023906145867</v>
      </c>
      <c r="I277" s="38" t="s">
        <v>31</v>
      </c>
      <c r="J277" s="88" t="s">
        <v>117</v>
      </c>
      <c r="N277" s="51"/>
      <c r="O277" s="37"/>
      <c r="P277" s="86" t="s">
        <v>28</v>
      </c>
      <c r="Q277" s="50">
        <f t="shared" si="35"/>
        <v>85</v>
      </c>
      <c r="R277" s="38" t="s">
        <v>117</v>
      </c>
      <c r="S277" s="87">
        <f t="shared" ca="1" si="36"/>
        <v>14256.905236578858</v>
      </c>
      <c r="T277" s="38" t="s">
        <v>31</v>
      </c>
      <c r="U277" s="88" t="s">
        <v>117</v>
      </c>
    </row>
    <row r="278" spans="1:21" x14ac:dyDescent="0.25">
      <c r="A278" s="49"/>
      <c r="B278" s="37"/>
      <c r="C278" s="86" t="s">
        <v>28</v>
      </c>
      <c r="D278" s="37">
        <f t="shared" si="33"/>
        <v>-14</v>
      </c>
      <c r="F278" s="38" t="s">
        <v>117</v>
      </c>
      <c r="G278" s="38"/>
      <c r="H278" s="266">
        <f t="shared" si="34"/>
        <v>7717.9916960558412</v>
      </c>
      <c r="I278" s="38" t="s">
        <v>31</v>
      </c>
      <c r="J278" s="88" t="s">
        <v>117</v>
      </c>
      <c r="N278" s="51"/>
      <c r="O278" s="37"/>
      <c r="P278" s="86" t="s">
        <v>28</v>
      </c>
      <c r="Q278" s="50">
        <f t="shared" si="35"/>
        <v>90</v>
      </c>
      <c r="R278" s="38" t="s">
        <v>117</v>
      </c>
      <c r="S278" s="87">
        <f t="shared" ca="1" si="36"/>
        <v>14673.028434501137</v>
      </c>
      <c r="T278" s="38" t="s">
        <v>31</v>
      </c>
      <c r="U278" s="88" t="s">
        <v>117</v>
      </c>
    </row>
    <row r="279" spans="1:21" x14ac:dyDescent="0.25">
      <c r="A279" s="49"/>
      <c r="B279" s="37"/>
      <c r="C279" s="86" t="s">
        <v>28</v>
      </c>
      <c r="D279" s="37">
        <f t="shared" si="33"/>
        <v>-13</v>
      </c>
      <c r="F279" s="38" t="s">
        <v>117</v>
      </c>
      <c r="G279" s="38"/>
      <c r="H279" s="266">
        <f t="shared" si="34"/>
        <v>7768.9069130787975</v>
      </c>
      <c r="I279" s="38" t="s">
        <v>31</v>
      </c>
      <c r="J279" s="88" t="s">
        <v>117</v>
      </c>
      <c r="N279" s="51"/>
      <c r="O279" s="37"/>
      <c r="P279" s="86" t="s">
        <v>28</v>
      </c>
      <c r="Q279" s="50">
        <f t="shared" si="35"/>
        <v>95</v>
      </c>
      <c r="R279" s="38" t="s">
        <v>117</v>
      </c>
      <c r="S279" s="87">
        <f t="shared" ca="1" si="36"/>
        <v>15099.036363058402</v>
      </c>
      <c r="T279" s="38" t="s">
        <v>31</v>
      </c>
      <c r="U279" s="88" t="s">
        <v>117</v>
      </c>
    </row>
    <row r="280" spans="1:21" x14ac:dyDescent="0.25">
      <c r="A280" s="49"/>
      <c r="B280" s="37"/>
      <c r="C280" s="86" t="s">
        <v>28</v>
      </c>
      <c r="D280" s="37">
        <f t="shared" si="33"/>
        <v>-12</v>
      </c>
      <c r="F280" s="38" t="s">
        <v>117</v>
      </c>
      <c r="G280" s="38"/>
      <c r="H280" s="266">
        <f t="shared" si="34"/>
        <v>7820.1464814567344</v>
      </c>
      <c r="I280" s="38" t="s">
        <v>31</v>
      </c>
      <c r="J280" s="88" t="s">
        <v>117</v>
      </c>
      <c r="N280" s="51"/>
      <c r="O280" s="37"/>
      <c r="P280" s="86" t="s">
        <v>28</v>
      </c>
      <c r="Q280" s="50">
        <f t="shared" si="35"/>
        <v>100</v>
      </c>
      <c r="R280" s="38" t="s">
        <v>117</v>
      </c>
      <c r="S280" s="87">
        <f t="shared" ca="1" si="36"/>
        <v>15535.307075507999</v>
      </c>
      <c r="T280" s="38" t="s">
        <v>31</v>
      </c>
      <c r="U280" s="88" t="s">
        <v>117</v>
      </c>
    </row>
    <row r="281" spans="1:21" x14ac:dyDescent="0.25">
      <c r="A281" s="49"/>
      <c r="B281" s="37"/>
      <c r="C281" s="86" t="s">
        <v>28</v>
      </c>
      <c r="D281" s="37">
        <f t="shared" si="33"/>
        <v>-11</v>
      </c>
      <c r="F281" s="38" t="s">
        <v>117</v>
      </c>
      <c r="G281" s="38"/>
      <c r="H281" s="266">
        <f t="shared" si="34"/>
        <v>7871.7088842143712</v>
      </c>
      <c r="I281" s="38" t="s">
        <v>31</v>
      </c>
      <c r="J281" s="88" t="s">
        <v>117</v>
      </c>
      <c r="N281" s="51"/>
      <c r="O281" s="37"/>
      <c r="P281" s="86" t="s">
        <v>28</v>
      </c>
      <c r="Q281" s="50">
        <f t="shared" si="35"/>
        <v>105</v>
      </c>
      <c r="R281" s="38" t="s">
        <v>117</v>
      </c>
      <c r="S281" s="87">
        <f t="shared" ca="1" si="36"/>
        <v>15982.2456572581</v>
      </c>
      <c r="T281" s="38" t="s">
        <v>31</v>
      </c>
      <c r="U281" s="88" t="s">
        <v>117</v>
      </c>
    </row>
    <row r="282" spans="1:21" x14ac:dyDescent="0.25">
      <c r="A282" s="49"/>
      <c r="B282" s="37"/>
      <c r="C282" s="86" t="s">
        <v>28</v>
      </c>
      <c r="D282" s="37">
        <f t="shared" si="33"/>
        <v>-10</v>
      </c>
      <c r="F282" s="38" t="s">
        <v>117</v>
      </c>
      <c r="G282" s="38"/>
      <c r="H282" s="266">
        <f t="shared" si="34"/>
        <v>7923.5926476278764</v>
      </c>
      <c r="I282" s="38" t="s">
        <v>31</v>
      </c>
      <c r="J282" s="88" t="s">
        <v>117</v>
      </c>
      <c r="N282" s="51"/>
      <c r="O282" s="37"/>
      <c r="P282" s="86" t="s">
        <v>28</v>
      </c>
      <c r="Q282" s="50">
        <f t="shared" si="35"/>
        <v>110</v>
      </c>
      <c r="R282" s="38" t="s">
        <v>117</v>
      </c>
      <c r="S282" s="87">
        <f t="shared" ca="1" si="36"/>
        <v>16440.284225867672</v>
      </c>
      <c r="T282" s="38" t="s">
        <v>31</v>
      </c>
      <c r="U282" s="88" t="s">
        <v>117</v>
      </c>
    </row>
    <row r="283" spans="1:21" x14ac:dyDescent="0.25">
      <c r="A283" s="49"/>
      <c r="B283" s="37"/>
      <c r="C283" s="86" t="s">
        <v>28</v>
      </c>
      <c r="D283" s="37">
        <f t="shared" si="33"/>
        <v>-9</v>
      </c>
      <c r="F283" s="38" t="s">
        <v>117</v>
      </c>
      <c r="G283" s="38"/>
      <c r="H283" s="266">
        <f t="shared" si="34"/>
        <v>7975.7963412248491</v>
      </c>
      <c r="I283" s="38" t="s">
        <v>31</v>
      </c>
      <c r="J283" s="88" t="s">
        <v>117</v>
      </c>
      <c r="N283" s="51"/>
      <c r="O283" s="37"/>
      <c r="P283" s="86" t="s">
        <v>28</v>
      </c>
      <c r="Q283" s="50">
        <f t="shared" si="35"/>
        <v>115</v>
      </c>
      <c r="R283" s="38" t="s">
        <v>117</v>
      </c>
      <c r="S283" s="87">
        <f t="shared" ca="1" si="36"/>
        <v>16909.881931046515</v>
      </c>
      <c r="T283" s="38" t="s">
        <v>31</v>
      </c>
      <c r="U283" s="88" t="s">
        <v>117</v>
      </c>
    </row>
    <row r="284" spans="1:21" x14ac:dyDescent="0.25">
      <c r="A284" s="49"/>
      <c r="B284" s="37"/>
      <c r="C284" s="86" t="s">
        <v>28</v>
      </c>
      <c r="D284" s="37">
        <f t="shared" ref="D284:D315" si="37">B56</f>
        <v>-8</v>
      </c>
      <c r="F284" s="38" t="s">
        <v>117</v>
      </c>
      <c r="G284" s="38"/>
      <c r="H284" s="266">
        <f t="shared" ref="H284:H315" si="38">D56</f>
        <v>8028.3185777843391</v>
      </c>
      <c r="I284" s="38" t="s">
        <v>31</v>
      </c>
      <c r="J284" s="88" t="s">
        <v>117</v>
      </c>
      <c r="N284" s="51"/>
      <c r="O284" s="37"/>
      <c r="P284" s="86" t="s">
        <v>28</v>
      </c>
      <c r="Q284" s="50">
        <f t="shared" si="35"/>
        <v>120</v>
      </c>
      <c r="R284" s="38" t="s">
        <v>117</v>
      </c>
      <c r="S284" s="87">
        <f t="shared" ca="1" si="36"/>
        <v>17391.524954655222</v>
      </c>
      <c r="T284" s="38" t="s">
        <v>31</v>
      </c>
      <c r="U284" s="88" t="s">
        <v>117</v>
      </c>
    </row>
    <row r="285" spans="1:21" x14ac:dyDescent="0.25">
      <c r="A285" s="49"/>
      <c r="B285" s="37"/>
      <c r="C285" s="86" t="s">
        <v>28</v>
      </c>
      <c r="D285" s="37">
        <f t="shared" si="37"/>
        <v>-7</v>
      </c>
      <c r="F285" s="38" t="s">
        <v>117</v>
      </c>
      <c r="G285" s="38"/>
      <c r="H285" s="266">
        <f t="shared" si="38"/>
        <v>8081.1580133368334</v>
      </c>
      <c r="I285" s="38" t="s">
        <v>31</v>
      </c>
      <c r="J285" s="88" t="s">
        <v>117</v>
      </c>
      <c r="N285" s="51"/>
      <c r="O285" s="37"/>
      <c r="P285" s="86" t="s">
        <v>28</v>
      </c>
      <c r="Q285" s="50">
        <f t="shared" si="35"/>
        <v>125</v>
      </c>
      <c r="R285" s="38" t="s">
        <v>117</v>
      </c>
      <c r="S285" s="87">
        <f t="shared" ca="1" si="36"/>
        <v>17885.726510705219</v>
      </c>
      <c r="T285" s="38" t="s">
        <v>31</v>
      </c>
      <c r="U285" s="88" t="s">
        <v>117</v>
      </c>
    </row>
    <row r="286" spans="1:21" x14ac:dyDescent="0.25">
      <c r="A286" s="49"/>
      <c r="B286" s="37"/>
      <c r="C286" s="86" t="s">
        <v>28</v>
      </c>
      <c r="D286" s="37">
        <f t="shared" si="37"/>
        <v>-6</v>
      </c>
      <c r="F286" s="38" t="s">
        <v>117</v>
      </c>
      <c r="G286" s="38"/>
      <c r="H286" s="266">
        <f t="shared" si="38"/>
        <v>8134.3133471642586</v>
      </c>
      <c r="I286" s="38" t="s">
        <v>31</v>
      </c>
      <c r="J286" s="88" t="s">
        <v>117</v>
      </c>
      <c r="N286" s="51"/>
      <c r="O286" s="37"/>
      <c r="P286" s="86" t="s">
        <v>28</v>
      </c>
      <c r="Q286" s="50">
        <f t="shared" si="35"/>
        <v>130</v>
      </c>
      <c r="R286" s="38" t="s">
        <v>117</v>
      </c>
      <c r="S286" s="87" t="e">
        <f t="shared" ca="1" si="36"/>
        <v>#N/A</v>
      </c>
      <c r="T286" s="38" t="s">
        <v>31</v>
      </c>
      <c r="U286" s="88" t="s">
        <v>117</v>
      </c>
    </row>
    <row r="287" spans="1:21" x14ac:dyDescent="0.25">
      <c r="A287" s="49"/>
      <c r="B287" s="37"/>
      <c r="C287" s="86" t="s">
        <v>28</v>
      </c>
      <c r="D287" s="37">
        <f t="shared" si="37"/>
        <v>-5</v>
      </c>
      <c r="F287" s="38" t="s">
        <v>117</v>
      </c>
      <c r="G287" s="38"/>
      <c r="H287" s="266">
        <f t="shared" si="38"/>
        <v>8187.7833217999869</v>
      </c>
      <c r="I287" s="38" t="s">
        <v>31</v>
      </c>
      <c r="J287" s="88" t="s">
        <v>117</v>
      </c>
      <c r="N287" s="51"/>
      <c r="O287" s="37"/>
      <c r="P287" s="86" t="s">
        <v>28</v>
      </c>
      <c r="Q287" s="50">
        <f t="shared" si="35"/>
        <v>135</v>
      </c>
      <c r="R287" s="38" t="s">
        <v>117</v>
      </c>
      <c r="S287" s="87" t="e">
        <f t="shared" ca="1" si="36"/>
        <v>#N/A</v>
      </c>
      <c r="T287" s="38" t="s">
        <v>31</v>
      </c>
      <c r="U287" s="88" t="s">
        <v>117</v>
      </c>
    </row>
    <row r="288" spans="1:21" x14ac:dyDescent="0.25">
      <c r="A288" s="49"/>
      <c r="B288" s="37"/>
      <c r="C288" s="86" t="s">
        <v>28</v>
      </c>
      <c r="D288" s="37">
        <f t="shared" si="37"/>
        <v>-4</v>
      </c>
      <c r="F288" s="38" t="s">
        <v>117</v>
      </c>
      <c r="G288" s="38"/>
      <c r="H288" s="266">
        <f t="shared" si="38"/>
        <v>8241.5667230288273</v>
      </c>
      <c r="I288" s="38" t="s">
        <v>31</v>
      </c>
      <c r="J288" s="88" t="s">
        <v>117</v>
      </c>
      <c r="N288" s="51"/>
      <c r="O288" s="37"/>
      <c r="P288" s="86" t="s">
        <v>28</v>
      </c>
      <c r="Q288" s="50">
        <f t="shared" si="35"/>
        <v>140</v>
      </c>
      <c r="R288" s="38" t="s">
        <v>117</v>
      </c>
      <c r="S288" s="87" t="e">
        <f t="shared" ca="1" si="36"/>
        <v>#N/A</v>
      </c>
      <c r="T288" s="38" t="s">
        <v>31</v>
      </c>
      <c r="U288" s="88" t="s">
        <v>117</v>
      </c>
    </row>
    <row r="289" spans="1:21" x14ac:dyDescent="0.25">
      <c r="A289" s="49"/>
      <c r="B289" s="37"/>
      <c r="C289" s="86" t="s">
        <v>28</v>
      </c>
      <c r="D289" s="37">
        <f t="shared" si="37"/>
        <v>-3</v>
      </c>
      <c r="F289" s="38" t="s">
        <v>117</v>
      </c>
      <c r="G289" s="38"/>
      <c r="H289" s="266">
        <f t="shared" si="38"/>
        <v>8295.6623798870351</v>
      </c>
      <c r="I289" s="38" t="s">
        <v>31</v>
      </c>
      <c r="J289" s="88" t="s">
        <v>117</v>
      </c>
      <c r="N289" s="51"/>
      <c r="O289" s="37"/>
      <c r="P289" s="86" t="s">
        <v>28</v>
      </c>
      <c r="Q289" s="50">
        <f t="shared" si="35"/>
        <v>145</v>
      </c>
      <c r="R289" s="38" t="s">
        <v>117</v>
      </c>
      <c r="S289" s="87" t="e">
        <f t="shared" ca="1" si="36"/>
        <v>#N/A</v>
      </c>
      <c r="T289" s="38" t="s">
        <v>31</v>
      </c>
      <c r="U289" s="88" t="s">
        <v>117</v>
      </c>
    </row>
    <row r="290" spans="1:21" x14ac:dyDescent="0.25">
      <c r="A290" s="49"/>
      <c r="B290" s="37"/>
      <c r="C290" s="86" t="s">
        <v>28</v>
      </c>
      <c r="D290" s="37">
        <f t="shared" si="37"/>
        <v>-2</v>
      </c>
      <c r="F290" s="38" t="s">
        <v>117</v>
      </c>
      <c r="G290" s="38"/>
      <c r="H290" s="266">
        <f t="shared" si="38"/>
        <v>8350.0691646623036</v>
      </c>
      <c r="I290" s="38" t="s">
        <v>31</v>
      </c>
      <c r="J290" s="88" t="s">
        <v>117</v>
      </c>
      <c r="N290" s="51"/>
      <c r="O290" s="37"/>
      <c r="P290" s="86" t="s">
        <v>28</v>
      </c>
      <c r="Q290" s="50">
        <f t="shared" si="35"/>
        <v>150</v>
      </c>
      <c r="R290" s="38" t="s">
        <v>117</v>
      </c>
      <c r="S290" s="87" t="e">
        <f t="shared" ca="1" si="36"/>
        <v>#N/A</v>
      </c>
      <c r="T290" s="38" t="s">
        <v>31</v>
      </c>
      <c r="U290" s="88" t="s">
        <v>117</v>
      </c>
    </row>
    <row r="291" spans="1:21" x14ac:dyDescent="0.25">
      <c r="A291" s="49"/>
      <c r="B291" s="37"/>
      <c r="C291" s="86" t="s">
        <v>28</v>
      </c>
      <c r="D291" s="37">
        <f t="shared" si="37"/>
        <v>-1</v>
      </c>
      <c r="F291" s="38" t="s">
        <v>117</v>
      </c>
      <c r="G291" s="38"/>
      <c r="H291" s="266">
        <f t="shared" si="38"/>
        <v>8404.7859928937669</v>
      </c>
      <c r="I291" s="38" t="s">
        <v>31</v>
      </c>
      <c r="J291" s="88" t="s">
        <v>117</v>
      </c>
      <c r="N291" s="51"/>
      <c r="O291" s="37"/>
      <c r="P291" s="86" t="s">
        <v>28</v>
      </c>
      <c r="Q291" s="259">
        <f t="shared" si="35"/>
        <v>155</v>
      </c>
      <c r="R291" s="38" t="s">
        <v>117</v>
      </c>
      <c r="S291" s="266" t="e">
        <f t="shared" ref="S291:S294" ca="1" si="39">Q63</f>
        <v>#N/A</v>
      </c>
      <c r="T291" s="38" t="s">
        <v>31</v>
      </c>
      <c r="U291" s="88" t="s">
        <v>117</v>
      </c>
    </row>
    <row r="292" spans="1:21" x14ac:dyDescent="0.25">
      <c r="A292" s="49"/>
      <c r="B292" s="37"/>
      <c r="C292" s="86" t="s">
        <v>28</v>
      </c>
      <c r="D292" s="37">
        <f t="shared" si="37"/>
        <v>0</v>
      </c>
      <c r="F292" s="38" t="s">
        <v>117</v>
      </c>
      <c r="G292" s="38"/>
      <c r="H292" s="266">
        <f t="shared" si="38"/>
        <v>8459.8118233719997</v>
      </c>
      <c r="I292" s="38" t="s">
        <v>31</v>
      </c>
      <c r="J292" s="88" t="s">
        <v>117</v>
      </c>
      <c r="N292" s="51"/>
      <c r="O292" s="37"/>
      <c r="P292" s="86" t="s">
        <v>28</v>
      </c>
      <c r="Q292" s="259">
        <f t="shared" si="35"/>
        <v>160</v>
      </c>
      <c r="R292" s="38" t="s">
        <v>117</v>
      </c>
      <c r="S292" s="266" t="e">
        <f t="shared" ca="1" si="39"/>
        <v>#N/A</v>
      </c>
      <c r="T292" s="38" t="s">
        <v>31</v>
      </c>
      <c r="U292" s="88" t="s">
        <v>117</v>
      </c>
    </row>
    <row r="293" spans="1:21" x14ac:dyDescent="0.25">
      <c r="A293" s="49"/>
      <c r="B293" s="37"/>
      <c r="C293" s="86" t="s">
        <v>28</v>
      </c>
      <c r="D293" s="37">
        <f t="shared" si="37"/>
        <v>1</v>
      </c>
      <c r="F293" s="38" t="s">
        <v>117</v>
      </c>
      <c r="G293" s="38"/>
      <c r="H293" s="266">
        <f t="shared" si="38"/>
        <v>8515.1456581390212</v>
      </c>
      <c r="I293" s="38" t="s">
        <v>31</v>
      </c>
      <c r="J293" s="88" t="s">
        <v>117</v>
      </c>
      <c r="N293" s="51"/>
      <c r="O293" s="37"/>
      <c r="P293" s="86" t="s">
        <v>28</v>
      </c>
      <c r="Q293" s="259">
        <f t="shared" si="35"/>
        <v>165</v>
      </c>
      <c r="R293" s="38" t="s">
        <v>117</v>
      </c>
      <c r="S293" s="266" t="e">
        <f t="shared" ca="1" si="39"/>
        <v>#N/A</v>
      </c>
      <c r="T293" s="38" t="s">
        <v>31</v>
      </c>
      <c r="U293" s="88" t="s">
        <v>117</v>
      </c>
    </row>
    <row r="294" spans="1:21" x14ac:dyDescent="0.25">
      <c r="A294" s="49"/>
      <c r="B294" s="37"/>
      <c r="C294" s="86" t="s">
        <v>28</v>
      </c>
      <c r="D294" s="37">
        <f t="shared" si="37"/>
        <v>2</v>
      </c>
      <c r="F294" s="38" t="s">
        <v>117</v>
      </c>
      <c r="G294" s="38"/>
      <c r="H294" s="266">
        <f t="shared" si="38"/>
        <v>8570.786542488293</v>
      </c>
      <c r="I294" s="38" t="s">
        <v>31</v>
      </c>
      <c r="J294" s="88" t="s">
        <v>117</v>
      </c>
      <c r="N294" s="51"/>
      <c r="O294" s="37"/>
      <c r="P294" s="86" t="s">
        <v>28</v>
      </c>
      <c r="Q294" s="259">
        <f t="shared" si="35"/>
        <v>170</v>
      </c>
      <c r="R294" s="38" t="s">
        <v>117</v>
      </c>
      <c r="S294" s="266" t="e">
        <f t="shared" ca="1" si="39"/>
        <v>#N/A</v>
      </c>
      <c r="T294" s="38" t="s">
        <v>31</v>
      </c>
      <c r="U294" s="88" t="s">
        <v>117</v>
      </c>
    </row>
    <row r="295" spans="1:21" x14ac:dyDescent="0.25">
      <c r="A295" s="49"/>
      <c r="B295" s="37"/>
      <c r="C295" s="86" t="s">
        <v>28</v>
      </c>
      <c r="D295" s="37">
        <f t="shared" si="37"/>
        <v>3</v>
      </c>
      <c r="F295" s="38" t="s">
        <v>117</v>
      </c>
      <c r="G295" s="38"/>
      <c r="H295" s="266">
        <f t="shared" si="38"/>
        <v>8626.7335649647139</v>
      </c>
      <c r="I295" s="38" t="s">
        <v>31</v>
      </c>
      <c r="J295" s="88" t="s">
        <v>117</v>
      </c>
      <c r="N295" s="89"/>
      <c r="O295" s="90" t="s">
        <v>31</v>
      </c>
      <c r="P295" s="91" t="s">
        <v>673</v>
      </c>
      <c r="Q295" s="91"/>
      <c r="R295" s="91"/>
      <c r="S295" s="91"/>
      <c r="T295" s="91"/>
      <c r="U295" s="92"/>
    </row>
    <row r="296" spans="1:21" x14ac:dyDescent="0.25">
      <c r="A296" s="49"/>
      <c r="B296" s="37"/>
      <c r="C296" s="86" t="s">
        <v>28</v>
      </c>
      <c r="D296" s="37">
        <f t="shared" si="37"/>
        <v>4</v>
      </c>
      <c r="F296" s="38" t="s">
        <v>117</v>
      </c>
      <c r="G296" s="38"/>
      <c r="H296" s="266">
        <f t="shared" si="38"/>
        <v>8682.9858573646234</v>
      </c>
      <c r="I296" s="38" t="s">
        <v>31</v>
      </c>
      <c r="J296" s="88" t="s">
        <v>117</v>
      </c>
    </row>
    <row r="297" spans="1:21" x14ac:dyDescent="0.25">
      <c r="A297" s="49"/>
      <c r="B297" s="37"/>
      <c r="C297" s="86" t="s">
        <v>28</v>
      </c>
      <c r="D297" s="37">
        <f t="shared" si="37"/>
        <v>5</v>
      </c>
      <c r="F297" s="38" t="s">
        <v>117</v>
      </c>
      <c r="G297" s="38"/>
      <c r="H297" s="266">
        <f t="shared" si="38"/>
        <v>8739.5425947358053</v>
      </c>
      <c r="I297" s="38" t="s">
        <v>31</v>
      </c>
      <c r="J297" s="88" t="s">
        <v>117</v>
      </c>
    </row>
    <row r="298" spans="1:21" x14ac:dyDescent="0.25">
      <c r="A298" s="49"/>
      <c r="B298" s="37"/>
      <c r="C298" s="86" t="s">
        <v>28</v>
      </c>
      <c r="D298" s="37">
        <f t="shared" si="37"/>
        <v>6</v>
      </c>
      <c r="F298" s="38" t="s">
        <v>117</v>
      </c>
      <c r="G298" s="38"/>
      <c r="H298" s="266">
        <f t="shared" si="38"/>
        <v>8796.4029953774861</v>
      </c>
      <c r="I298" s="38" t="s">
        <v>31</v>
      </c>
      <c r="J298" s="88" t="s">
        <v>117</v>
      </c>
    </row>
    <row r="299" spans="1:21" x14ac:dyDescent="0.25">
      <c r="A299" s="49"/>
      <c r="B299" s="37"/>
      <c r="C299" s="86" t="s">
        <v>28</v>
      </c>
      <c r="D299" s="37">
        <f t="shared" si="37"/>
        <v>7</v>
      </c>
      <c r="F299" s="38" t="s">
        <v>117</v>
      </c>
      <c r="G299" s="38"/>
      <c r="H299" s="266">
        <f t="shared" si="38"/>
        <v>8853.5663208403312</v>
      </c>
      <c r="I299" s="38" t="s">
        <v>31</v>
      </c>
      <c r="J299" s="88" t="s">
        <v>117</v>
      </c>
    </row>
    <row r="300" spans="1:21" x14ac:dyDescent="0.25">
      <c r="A300" s="49"/>
      <c r="B300" s="37"/>
      <c r="C300" s="86" t="s">
        <v>28</v>
      </c>
      <c r="D300" s="37">
        <f t="shared" si="37"/>
        <v>8</v>
      </c>
      <c r="F300" s="38" t="s">
        <v>117</v>
      </c>
      <c r="G300" s="38"/>
      <c r="H300" s="266">
        <f t="shared" si="38"/>
        <v>8911.0318759264446</v>
      </c>
      <c r="I300" s="38" t="s">
        <v>31</v>
      </c>
      <c r="J300" s="88" t="s">
        <v>117</v>
      </c>
    </row>
    <row r="301" spans="1:21" x14ac:dyDescent="0.25">
      <c r="A301" s="49"/>
      <c r="B301" s="37"/>
      <c r="C301" s="86" t="s">
        <v>28</v>
      </c>
      <c r="D301" s="37">
        <f t="shared" si="37"/>
        <v>9</v>
      </c>
      <c r="F301" s="38" t="s">
        <v>117</v>
      </c>
      <c r="G301" s="38"/>
      <c r="H301" s="266">
        <f t="shared" si="38"/>
        <v>8968.7990086893751</v>
      </c>
      <c r="I301" s="38" t="s">
        <v>31</v>
      </c>
      <c r="J301" s="88" t="s">
        <v>117</v>
      </c>
    </row>
    <row r="302" spans="1:21" x14ac:dyDescent="0.25">
      <c r="A302" s="49"/>
      <c r="B302" s="37"/>
      <c r="C302" s="86" t="s">
        <v>28</v>
      </c>
      <c r="D302" s="37">
        <f t="shared" si="37"/>
        <v>10</v>
      </c>
      <c r="F302" s="38" t="s">
        <v>117</v>
      </c>
      <c r="G302" s="38"/>
      <c r="H302" s="266">
        <f t="shared" si="38"/>
        <v>9026.8671104341156</v>
      </c>
      <c r="I302" s="38" t="s">
        <v>31</v>
      </c>
      <c r="J302" s="88" t="s">
        <v>117</v>
      </c>
    </row>
    <row r="303" spans="1:21" x14ac:dyDescent="0.25">
      <c r="A303" s="49"/>
      <c r="B303" s="37"/>
      <c r="C303" s="86" t="s">
        <v>28</v>
      </c>
      <c r="D303" s="37">
        <f t="shared" si="37"/>
        <v>11</v>
      </c>
      <c r="F303" s="38" t="s">
        <v>117</v>
      </c>
      <c r="G303" s="38"/>
      <c r="H303" s="266">
        <f t="shared" si="38"/>
        <v>9085.2356157170925</v>
      </c>
      <c r="I303" s="38" t="s">
        <v>31</v>
      </c>
      <c r="J303" s="88" t="s">
        <v>117</v>
      </c>
    </row>
    <row r="304" spans="1:21" x14ac:dyDescent="0.25">
      <c r="A304" s="49"/>
      <c r="B304" s="37"/>
      <c r="C304" s="86" t="s">
        <v>28</v>
      </c>
      <c r="D304" s="37">
        <f t="shared" si="37"/>
        <v>12</v>
      </c>
      <c r="F304" s="38" t="s">
        <v>117</v>
      </c>
      <c r="G304" s="38"/>
      <c r="H304" s="266">
        <f t="shared" si="38"/>
        <v>9143.9040023461821</v>
      </c>
      <c r="I304" s="38" t="s">
        <v>31</v>
      </c>
      <c r="J304" s="88" t="s">
        <v>117</v>
      </c>
    </row>
    <row r="305" spans="1:10" x14ac:dyDescent="0.25">
      <c r="A305" s="49"/>
      <c r="B305" s="37"/>
      <c r="C305" s="86" t="s">
        <v>28</v>
      </c>
      <c r="D305" s="37">
        <f t="shared" si="37"/>
        <v>13</v>
      </c>
      <c r="F305" s="38" t="s">
        <v>117</v>
      </c>
      <c r="G305" s="38"/>
      <c r="H305" s="266">
        <f t="shared" si="38"/>
        <v>9202.8717913806922</v>
      </c>
      <c r="I305" s="38" t="s">
        <v>31</v>
      </c>
      <c r="J305" s="88" t="s">
        <v>117</v>
      </c>
    </row>
    <row r="306" spans="1:10" x14ac:dyDescent="0.25">
      <c r="A306" s="49"/>
      <c r="B306" s="37"/>
      <c r="C306" s="86" t="s">
        <v>28</v>
      </c>
      <c r="D306" s="37">
        <f t="shared" si="37"/>
        <v>14</v>
      </c>
      <c r="F306" s="38" t="s">
        <v>117</v>
      </c>
      <c r="G306" s="38"/>
      <c r="H306" s="266">
        <f t="shared" si="38"/>
        <v>9262.1385471313806</v>
      </c>
      <c r="I306" s="38" t="s">
        <v>31</v>
      </c>
      <c r="J306" s="88" t="s">
        <v>117</v>
      </c>
    </row>
    <row r="307" spans="1:10" x14ac:dyDescent="0.25">
      <c r="A307" s="49"/>
      <c r="B307" s="37"/>
      <c r="C307" s="86" t="s">
        <v>28</v>
      </c>
      <c r="D307" s="37">
        <f t="shared" si="37"/>
        <v>15</v>
      </c>
      <c r="F307" s="38" t="s">
        <v>117</v>
      </c>
      <c r="G307" s="38"/>
      <c r="H307" s="266">
        <f t="shared" si="38"/>
        <v>9321.7038771604457</v>
      </c>
      <c r="I307" s="38" t="s">
        <v>31</v>
      </c>
      <c r="J307" s="88" t="s">
        <v>117</v>
      </c>
    </row>
    <row r="308" spans="1:10" x14ac:dyDescent="0.25">
      <c r="A308" s="49"/>
      <c r="B308" s="37"/>
      <c r="C308" s="86" t="s">
        <v>28</v>
      </c>
      <c r="D308" s="37">
        <f t="shared" si="37"/>
        <v>16</v>
      </c>
      <c r="F308" s="38" t="s">
        <v>117</v>
      </c>
      <c r="G308" s="38"/>
      <c r="H308" s="266">
        <f t="shared" si="38"/>
        <v>9381.5674322815212</v>
      </c>
      <c r="I308" s="38" t="s">
        <v>31</v>
      </c>
      <c r="J308" s="88" t="s">
        <v>117</v>
      </c>
    </row>
    <row r="309" spans="1:10" x14ac:dyDescent="0.25">
      <c r="A309" s="49"/>
      <c r="B309" s="37"/>
      <c r="C309" s="86" t="s">
        <v>28</v>
      </c>
      <c r="D309" s="37">
        <f t="shared" si="37"/>
        <v>17</v>
      </c>
      <c r="F309" s="38" t="s">
        <v>117</v>
      </c>
      <c r="G309" s="38"/>
      <c r="H309" s="266">
        <f t="shared" si="38"/>
        <v>9441.7289065596888</v>
      </c>
      <c r="I309" s="38" t="s">
        <v>31</v>
      </c>
      <c r="J309" s="88" t="s">
        <v>117</v>
      </c>
    </row>
    <row r="310" spans="1:10" x14ac:dyDescent="0.25">
      <c r="A310" s="49"/>
      <c r="B310" s="37"/>
      <c r="C310" s="86" t="s">
        <v>28</v>
      </c>
      <c r="D310" s="37">
        <f t="shared" si="37"/>
        <v>18</v>
      </c>
      <c r="F310" s="38" t="s">
        <v>117</v>
      </c>
      <c r="G310" s="38"/>
      <c r="H310" s="266">
        <f t="shared" si="38"/>
        <v>9502.1880373114636</v>
      </c>
      <c r="I310" s="38" t="s">
        <v>31</v>
      </c>
      <c r="J310" s="88" t="s">
        <v>117</v>
      </c>
    </row>
    <row r="311" spans="1:10" x14ac:dyDescent="0.25">
      <c r="A311" s="49"/>
      <c r="B311" s="37"/>
      <c r="C311" s="86" t="s">
        <v>28</v>
      </c>
      <c r="D311" s="37">
        <f t="shared" si="37"/>
        <v>19</v>
      </c>
      <c r="F311" s="38" t="s">
        <v>117</v>
      </c>
      <c r="G311" s="38"/>
      <c r="H311" s="266">
        <f t="shared" si="38"/>
        <v>9562.9446051048089</v>
      </c>
      <c r="I311" s="38" t="s">
        <v>31</v>
      </c>
      <c r="J311" s="88" t="s">
        <v>117</v>
      </c>
    </row>
    <row r="312" spans="1:10" x14ac:dyDescent="0.25">
      <c r="A312" s="49"/>
      <c r="B312" s="37"/>
      <c r="C312" s="86" t="s">
        <v>28</v>
      </c>
      <c r="D312" s="37">
        <f t="shared" si="37"/>
        <v>20</v>
      </c>
      <c r="F312" s="38" t="s">
        <v>117</v>
      </c>
      <c r="G312" s="38"/>
      <c r="H312" s="266">
        <f t="shared" si="38"/>
        <v>9623.9984337591304</v>
      </c>
      <c r="I312" s="38" t="s">
        <v>31</v>
      </c>
      <c r="J312" s="88" t="s">
        <v>117</v>
      </c>
    </row>
    <row r="313" spans="1:10" x14ac:dyDescent="0.25">
      <c r="A313" s="49"/>
      <c r="B313" s="37"/>
      <c r="C313" s="86" t="s">
        <v>28</v>
      </c>
      <c r="D313" s="37">
        <f t="shared" si="37"/>
        <v>21</v>
      </c>
      <c r="F313" s="38" t="s">
        <v>117</v>
      </c>
      <c r="G313" s="38"/>
      <c r="H313" s="266">
        <f t="shared" si="38"/>
        <v>9685.3493903452709</v>
      </c>
      <c r="I313" s="38" t="s">
        <v>31</v>
      </c>
      <c r="J313" s="88" t="s">
        <v>117</v>
      </c>
    </row>
    <row r="314" spans="1:10" x14ac:dyDescent="0.25">
      <c r="A314" s="49"/>
      <c r="B314" s="37"/>
      <c r="C314" s="86" t="s">
        <v>28</v>
      </c>
      <c r="D314" s="37">
        <f t="shared" si="37"/>
        <v>22</v>
      </c>
      <c r="F314" s="38" t="s">
        <v>117</v>
      </c>
      <c r="G314" s="38"/>
      <c r="H314" s="266">
        <f t="shared" si="38"/>
        <v>9746.9973851855102</v>
      </c>
      <c r="I314" s="38" t="s">
        <v>31</v>
      </c>
      <c r="J314" s="88" t="s">
        <v>117</v>
      </c>
    </row>
    <row r="315" spans="1:10" x14ac:dyDescent="0.25">
      <c r="A315" s="49"/>
      <c r="B315" s="37"/>
      <c r="C315" s="86" t="s">
        <v>28</v>
      </c>
      <c r="D315" s="37">
        <f t="shared" si="37"/>
        <v>23</v>
      </c>
      <c r="F315" s="38" t="s">
        <v>117</v>
      </c>
      <c r="G315" s="38"/>
      <c r="H315" s="266">
        <f t="shared" si="38"/>
        <v>9808.94237185358</v>
      </c>
      <c r="I315" s="38" t="s">
        <v>31</v>
      </c>
      <c r="J315" s="88" t="s">
        <v>117</v>
      </c>
    </row>
    <row r="316" spans="1:10" x14ac:dyDescent="0.25">
      <c r="A316" s="49"/>
      <c r="B316" s="37"/>
      <c r="C316" s="86" t="s">
        <v>28</v>
      </c>
      <c r="D316" s="37">
        <f t="shared" ref="D316:D347" si="40">B88</f>
        <v>24</v>
      </c>
      <c r="F316" s="38" t="s">
        <v>117</v>
      </c>
      <c r="G316" s="38"/>
      <c r="H316" s="266">
        <f t="shared" ref="H316:H347" si="41">D88</f>
        <v>9871.1843471746452</v>
      </c>
      <c r="I316" s="38" t="s">
        <v>31</v>
      </c>
      <c r="J316" s="88" t="s">
        <v>117</v>
      </c>
    </row>
    <row r="317" spans="1:10" x14ac:dyDescent="0.25">
      <c r="A317" s="49"/>
      <c r="B317" s="37"/>
      <c r="C317" s="86" t="s">
        <v>28</v>
      </c>
      <c r="D317" s="37">
        <f t="shared" si="40"/>
        <v>25</v>
      </c>
      <c r="F317" s="38" t="s">
        <v>117</v>
      </c>
      <c r="G317" s="38"/>
      <c r="H317" s="266">
        <f t="shared" si="41"/>
        <v>9933.7233512253169</v>
      </c>
      <c r="I317" s="38" t="s">
        <v>31</v>
      </c>
      <c r="J317" s="88" t="s">
        <v>117</v>
      </c>
    </row>
    <row r="318" spans="1:10" x14ac:dyDescent="0.25">
      <c r="A318" s="49"/>
      <c r="B318" s="37"/>
      <c r="C318" s="86" t="s">
        <v>28</v>
      </c>
      <c r="D318" s="37">
        <f t="shared" si="40"/>
        <v>26</v>
      </c>
      <c r="F318" s="38" t="s">
        <v>117</v>
      </c>
      <c r="G318" s="38"/>
      <c r="H318" s="266">
        <f t="shared" si="41"/>
        <v>9996.5594673336454</v>
      </c>
      <c r="I318" s="38" t="s">
        <v>31</v>
      </c>
      <c r="J318" s="88" t="s">
        <v>117</v>
      </c>
    </row>
    <row r="319" spans="1:10" x14ac:dyDescent="0.25">
      <c r="A319" s="49"/>
      <c r="B319" s="37"/>
      <c r="C319" s="86" t="s">
        <v>28</v>
      </c>
      <c r="D319" s="37">
        <f t="shared" si="40"/>
        <v>27</v>
      </c>
      <c r="F319" s="38" t="s">
        <v>117</v>
      </c>
      <c r="G319" s="38"/>
      <c r="H319" s="266">
        <f t="shared" si="41"/>
        <v>10059.692822079123</v>
      </c>
      <c r="I319" s="38" t="s">
        <v>31</v>
      </c>
      <c r="J319" s="88" t="s">
        <v>117</v>
      </c>
    </row>
    <row r="320" spans="1:10" x14ac:dyDescent="0.25">
      <c r="A320" s="49"/>
      <c r="B320" s="37"/>
      <c r="C320" s="86" t="s">
        <v>28</v>
      </c>
      <c r="D320" s="37">
        <f t="shared" si="40"/>
        <v>28</v>
      </c>
      <c r="F320" s="38" t="s">
        <v>117</v>
      </c>
      <c r="G320" s="38"/>
      <c r="H320" s="266">
        <f t="shared" si="41"/>
        <v>10123.123585292678</v>
      </c>
      <c r="I320" s="38" t="s">
        <v>31</v>
      </c>
      <c r="J320" s="88" t="s">
        <v>117</v>
      </c>
    </row>
    <row r="321" spans="1:10" x14ac:dyDescent="0.25">
      <c r="A321" s="49"/>
      <c r="B321" s="37"/>
      <c r="C321" s="86" t="s">
        <v>28</v>
      </c>
      <c r="D321" s="37">
        <f t="shared" si="40"/>
        <v>29</v>
      </c>
      <c r="F321" s="38" t="s">
        <v>117</v>
      </c>
      <c r="G321" s="38"/>
      <c r="H321" s="266">
        <f t="shared" si="41"/>
        <v>10186.851970056689</v>
      </c>
      <c r="I321" s="38" t="s">
        <v>31</v>
      </c>
      <c r="J321" s="88" t="s">
        <v>117</v>
      </c>
    </row>
    <row r="322" spans="1:10" x14ac:dyDescent="0.25">
      <c r="A322" s="49"/>
      <c r="B322" s="37"/>
      <c r="C322" s="86" t="s">
        <v>28</v>
      </c>
      <c r="D322" s="37">
        <f t="shared" si="40"/>
        <v>30</v>
      </c>
      <c r="F322" s="38" t="s">
        <v>117</v>
      </c>
      <c r="G322" s="38"/>
      <c r="H322" s="266">
        <f t="shared" si="41"/>
        <v>10250.878232704968</v>
      </c>
      <c r="I322" s="38" t="s">
        <v>31</v>
      </c>
      <c r="J322" s="88" t="s">
        <v>117</v>
      </c>
    </row>
    <row r="323" spans="1:10" x14ac:dyDescent="0.25">
      <c r="A323" s="49"/>
      <c r="B323" s="37"/>
      <c r="C323" s="86" t="s">
        <v>28</v>
      </c>
      <c r="D323" s="37">
        <f t="shared" si="40"/>
        <v>31</v>
      </c>
      <c r="F323" s="38" t="s">
        <v>117</v>
      </c>
      <c r="G323" s="38"/>
      <c r="H323" s="266">
        <f t="shared" si="41"/>
        <v>10315.202672822779</v>
      </c>
      <c r="I323" s="38" t="s">
        <v>31</v>
      </c>
      <c r="J323" s="88" t="s">
        <v>117</v>
      </c>
    </row>
    <row r="324" spans="1:10" x14ac:dyDescent="0.25">
      <c r="A324" s="49"/>
      <c r="B324" s="37"/>
      <c r="C324" s="86" t="s">
        <v>28</v>
      </c>
      <c r="D324" s="37">
        <f t="shared" si="40"/>
        <v>32</v>
      </c>
      <c r="F324" s="38" t="s">
        <v>117</v>
      </c>
      <c r="G324" s="38"/>
      <c r="H324" s="266">
        <f t="shared" si="41"/>
        <v>10379.82563324681</v>
      </c>
      <c r="I324" s="38" t="s">
        <v>31</v>
      </c>
      <c r="J324" s="88" t="s">
        <v>117</v>
      </c>
    </row>
    <row r="325" spans="1:10" x14ac:dyDescent="0.25">
      <c r="A325" s="49"/>
      <c r="B325" s="37"/>
      <c r="C325" s="86" t="s">
        <v>28</v>
      </c>
      <c r="D325" s="37">
        <f t="shared" si="40"/>
        <v>33</v>
      </c>
      <c r="F325" s="38" t="s">
        <v>117</v>
      </c>
      <c r="G325" s="38"/>
      <c r="H325" s="266">
        <f t="shared" si="41"/>
        <v>10444.747500065207</v>
      </c>
      <c r="I325" s="38" t="s">
        <v>31</v>
      </c>
      <c r="J325" s="88" t="s">
        <v>117</v>
      </c>
    </row>
    <row r="326" spans="1:10" x14ac:dyDescent="0.25">
      <c r="A326" s="49"/>
      <c r="B326" s="37"/>
      <c r="C326" s="86" t="s">
        <v>28</v>
      </c>
      <c r="D326" s="37">
        <f t="shared" si="40"/>
        <v>34</v>
      </c>
      <c r="F326" s="38" t="s">
        <v>117</v>
      </c>
      <c r="G326" s="38"/>
      <c r="H326" s="266">
        <f t="shared" si="41"/>
        <v>10509.968702617549</v>
      </c>
      <c r="I326" s="38" t="s">
        <v>31</v>
      </c>
      <c r="J326" s="88" t="s">
        <v>117</v>
      </c>
    </row>
    <row r="327" spans="1:10" x14ac:dyDescent="0.25">
      <c r="A327" s="49"/>
      <c r="B327" s="37"/>
      <c r="C327" s="86" t="s">
        <v>28</v>
      </c>
      <c r="D327" s="37">
        <f t="shared" si="40"/>
        <v>35</v>
      </c>
      <c r="F327" s="38" t="s">
        <v>117</v>
      </c>
      <c r="G327" s="38"/>
      <c r="H327" s="266">
        <f t="shared" si="41"/>
        <v>10575.489713494859</v>
      </c>
      <c r="I327" s="38" t="s">
        <v>31</v>
      </c>
      <c r="J327" s="88" t="s">
        <v>117</v>
      </c>
    </row>
    <row r="328" spans="1:10" x14ac:dyDescent="0.25">
      <c r="A328" s="49"/>
      <c r="B328" s="37"/>
      <c r="C328" s="86" t="s">
        <v>28</v>
      </c>
      <c r="D328" s="37">
        <f t="shared" si="40"/>
        <v>36</v>
      </c>
      <c r="F328" s="38" t="s">
        <v>117</v>
      </c>
      <c r="G328" s="38"/>
      <c r="H328" s="266">
        <f t="shared" si="41"/>
        <v>10641.311048539599</v>
      </c>
      <c r="I328" s="38" t="s">
        <v>31</v>
      </c>
      <c r="J328" s="88" t="s">
        <v>117</v>
      </c>
    </row>
    <row r="329" spans="1:10" x14ac:dyDescent="0.25">
      <c r="A329" s="49"/>
      <c r="B329" s="37"/>
      <c r="C329" s="86" t="s">
        <v>28</v>
      </c>
      <c r="D329" s="37">
        <f t="shared" si="40"/>
        <v>37</v>
      </c>
      <c r="F329" s="38" t="s">
        <v>117</v>
      </c>
      <c r="G329" s="38"/>
      <c r="H329" s="266">
        <f t="shared" si="41"/>
        <v>10707.433266845675</v>
      </c>
      <c r="I329" s="38" t="s">
        <v>31</v>
      </c>
      <c r="J329" s="88" t="s">
        <v>117</v>
      </c>
    </row>
    <row r="330" spans="1:10" x14ac:dyDescent="0.25">
      <c r="A330" s="49"/>
      <c r="B330" s="37"/>
      <c r="C330" s="86" t="s">
        <v>28</v>
      </c>
      <c r="D330" s="37">
        <f t="shared" si="40"/>
        <v>38</v>
      </c>
      <c r="F330" s="38" t="s">
        <v>117</v>
      </c>
      <c r="G330" s="38"/>
      <c r="H330" s="266">
        <f t="shared" si="41"/>
        <v>10773.85697075843</v>
      </c>
      <c r="I330" s="38" t="s">
        <v>31</v>
      </c>
      <c r="J330" s="88" t="s">
        <v>117</v>
      </c>
    </row>
    <row r="331" spans="1:10" x14ac:dyDescent="0.25">
      <c r="A331" s="49"/>
      <c r="B331" s="37"/>
      <c r="C331" s="86" t="s">
        <v>28</v>
      </c>
      <c r="D331" s="37">
        <f t="shared" si="40"/>
        <v>39</v>
      </c>
      <c r="F331" s="38" t="s">
        <v>117</v>
      </c>
      <c r="G331" s="38"/>
      <c r="H331" s="266">
        <f t="shared" si="41"/>
        <v>10840.582805874654</v>
      </c>
      <c r="I331" s="38" t="s">
        <v>31</v>
      </c>
      <c r="J331" s="88" t="s">
        <v>117</v>
      </c>
    </row>
    <row r="332" spans="1:10" x14ac:dyDescent="0.25">
      <c r="A332" s="49"/>
      <c r="B332" s="37"/>
      <c r="C332" s="86" t="s">
        <v>28</v>
      </c>
      <c r="D332" s="37">
        <f t="shared" si="40"/>
        <v>40</v>
      </c>
      <c r="F332" s="38" t="s">
        <v>117</v>
      </c>
      <c r="G332" s="38"/>
      <c r="H332" s="266">
        <f t="shared" si="41"/>
        <v>10907.611461042574</v>
      </c>
      <c r="I332" s="38" t="s">
        <v>31</v>
      </c>
      <c r="J332" s="88" t="s">
        <v>117</v>
      </c>
    </row>
    <row r="333" spans="1:10" x14ac:dyDescent="0.25">
      <c r="A333" s="49"/>
      <c r="B333" s="37"/>
      <c r="C333" s="86" t="s">
        <v>28</v>
      </c>
      <c r="D333" s="37">
        <f t="shared" si="40"/>
        <v>41</v>
      </c>
      <c r="F333" s="38" t="s">
        <v>117</v>
      </c>
      <c r="G333" s="38"/>
      <c r="H333" s="266">
        <f t="shared" si="41"/>
        <v>10974.943668361862</v>
      </c>
      <c r="I333" s="38" t="s">
        <v>31</v>
      </c>
      <c r="J333" s="88" t="s">
        <v>117</v>
      </c>
    </row>
    <row r="334" spans="1:10" x14ac:dyDescent="0.25">
      <c r="A334" s="49"/>
      <c r="B334" s="37"/>
      <c r="C334" s="86" t="s">
        <v>28</v>
      </c>
      <c r="D334" s="37">
        <f t="shared" si="40"/>
        <v>42</v>
      </c>
      <c r="F334" s="38" t="s">
        <v>117</v>
      </c>
      <c r="G334" s="38"/>
      <c r="H334" s="266">
        <f t="shared" si="41"/>
        <v>11042.580203183627</v>
      </c>
      <c r="I334" s="38" t="s">
        <v>31</v>
      </c>
      <c r="J334" s="88" t="s">
        <v>117</v>
      </c>
    </row>
    <row r="335" spans="1:10" x14ac:dyDescent="0.25">
      <c r="A335" s="49"/>
      <c r="B335" s="37"/>
      <c r="C335" s="86" t="s">
        <v>28</v>
      </c>
      <c r="D335" s="37">
        <f t="shared" si="40"/>
        <v>43</v>
      </c>
      <c r="F335" s="38" t="s">
        <v>117</v>
      </c>
      <c r="G335" s="38"/>
      <c r="H335" s="266">
        <f t="shared" si="41"/>
        <v>11110.521884110422</v>
      </c>
      <c r="I335" s="38" t="s">
        <v>31</v>
      </c>
      <c r="J335" s="88" t="s">
        <v>117</v>
      </c>
    </row>
    <row r="336" spans="1:10" x14ac:dyDescent="0.25">
      <c r="A336" s="49"/>
      <c r="B336" s="37"/>
      <c r="C336" s="86" t="s">
        <v>28</v>
      </c>
      <c r="D336" s="37">
        <f t="shared" si="40"/>
        <v>44</v>
      </c>
      <c r="F336" s="38" t="s">
        <v>117</v>
      </c>
      <c r="G336" s="38"/>
      <c r="H336" s="266">
        <f t="shared" si="41"/>
        <v>11178.769572996238</v>
      </c>
      <c r="I336" s="38" t="s">
        <v>31</v>
      </c>
      <c r="J336" s="88" t="s">
        <v>117</v>
      </c>
    </row>
    <row r="337" spans="1:10" x14ac:dyDescent="0.25">
      <c r="A337" s="49"/>
      <c r="B337" s="37"/>
      <c r="C337" s="86" t="s">
        <v>28</v>
      </c>
      <c r="D337" s="37">
        <f t="shared" si="40"/>
        <v>45</v>
      </c>
      <c r="F337" s="38" t="s">
        <v>117</v>
      </c>
      <c r="G337" s="38"/>
      <c r="H337" s="266">
        <f t="shared" si="41"/>
        <v>11247.324174946516</v>
      </c>
      <c r="I337" s="38" t="s">
        <v>31</v>
      </c>
      <c r="J337" s="88" t="s">
        <v>117</v>
      </c>
    </row>
    <row r="338" spans="1:10" x14ac:dyDescent="0.25">
      <c r="A338" s="49"/>
      <c r="B338" s="37"/>
      <c r="C338" s="86" t="s">
        <v>28</v>
      </c>
      <c r="D338" s="37">
        <f t="shared" si="40"/>
        <v>46</v>
      </c>
      <c r="F338" s="38" t="s">
        <v>117</v>
      </c>
      <c r="G338" s="38"/>
      <c r="H338" s="266">
        <f t="shared" si="41"/>
        <v>11316.186638318128</v>
      </c>
      <c r="I338" s="38" t="s">
        <v>31</v>
      </c>
      <c r="J338" s="88" t="s">
        <v>117</v>
      </c>
    </row>
    <row r="339" spans="1:10" x14ac:dyDescent="0.25">
      <c r="A339" s="49"/>
      <c r="B339" s="37"/>
      <c r="C339" s="86" t="s">
        <v>28</v>
      </c>
      <c r="D339" s="37">
        <f t="shared" si="40"/>
        <v>47</v>
      </c>
      <c r="F339" s="38" t="s">
        <v>117</v>
      </c>
      <c r="G339" s="38"/>
      <c r="H339" s="266">
        <f t="shared" si="41"/>
        <v>11385.357954719393</v>
      </c>
      <c r="I339" s="38" t="s">
        <v>31</v>
      </c>
      <c r="J339" s="88" t="s">
        <v>117</v>
      </c>
    </row>
    <row r="340" spans="1:10" x14ac:dyDescent="0.25">
      <c r="A340" s="49"/>
      <c r="B340" s="37"/>
      <c r="C340" s="86" t="s">
        <v>28</v>
      </c>
      <c r="D340" s="37">
        <f t="shared" si="40"/>
        <v>48</v>
      </c>
      <c r="F340" s="38" t="s">
        <v>117</v>
      </c>
      <c r="G340" s="38"/>
      <c r="H340" s="266">
        <f t="shared" si="41"/>
        <v>11454.839159010069</v>
      </c>
      <c r="I340" s="38" t="s">
        <v>31</v>
      </c>
      <c r="J340" s="88" t="s">
        <v>117</v>
      </c>
    </row>
    <row r="341" spans="1:10" x14ac:dyDescent="0.25">
      <c r="A341" s="49"/>
      <c r="B341" s="37"/>
      <c r="C341" s="86" t="s">
        <v>28</v>
      </c>
      <c r="D341" s="37">
        <f t="shared" si="40"/>
        <v>49</v>
      </c>
      <c r="F341" s="38" t="s">
        <v>117</v>
      </c>
      <c r="G341" s="38"/>
      <c r="H341" s="266">
        <f t="shared" si="41"/>
        <v>11524.631329301359</v>
      </c>
      <c r="I341" s="38" t="s">
        <v>31</v>
      </c>
      <c r="J341" s="88" t="s">
        <v>117</v>
      </c>
    </row>
    <row r="342" spans="1:10" x14ac:dyDescent="0.25">
      <c r="A342" s="49"/>
      <c r="B342" s="37"/>
      <c r="C342" s="86" t="s">
        <v>28</v>
      </c>
      <c r="D342" s="37">
        <f t="shared" si="40"/>
        <v>50</v>
      </c>
      <c r="F342" s="38" t="s">
        <v>117</v>
      </c>
      <c r="G342" s="38"/>
      <c r="H342" s="266">
        <f t="shared" si="41"/>
        <v>11594.735586955901</v>
      </c>
      <c r="I342" s="38" t="s">
        <v>31</v>
      </c>
      <c r="J342" s="88" t="s">
        <v>117</v>
      </c>
    </row>
    <row r="343" spans="1:10" x14ac:dyDescent="0.25">
      <c r="A343" s="49"/>
      <c r="B343" s="37"/>
      <c r="C343" s="86" t="s">
        <v>28</v>
      </c>
      <c r="D343" s="37">
        <f t="shared" si="40"/>
        <v>51</v>
      </c>
      <c r="F343" s="38" t="s">
        <v>117</v>
      </c>
      <c r="G343" s="38"/>
      <c r="H343" s="266">
        <f t="shared" si="41"/>
        <v>11665.153096587779</v>
      </c>
      <c r="I343" s="38" t="s">
        <v>31</v>
      </c>
      <c r="J343" s="88" t="s">
        <v>117</v>
      </c>
    </row>
    <row r="344" spans="1:10" x14ac:dyDescent="0.25">
      <c r="A344" s="49"/>
      <c r="B344" s="37"/>
      <c r="C344" s="86" t="s">
        <v>28</v>
      </c>
      <c r="D344" s="37">
        <f t="shared" si="40"/>
        <v>52</v>
      </c>
      <c r="F344" s="38" t="s">
        <v>117</v>
      </c>
      <c r="G344" s="38"/>
      <c r="H344" s="266">
        <f t="shared" si="41"/>
        <v>11735.885066062518</v>
      </c>
      <c r="I344" s="38" t="s">
        <v>31</v>
      </c>
      <c r="J344" s="88" t="s">
        <v>117</v>
      </c>
    </row>
    <row r="345" spans="1:10" x14ac:dyDescent="0.25">
      <c r="A345" s="49"/>
      <c r="B345" s="37"/>
      <c r="C345" s="86" t="s">
        <v>28</v>
      </c>
      <c r="D345" s="37">
        <f t="shared" si="40"/>
        <v>53</v>
      </c>
      <c r="F345" s="38" t="s">
        <v>117</v>
      </c>
      <c r="G345" s="38"/>
      <c r="H345" s="266">
        <f t="shared" si="41"/>
        <v>11806.932746497079</v>
      </c>
      <c r="I345" s="38" t="s">
        <v>31</v>
      </c>
      <c r="J345" s="88" t="s">
        <v>117</v>
      </c>
    </row>
    <row r="346" spans="1:10" x14ac:dyDescent="0.25">
      <c r="A346" s="49"/>
      <c r="B346" s="37"/>
      <c r="C346" s="86" t="s">
        <v>28</v>
      </c>
      <c r="D346" s="37">
        <f t="shared" si="40"/>
        <v>54</v>
      </c>
      <c r="F346" s="38" t="s">
        <v>117</v>
      </c>
      <c r="G346" s="38"/>
      <c r="H346" s="266">
        <f t="shared" si="41"/>
        <v>11878.297432259878</v>
      </c>
      <c r="I346" s="38" t="s">
        <v>31</v>
      </c>
      <c r="J346" s="88" t="s">
        <v>117</v>
      </c>
    </row>
    <row r="347" spans="1:10" x14ac:dyDescent="0.25">
      <c r="A347" s="49"/>
      <c r="B347" s="37"/>
      <c r="C347" s="86" t="s">
        <v>28</v>
      </c>
      <c r="D347" s="37">
        <f t="shared" si="40"/>
        <v>55</v>
      </c>
      <c r="F347" s="38" t="s">
        <v>117</v>
      </c>
      <c r="G347" s="38"/>
      <c r="H347" s="266">
        <f t="shared" si="41"/>
        <v>11949.980460970753</v>
      </c>
      <c r="I347" s="38" t="s">
        <v>31</v>
      </c>
      <c r="J347" s="88" t="s">
        <v>117</v>
      </c>
    </row>
    <row r="348" spans="1:10" x14ac:dyDescent="0.25">
      <c r="A348" s="49"/>
      <c r="B348" s="37"/>
      <c r="C348" s="86" t="s">
        <v>28</v>
      </c>
      <c r="D348" s="37">
        <f t="shared" ref="D348:D379" si="42">B120</f>
        <v>56</v>
      </c>
      <c r="F348" s="38" t="s">
        <v>117</v>
      </c>
      <c r="G348" s="38"/>
      <c r="H348" s="266">
        <f t="shared" ref="H348:H379" si="43">D120</f>
        <v>12021.983213501002</v>
      </c>
      <c r="I348" s="38" t="s">
        <v>31</v>
      </c>
      <c r="J348" s="88" t="s">
        <v>117</v>
      </c>
    </row>
    <row r="349" spans="1:10" x14ac:dyDescent="0.25">
      <c r="A349" s="49"/>
      <c r="B349" s="37"/>
      <c r="C349" s="86" t="s">
        <v>28</v>
      </c>
      <c r="D349" s="37">
        <f t="shared" si="42"/>
        <v>57</v>
      </c>
      <c r="F349" s="38" t="s">
        <v>117</v>
      </c>
      <c r="G349" s="38"/>
      <c r="H349" s="266">
        <f t="shared" si="43"/>
        <v>12094.307113973347</v>
      </c>
      <c r="I349" s="38" t="s">
        <v>31</v>
      </c>
      <c r="J349" s="88" t="s">
        <v>117</v>
      </c>
    </row>
    <row r="350" spans="1:10" x14ac:dyDescent="0.25">
      <c r="A350" s="49"/>
      <c r="B350" s="37"/>
      <c r="C350" s="86" t="s">
        <v>28</v>
      </c>
      <c r="D350" s="37">
        <f t="shared" si="42"/>
        <v>58</v>
      </c>
      <c r="F350" s="38" t="s">
        <v>117</v>
      </c>
      <c r="G350" s="38"/>
      <c r="H350" s="266">
        <f t="shared" si="43"/>
        <v>12166.953629761969</v>
      </c>
      <c r="I350" s="38" t="s">
        <v>31</v>
      </c>
      <c r="J350" s="88" t="s">
        <v>117</v>
      </c>
    </row>
    <row r="351" spans="1:10" x14ac:dyDescent="0.25">
      <c r="A351" s="49"/>
      <c r="B351" s="37"/>
      <c r="C351" s="86" t="s">
        <v>28</v>
      </c>
      <c r="D351" s="37">
        <f t="shared" si="42"/>
        <v>59</v>
      </c>
      <c r="F351" s="38" t="s">
        <v>117</v>
      </c>
      <c r="G351" s="38"/>
      <c r="H351" s="266">
        <f t="shared" si="43"/>
        <v>12239.924271492477</v>
      </c>
      <c r="I351" s="38" t="s">
        <v>31</v>
      </c>
      <c r="J351" s="88" t="s">
        <v>117</v>
      </c>
    </row>
    <row r="352" spans="1:10" x14ac:dyDescent="0.25">
      <c r="A352" s="49"/>
      <c r="B352" s="37"/>
      <c r="C352" s="86" t="s">
        <v>28</v>
      </c>
      <c r="D352" s="37">
        <f t="shared" si="42"/>
        <v>60</v>
      </c>
      <c r="F352" s="38" t="s">
        <v>117</v>
      </c>
      <c r="G352" s="38"/>
      <c r="H352" s="266">
        <f t="shared" si="43"/>
        <v>12313.22059304192</v>
      </c>
      <c r="I352" s="38" t="s">
        <v>31</v>
      </c>
      <c r="J352" s="88" t="s">
        <v>117</v>
      </c>
    </row>
    <row r="353" spans="1:10" x14ac:dyDescent="0.25">
      <c r="A353" s="49"/>
      <c r="B353" s="37"/>
      <c r="C353" s="86" t="s">
        <v>28</v>
      </c>
      <c r="D353" s="37">
        <f t="shared" si="42"/>
        <v>61</v>
      </c>
      <c r="F353" s="38" t="s">
        <v>117</v>
      </c>
      <c r="G353" s="38"/>
      <c r="H353" s="266">
        <f t="shared" si="43"/>
        <v>12386.844191538803</v>
      </c>
      <c r="I353" s="38" t="s">
        <v>31</v>
      </c>
      <c r="J353" s="88" t="s">
        <v>117</v>
      </c>
    </row>
    <row r="354" spans="1:10" x14ac:dyDescent="0.25">
      <c r="A354" s="49"/>
      <c r="B354" s="37"/>
      <c r="C354" s="86" t="s">
        <v>28</v>
      </c>
      <c r="D354" s="37">
        <f t="shared" si="42"/>
        <v>62</v>
      </c>
      <c r="F354" s="38" t="s">
        <v>117</v>
      </c>
      <c r="G354" s="38"/>
      <c r="H354" s="266">
        <f t="shared" si="43"/>
        <v>12460.796707363059</v>
      </c>
      <c r="I354" s="38" t="s">
        <v>31</v>
      </c>
      <c r="J354" s="88" t="s">
        <v>117</v>
      </c>
    </row>
    <row r="355" spans="1:10" x14ac:dyDescent="0.25">
      <c r="A355" s="49"/>
      <c r="B355" s="37"/>
      <c r="C355" s="86" t="s">
        <v>28</v>
      </c>
      <c r="D355" s="37">
        <f t="shared" si="42"/>
        <v>63</v>
      </c>
      <c r="F355" s="38" t="s">
        <v>117</v>
      </c>
      <c r="G355" s="38"/>
      <c r="H355" s="266">
        <f t="shared" si="43"/>
        <v>12535.079824146067</v>
      </c>
      <c r="I355" s="38" t="s">
        <v>31</v>
      </c>
      <c r="J355" s="88" t="s">
        <v>117</v>
      </c>
    </row>
    <row r="356" spans="1:10" x14ac:dyDescent="0.25">
      <c r="A356" s="49"/>
      <c r="B356" s="37"/>
      <c r="C356" s="86" t="s">
        <v>28</v>
      </c>
      <c r="D356" s="37">
        <f t="shared" si="42"/>
        <v>64</v>
      </c>
      <c r="F356" s="38" t="s">
        <v>117</v>
      </c>
      <c r="G356" s="38"/>
      <c r="H356" s="266">
        <f t="shared" si="43"/>
        <v>12609.695268770643</v>
      </c>
      <c r="I356" s="38" t="s">
        <v>31</v>
      </c>
      <c r="J356" s="88" t="s">
        <v>117</v>
      </c>
    </row>
    <row r="357" spans="1:10" x14ac:dyDescent="0.25">
      <c r="A357" s="49"/>
      <c r="B357" s="37"/>
      <c r="C357" s="86" t="s">
        <v>28</v>
      </c>
      <c r="D357" s="37">
        <f t="shared" si="42"/>
        <v>65</v>
      </c>
      <c r="F357" s="38" t="s">
        <v>117</v>
      </c>
      <c r="G357" s="38"/>
      <c r="H357" s="266">
        <f t="shared" si="43"/>
        <v>12684.644811371058</v>
      </c>
      <c r="I357" s="38" t="s">
        <v>31</v>
      </c>
      <c r="J357" s="88" t="s">
        <v>117</v>
      </c>
    </row>
    <row r="358" spans="1:10" x14ac:dyDescent="0.25">
      <c r="A358" s="49"/>
      <c r="B358" s="37"/>
      <c r="C358" s="86" t="s">
        <v>28</v>
      </c>
      <c r="D358" s="37">
        <f t="shared" si="42"/>
        <v>66</v>
      </c>
      <c r="F358" s="38" t="s">
        <v>117</v>
      </c>
      <c r="G358" s="38"/>
      <c r="H358" s="266">
        <f t="shared" si="43"/>
        <v>12759.930265333003</v>
      </c>
      <c r="I358" s="38" t="s">
        <v>31</v>
      </c>
      <c r="J358" s="88" t="s">
        <v>117</v>
      </c>
    </row>
    <row r="359" spans="1:10" x14ac:dyDescent="0.25">
      <c r="A359" s="49"/>
      <c r="B359" s="37"/>
      <c r="C359" s="86" t="s">
        <v>28</v>
      </c>
      <c r="D359" s="37">
        <f t="shared" si="42"/>
        <v>67</v>
      </c>
      <c r="F359" s="38" t="s">
        <v>117</v>
      </c>
      <c r="G359" s="38"/>
      <c r="H359" s="266">
        <f t="shared" si="43"/>
        <v>12835.553487293628</v>
      </c>
      <c r="I359" s="38" t="s">
        <v>31</v>
      </c>
      <c r="J359" s="88" t="s">
        <v>117</v>
      </c>
    </row>
    <row r="360" spans="1:10" x14ac:dyDescent="0.25">
      <c r="A360" s="49"/>
      <c r="B360" s="37"/>
      <c r="C360" s="86" t="s">
        <v>28</v>
      </c>
      <c r="D360" s="37">
        <f t="shared" si="42"/>
        <v>68</v>
      </c>
      <c r="F360" s="38" t="s">
        <v>117</v>
      </c>
      <c r="G360" s="38"/>
      <c r="H360" s="266">
        <f t="shared" si="43"/>
        <v>12911.516377141515</v>
      </c>
      <c r="I360" s="38" t="s">
        <v>31</v>
      </c>
      <c r="J360" s="88" t="s">
        <v>117</v>
      </c>
    </row>
    <row r="361" spans="1:10" x14ac:dyDescent="0.25">
      <c r="A361" s="49"/>
      <c r="B361" s="37"/>
      <c r="C361" s="86" t="s">
        <v>28</v>
      </c>
      <c r="D361" s="37">
        <f t="shared" si="42"/>
        <v>69</v>
      </c>
      <c r="F361" s="38" t="s">
        <v>117</v>
      </c>
      <c r="G361" s="38"/>
      <c r="H361" s="266">
        <f t="shared" si="43"/>
        <v>12987.820878016695</v>
      </c>
      <c r="I361" s="38" t="s">
        <v>31</v>
      </c>
      <c r="J361" s="88" t="s">
        <v>117</v>
      </c>
    </row>
    <row r="362" spans="1:10" x14ac:dyDescent="0.25">
      <c r="A362" s="49"/>
      <c r="B362" s="37"/>
      <c r="C362" s="86" t="s">
        <v>28</v>
      </c>
      <c r="D362" s="37">
        <f t="shared" si="42"/>
        <v>70</v>
      </c>
      <c r="F362" s="38" t="s">
        <v>117</v>
      </c>
      <c r="G362" s="38"/>
      <c r="H362" s="266">
        <f t="shared" si="43"/>
        <v>13064.468976310629</v>
      </c>
      <c r="I362" s="38" t="s">
        <v>31</v>
      </c>
      <c r="J362" s="88" t="s">
        <v>117</v>
      </c>
    </row>
    <row r="363" spans="1:10" x14ac:dyDescent="0.25">
      <c r="A363" s="49"/>
      <c r="B363" s="37"/>
      <c r="C363" s="86" t="s">
        <v>28</v>
      </c>
      <c r="D363" s="37">
        <f t="shared" si="42"/>
        <v>71</v>
      </c>
      <c r="F363" s="38" t="s">
        <v>117</v>
      </c>
      <c r="G363" s="38"/>
      <c r="H363" s="266">
        <f t="shared" si="43"/>
        <v>13141.462701666229</v>
      </c>
      <c r="I363" s="38" t="s">
        <v>31</v>
      </c>
      <c r="J363" s="88" t="s">
        <v>117</v>
      </c>
    </row>
    <row r="364" spans="1:10" x14ac:dyDescent="0.25">
      <c r="A364" s="49"/>
      <c r="B364" s="37"/>
      <c r="C364" s="86" t="s">
        <v>28</v>
      </c>
      <c r="D364" s="37">
        <f t="shared" si="42"/>
        <v>72</v>
      </c>
      <c r="F364" s="38" t="s">
        <v>117</v>
      </c>
      <c r="G364" s="38"/>
      <c r="H364" s="266">
        <f t="shared" si="43"/>
        <v>13218.804126977848</v>
      </c>
      <c r="I364" s="38" t="s">
        <v>31</v>
      </c>
      <c r="J364" s="88" t="s">
        <v>117</v>
      </c>
    </row>
    <row r="365" spans="1:10" x14ac:dyDescent="0.25">
      <c r="A365" s="49"/>
      <c r="B365" s="37"/>
      <c r="C365" s="86" t="s">
        <v>28</v>
      </c>
      <c r="D365" s="37">
        <f t="shared" si="42"/>
        <v>73</v>
      </c>
      <c r="F365" s="38" t="s">
        <v>117</v>
      </c>
      <c r="G365" s="38"/>
      <c r="H365" s="266">
        <f t="shared" si="43"/>
        <v>13296.495368391274</v>
      </c>
      <c r="I365" s="38" t="s">
        <v>31</v>
      </c>
      <c r="J365" s="88" t="s">
        <v>117</v>
      </c>
    </row>
    <row r="366" spans="1:10" x14ac:dyDescent="0.25">
      <c r="A366" s="49"/>
      <c r="B366" s="37"/>
      <c r="C366" s="86" t="s">
        <v>28</v>
      </c>
      <c r="D366" s="37">
        <f t="shared" si="42"/>
        <v>74</v>
      </c>
      <c r="F366" s="38" t="s">
        <v>117</v>
      </c>
      <c r="G366" s="38"/>
      <c r="H366" s="266">
        <f t="shared" si="43"/>
        <v>13374.538585303735</v>
      </c>
      <c r="I366" s="38" t="s">
        <v>31</v>
      </c>
      <c r="J366" s="88" t="s">
        <v>117</v>
      </c>
    </row>
    <row r="367" spans="1:10" x14ac:dyDescent="0.25">
      <c r="A367" s="49"/>
      <c r="B367" s="37"/>
      <c r="C367" s="86" t="s">
        <v>28</v>
      </c>
      <c r="D367" s="37">
        <f t="shared" si="42"/>
        <v>75</v>
      </c>
      <c r="F367" s="38" t="s">
        <v>117</v>
      </c>
      <c r="G367" s="38"/>
      <c r="H367" s="266">
        <f t="shared" si="43"/>
        <v>13452.93598036392</v>
      </c>
      <c r="I367" s="38" t="s">
        <v>31</v>
      </c>
      <c r="J367" s="88" t="s">
        <v>117</v>
      </c>
    </row>
    <row r="368" spans="1:10" x14ac:dyDescent="0.25">
      <c r="A368" s="49"/>
      <c r="B368" s="37"/>
      <c r="C368" s="86" t="s">
        <v>28</v>
      </c>
      <c r="D368" s="37">
        <f t="shared" si="42"/>
        <v>76</v>
      </c>
      <c r="F368" s="38" t="s">
        <v>117</v>
      </c>
      <c r="G368" s="38"/>
      <c r="H368" s="266">
        <f t="shared" si="43"/>
        <v>13531.689799471929</v>
      </c>
      <c r="I368" s="38" t="s">
        <v>31</v>
      </c>
      <c r="J368" s="88" t="s">
        <v>117</v>
      </c>
    </row>
    <row r="369" spans="1:10" x14ac:dyDescent="0.25">
      <c r="A369" s="49"/>
      <c r="B369" s="37"/>
      <c r="C369" s="86" t="s">
        <v>28</v>
      </c>
      <c r="D369" s="37">
        <f t="shared" si="42"/>
        <v>77</v>
      </c>
      <c r="F369" s="38" t="s">
        <v>117</v>
      </c>
      <c r="G369" s="38"/>
      <c r="H369" s="266">
        <f t="shared" si="43"/>
        <v>13610.802331779327</v>
      </c>
      <c r="I369" s="38" t="s">
        <v>31</v>
      </c>
      <c r="J369" s="88" t="s">
        <v>117</v>
      </c>
    </row>
    <row r="370" spans="1:10" x14ac:dyDescent="0.25">
      <c r="A370" s="49"/>
      <c r="B370" s="37"/>
      <c r="C370" s="86" t="s">
        <v>28</v>
      </c>
      <c r="D370" s="37">
        <f t="shared" si="42"/>
        <v>78</v>
      </c>
      <c r="F370" s="38" t="s">
        <v>117</v>
      </c>
      <c r="G370" s="38"/>
      <c r="H370" s="266">
        <f t="shared" si="43"/>
        <v>13690.275909689111</v>
      </c>
      <c r="I370" s="38" t="s">
        <v>31</v>
      </c>
      <c r="J370" s="88" t="s">
        <v>117</v>
      </c>
    </row>
    <row r="371" spans="1:10" x14ac:dyDescent="0.25">
      <c r="A371" s="49"/>
      <c r="B371" s="37"/>
      <c r="C371" s="86" t="s">
        <v>28</v>
      </c>
      <c r="D371" s="37">
        <f t="shared" si="42"/>
        <v>79</v>
      </c>
      <c r="F371" s="38" t="s">
        <v>117</v>
      </c>
      <c r="G371" s="38"/>
      <c r="H371" s="266">
        <f t="shared" si="43"/>
        <v>13770.112908855715</v>
      </c>
      <c r="I371" s="38" t="s">
        <v>31</v>
      </c>
      <c r="J371" s="88" t="s">
        <v>117</v>
      </c>
    </row>
    <row r="372" spans="1:10" x14ac:dyDescent="0.25">
      <c r="A372" s="49"/>
      <c r="B372" s="37"/>
      <c r="C372" s="86" t="s">
        <v>28</v>
      </c>
      <c r="D372" s="37">
        <f t="shared" si="42"/>
        <v>80</v>
      </c>
      <c r="F372" s="38" t="s">
        <v>117</v>
      </c>
      <c r="G372" s="38"/>
      <c r="H372" s="266">
        <f t="shared" si="43"/>
        <v>13850.315748185027</v>
      </c>
      <c r="I372" s="38" t="s">
        <v>31</v>
      </c>
      <c r="J372" s="88" t="s">
        <v>117</v>
      </c>
    </row>
    <row r="373" spans="1:10" x14ac:dyDescent="0.25">
      <c r="A373" s="49"/>
      <c r="B373" s="37"/>
      <c r="C373" s="86" t="s">
        <v>28</v>
      </c>
      <c r="D373" s="37">
        <f t="shared" si="42"/>
        <v>81</v>
      </c>
      <c r="F373" s="38" t="s">
        <v>117</v>
      </c>
      <c r="G373" s="38"/>
      <c r="H373" s="266">
        <f t="shared" si="43"/>
        <v>13930.886889834363</v>
      </c>
      <c r="I373" s="38" t="s">
        <v>31</v>
      </c>
      <c r="J373" s="88" t="s">
        <v>117</v>
      </c>
    </row>
    <row r="374" spans="1:10" x14ac:dyDescent="0.25">
      <c r="A374" s="49"/>
      <c r="B374" s="37"/>
      <c r="C374" s="86" t="s">
        <v>28</v>
      </c>
      <c r="D374" s="37">
        <f t="shared" si="42"/>
        <v>82</v>
      </c>
      <c r="F374" s="38" t="s">
        <v>117</v>
      </c>
      <c r="G374" s="38"/>
      <c r="H374" s="266">
        <f t="shared" si="43"/>
        <v>14011.82883921249</v>
      </c>
      <c r="I374" s="38" t="s">
        <v>31</v>
      </c>
      <c r="J374" s="88" t="s">
        <v>117</v>
      </c>
    </row>
    <row r="375" spans="1:10" x14ac:dyDescent="0.25">
      <c r="A375" s="49"/>
      <c r="B375" s="37"/>
      <c r="C375" s="86" t="s">
        <v>28</v>
      </c>
      <c r="D375" s="37">
        <f t="shared" si="42"/>
        <v>83</v>
      </c>
      <c r="F375" s="38" t="s">
        <v>117</v>
      </c>
      <c r="G375" s="38"/>
      <c r="H375" s="266">
        <f t="shared" si="43"/>
        <v>14093.144144979609</v>
      </c>
      <c r="I375" s="38" t="s">
        <v>31</v>
      </c>
      <c r="J375" s="88" t="s">
        <v>117</v>
      </c>
    </row>
    <row r="376" spans="1:10" x14ac:dyDescent="0.25">
      <c r="A376" s="49"/>
      <c r="B376" s="37"/>
      <c r="C376" s="86" t="s">
        <v>28</v>
      </c>
      <c r="D376" s="37">
        <f t="shared" si="42"/>
        <v>84</v>
      </c>
      <c r="F376" s="38" t="s">
        <v>117</v>
      </c>
      <c r="G376" s="38"/>
      <c r="H376" s="266">
        <f t="shared" si="43"/>
        <v>14174.835399047368</v>
      </c>
      <c r="I376" s="38" t="s">
        <v>31</v>
      </c>
      <c r="J376" s="88" t="s">
        <v>117</v>
      </c>
    </row>
    <row r="377" spans="1:10" x14ac:dyDescent="0.25">
      <c r="A377" s="49"/>
      <c r="B377" s="37"/>
      <c r="C377" s="86" t="s">
        <v>28</v>
      </c>
      <c r="D377" s="37">
        <f t="shared" si="42"/>
        <v>85</v>
      </c>
      <c r="F377" s="38" t="s">
        <v>117</v>
      </c>
      <c r="G377" s="38"/>
      <c r="H377" s="266">
        <f t="shared" si="43"/>
        <v>14256.905236578858</v>
      </c>
      <c r="I377" s="38" t="s">
        <v>31</v>
      </c>
      <c r="J377" s="88" t="s">
        <v>117</v>
      </c>
    </row>
    <row r="378" spans="1:10" x14ac:dyDescent="0.25">
      <c r="A378" s="49"/>
      <c r="B378" s="37"/>
      <c r="C378" s="86" t="s">
        <v>28</v>
      </c>
      <c r="D378" s="37">
        <f t="shared" si="42"/>
        <v>86</v>
      </c>
      <c r="F378" s="38" t="s">
        <v>117</v>
      </c>
      <c r="G378" s="38"/>
      <c r="H378" s="266">
        <f t="shared" si="43"/>
        <v>14339.356335988599</v>
      </c>
      <c r="I378" s="38" t="s">
        <v>31</v>
      </c>
      <c r="J378" s="88" t="s">
        <v>117</v>
      </c>
    </row>
    <row r="379" spans="1:10" x14ac:dyDescent="0.25">
      <c r="A379" s="49"/>
      <c r="B379" s="37"/>
      <c r="C379" s="86" t="s">
        <v>28</v>
      </c>
      <c r="D379" s="37">
        <f t="shared" si="42"/>
        <v>87</v>
      </c>
      <c r="F379" s="38" t="s">
        <v>117</v>
      </c>
      <c r="G379" s="38"/>
      <c r="H379" s="266">
        <f t="shared" si="43"/>
        <v>14422.19141894257</v>
      </c>
      <c r="I379" s="38" t="s">
        <v>31</v>
      </c>
      <c r="J379" s="88" t="s">
        <v>117</v>
      </c>
    </row>
    <row r="380" spans="1:10" x14ac:dyDescent="0.25">
      <c r="A380" s="49"/>
      <c r="B380" s="37"/>
      <c r="C380" s="86" t="s">
        <v>28</v>
      </c>
      <c r="D380" s="37">
        <f t="shared" ref="D380:D411" si="44">B152</f>
        <v>88</v>
      </c>
      <c r="F380" s="38" t="s">
        <v>117</v>
      </c>
      <c r="G380" s="38"/>
      <c r="H380" s="266">
        <f t="shared" ref="H380:H411" si="45">D152</f>
        <v>14505.413250358171</v>
      </c>
      <c r="I380" s="38" t="s">
        <v>31</v>
      </c>
      <c r="J380" s="88" t="s">
        <v>117</v>
      </c>
    </row>
    <row r="381" spans="1:10" x14ac:dyDescent="0.25">
      <c r="A381" s="49"/>
      <c r="B381" s="37"/>
      <c r="C381" s="86" t="s">
        <v>28</v>
      </c>
      <c r="D381" s="37">
        <f t="shared" si="44"/>
        <v>89</v>
      </c>
      <c r="F381" s="38" t="s">
        <v>117</v>
      </c>
      <c r="G381" s="38"/>
      <c r="H381" s="266">
        <f t="shared" si="45"/>
        <v>14589.024638404262</v>
      </c>
      <c r="I381" s="38" t="s">
        <v>31</v>
      </c>
      <c r="J381" s="88" t="s">
        <v>117</v>
      </c>
    </row>
    <row r="382" spans="1:10" x14ac:dyDescent="0.25">
      <c r="A382" s="49"/>
      <c r="B382" s="37"/>
      <c r="C382" s="86" t="s">
        <v>28</v>
      </c>
      <c r="D382" s="37">
        <f t="shared" si="44"/>
        <v>90</v>
      </c>
      <c r="F382" s="38" t="s">
        <v>117</v>
      </c>
      <c r="G382" s="38"/>
      <c r="H382" s="266">
        <f t="shared" si="45"/>
        <v>14673.028434501137</v>
      </c>
      <c r="I382" s="38" t="s">
        <v>31</v>
      </c>
      <c r="J382" s="88" t="s">
        <v>117</v>
      </c>
    </row>
    <row r="383" spans="1:10" x14ac:dyDescent="0.25">
      <c r="A383" s="49"/>
      <c r="B383" s="37"/>
      <c r="C383" s="86" t="s">
        <v>28</v>
      </c>
      <c r="D383" s="37">
        <f t="shared" si="44"/>
        <v>91</v>
      </c>
      <c r="F383" s="38" t="s">
        <v>117</v>
      </c>
      <c r="G383" s="38"/>
      <c r="H383" s="266">
        <f t="shared" si="45"/>
        <v>14757.427533320526</v>
      </c>
      <c r="I383" s="38" t="s">
        <v>31</v>
      </c>
      <c r="J383" s="88" t="s">
        <v>117</v>
      </c>
    </row>
    <row r="384" spans="1:10" x14ac:dyDescent="0.25">
      <c r="A384" s="49"/>
      <c r="B384" s="37"/>
      <c r="C384" s="86" t="s">
        <v>28</v>
      </c>
      <c r="D384" s="37">
        <f t="shared" si="44"/>
        <v>92</v>
      </c>
      <c r="F384" s="38" t="s">
        <v>117</v>
      </c>
      <c r="G384" s="38"/>
      <c r="H384" s="266">
        <f t="shared" si="45"/>
        <v>14842.224872785613</v>
      </c>
      <c r="I384" s="38" t="s">
        <v>31</v>
      </c>
      <c r="J384" s="88" t="s">
        <v>117</v>
      </c>
    </row>
    <row r="385" spans="1:10" x14ac:dyDescent="0.25">
      <c r="A385" s="49"/>
      <c r="B385" s="37"/>
      <c r="C385" s="86" t="s">
        <v>28</v>
      </c>
      <c r="D385" s="37">
        <f t="shared" si="44"/>
        <v>93</v>
      </c>
      <c r="F385" s="38" t="s">
        <v>117</v>
      </c>
      <c r="G385" s="38"/>
      <c r="H385" s="266">
        <f t="shared" si="45"/>
        <v>14927.423434071005</v>
      </c>
      <c r="I385" s="38" t="s">
        <v>31</v>
      </c>
      <c r="J385" s="88" t="s">
        <v>117</v>
      </c>
    </row>
    <row r="386" spans="1:10" x14ac:dyDescent="0.25">
      <c r="A386" s="49"/>
      <c r="B386" s="37"/>
      <c r="C386" s="86" t="s">
        <v>28</v>
      </c>
      <c r="D386" s="37">
        <f t="shared" si="44"/>
        <v>94</v>
      </c>
      <c r="F386" s="38" t="s">
        <v>117</v>
      </c>
      <c r="G386" s="38"/>
      <c r="H386" s="266">
        <f t="shared" si="45"/>
        <v>15013.026241602771</v>
      </c>
      <c r="I386" s="38" t="s">
        <v>31</v>
      </c>
      <c r="J386" s="88" t="s">
        <v>117</v>
      </c>
    </row>
    <row r="387" spans="1:10" x14ac:dyDescent="0.25">
      <c r="A387" s="49"/>
      <c r="B387" s="37"/>
      <c r="C387" s="86" t="s">
        <v>28</v>
      </c>
      <c r="D387" s="37">
        <f t="shared" si="44"/>
        <v>95</v>
      </c>
      <c r="F387" s="38" t="s">
        <v>117</v>
      </c>
      <c r="G387" s="38"/>
      <c r="H387" s="266">
        <f t="shared" si="45"/>
        <v>15099.036363058402</v>
      </c>
      <c r="I387" s="38" t="s">
        <v>31</v>
      </c>
      <c r="J387" s="88" t="s">
        <v>117</v>
      </c>
    </row>
    <row r="388" spans="1:10" x14ac:dyDescent="0.25">
      <c r="A388" s="49"/>
      <c r="B388" s="37"/>
      <c r="C388" s="86" t="s">
        <v>28</v>
      </c>
      <c r="D388" s="37">
        <f t="shared" si="44"/>
        <v>96</v>
      </c>
      <c r="F388" s="38" t="s">
        <v>117</v>
      </c>
      <c r="G388" s="38"/>
      <c r="H388" s="266">
        <f t="shared" si="45"/>
        <v>15185.456909366843</v>
      </c>
      <c r="I388" s="38" t="s">
        <v>31</v>
      </c>
      <c r="J388" s="88" t="s">
        <v>117</v>
      </c>
    </row>
    <row r="389" spans="1:10" x14ac:dyDescent="0.25">
      <c r="A389" s="49"/>
      <c r="B389" s="37"/>
      <c r="C389" s="86" t="s">
        <v>28</v>
      </c>
      <c r="D389" s="37">
        <f t="shared" si="44"/>
        <v>97</v>
      </c>
      <c r="F389" s="38" t="s">
        <v>117</v>
      </c>
      <c r="G389" s="38"/>
      <c r="H389" s="266">
        <f t="shared" si="45"/>
        <v>15272.291034708483</v>
      </c>
      <c r="I389" s="38" t="s">
        <v>31</v>
      </c>
      <c r="J389" s="88" t="s">
        <v>117</v>
      </c>
    </row>
    <row r="390" spans="1:10" x14ac:dyDescent="0.25">
      <c r="A390" s="49"/>
      <c r="B390" s="37"/>
      <c r="C390" s="86" t="s">
        <v>28</v>
      </c>
      <c r="D390" s="37">
        <f t="shared" si="44"/>
        <v>98</v>
      </c>
      <c r="F390" s="38" t="s">
        <v>117</v>
      </c>
      <c r="G390" s="38"/>
      <c r="H390" s="266">
        <f t="shared" si="45"/>
        <v>15359.541936515136</v>
      </c>
      <c r="I390" s="38" t="s">
        <v>31</v>
      </c>
      <c r="J390" s="88" t="s">
        <v>117</v>
      </c>
    </row>
    <row r="391" spans="1:10" x14ac:dyDescent="0.25">
      <c r="A391" s="49"/>
      <c r="B391" s="37"/>
      <c r="C391" s="86" t="s">
        <v>28</v>
      </c>
      <c r="D391" s="37">
        <f t="shared" si="44"/>
        <v>99</v>
      </c>
      <c r="F391" s="38" t="s">
        <v>117</v>
      </c>
      <c r="G391" s="38"/>
      <c r="H391" s="266">
        <f t="shared" si="45"/>
        <v>15447.212855470074</v>
      </c>
      <c r="I391" s="38" t="s">
        <v>31</v>
      </c>
      <c r="J391" s="88" t="s">
        <v>117</v>
      </c>
    </row>
    <row r="392" spans="1:10" x14ac:dyDescent="0.25">
      <c r="A392" s="49"/>
      <c r="B392" s="37"/>
      <c r="C392" s="86" t="s">
        <v>28</v>
      </c>
      <c r="D392" s="37">
        <f t="shared" si="44"/>
        <v>100</v>
      </c>
      <c r="F392" s="38" t="s">
        <v>117</v>
      </c>
      <c r="G392" s="38"/>
      <c r="H392" s="266">
        <f t="shared" si="45"/>
        <v>15535.307075507999</v>
      </c>
      <c r="I392" s="38" t="s">
        <v>31</v>
      </c>
      <c r="J392" s="88" t="s">
        <v>117</v>
      </c>
    </row>
    <row r="393" spans="1:10" x14ac:dyDescent="0.25">
      <c r="A393" s="49"/>
      <c r="B393" s="37"/>
      <c r="C393" s="86" t="s">
        <v>28</v>
      </c>
      <c r="D393" s="37">
        <f t="shared" si="44"/>
        <v>101</v>
      </c>
      <c r="F393" s="38" t="s">
        <v>117</v>
      </c>
      <c r="G393" s="38"/>
      <c r="H393" s="266">
        <f t="shared" si="45"/>
        <v>15623.827923815064</v>
      </c>
      <c r="I393" s="38" t="s">
        <v>31</v>
      </c>
      <c r="J393" s="88" t="s">
        <v>117</v>
      </c>
    </row>
    <row r="394" spans="1:10" x14ac:dyDescent="0.25">
      <c r="A394" s="49"/>
      <c r="B394" s="37"/>
      <c r="C394" s="86" t="s">
        <v>28</v>
      </c>
      <c r="D394" s="37">
        <f t="shared" si="44"/>
        <v>102</v>
      </c>
      <c r="F394" s="38" t="s">
        <v>117</v>
      </c>
      <c r="G394" s="38"/>
      <c r="H394" s="266">
        <f t="shared" si="45"/>
        <v>15712.778770828854</v>
      </c>
      <c r="I394" s="38" t="s">
        <v>31</v>
      </c>
      <c r="J394" s="88" t="s">
        <v>117</v>
      </c>
    </row>
    <row r="395" spans="1:10" x14ac:dyDescent="0.25">
      <c r="A395" s="49"/>
      <c r="B395" s="37"/>
      <c r="C395" s="86" t="s">
        <v>28</v>
      </c>
      <c r="D395" s="37">
        <f t="shared" si="44"/>
        <v>103</v>
      </c>
      <c r="F395" s="38" t="s">
        <v>117</v>
      </c>
      <c r="G395" s="38"/>
      <c r="H395" s="266">
        <f t="shared" si="45"/>
        <v>15802.163030238404</v>
      </c>
      <c r="I395" s="38" t="s">
        <v>31</v>
      </c>
      <c r="J395" s="88" t="s">
        <v>117</v>
      </c>
    </row>
    <row r="396" spans="1:10" x14ac:dyDescent="0.25">
      <c r="A396" s="49"/>
      <c r="B396" s="37"/>
      <c r="C396" s="86" t="s">
        <v>28</v>
      </c>
      <c r="D396" s="37">
        <f t="shared" si="44"/>
        <v>104</v>
      </c>
      <c r="F396" s="38" t="s">
        <v>117</v>
      </c>
      <c r="G396" s="38"/>
      <c r="H396" s="266">
        <f t="shared" si="45"/>
        <v>15891.98415898418</v>
      </c>
      <c r="I396" s="38" t="s">
        <v>31</v>
      </c>
      <c r="J396" s="88" t="s">
        <v>117</v>
      </c>
    </row>
    <row r="397" spans="1:10" x14ac:dyDescent="0.25">
      <c r="A397" s="49"/>
      <c r="B397" s="37"/>
      <c r="C397" s="86" t="s">
        <v>28</v>
      </c>
      <c r="D397" s="37">
        <f t="shared" si="44"/>
        <v>105</v>
      </c>
      <c r="F397" s="38" t="s">
        <v>117</v>
      </c>
      <c r="G397" s="38"/>
      <c r="H397" s="266">
        <f t="shared" si="45"/>
        <v>15982.2456572581</v>
      </c>
      <c r="I397" s="38" t="s">
        <v>31</v>
      </c>
      <c r="J397" s="88" t="s">
        <v>117</v>
      </c>
    </row>
    <row r="398" spans="1:10" x14ac:dyDescent="0.25">
      <c r="A398" s="49"/>
      <c r="B398" s="37"/>
      <c r="C398" s="86" t="s">
        <v>28</v>
      </c>
      <c r="D398" s="37">
        <f t="shared" si="44"/>
        <v>106</v>
      </c>
      <c r="F398" s="38" t="s">
        <v>117</v>
      </c>
      <c r="G398" s="38"/>
      <c r="H398" s="266">
        <f t="shared" si="45"/>
        <v>16072.951068503513</v>
      </c>
      <c r="I398" s="38" t="s">
        <v>31</v>
      </c>
      <c r="J398" s="88" t="s">
        <v>117</v>
      </c>
    </row>
    <row r="399" spans="1:10" x14ac:dyDescent="0.25">
      <c r="A399" s="49"/>
      <c r="B399" s="37"/>
      <c r="C399" s="86" t="s">
        <v>28</v>
      </c>
      <c r="D399" s="37">
        <f t="shared" si="44"/>
        <v>107</v>
      </c>
      <c r="F399" s="38" t="s">
        <v>117</v>
      </c>
      <c r="G399" s="38"/>
      <c r="H399" s="266">
        <f t="shared" si="45"/>
        <v>16164.10397941522</v>
      </c>
      <c r="I399" s="38" t="s">
        <v>31</v>
      </c>
      <c r="J399" s="88" t="s">
        <v>117</v>
      </c>
    </row>
    <row r="400" spans="1:10" x14ac:dyDescent="0.25">
      <c r="A400" s="49"/>
      <c r="B400" s="37"/>
      <c r="C400" s="86" t="s">
        <v>28</v>
      </c>
      <c r="D400" s="37">
        <f t="shared" si="44"/>
        <v>108</v>
      </c>
      <c r="F400" s="38" t="s">
        <v>117</v>
      </c>
      <c r="G400" s="38"/>
      <c r="H400" s="266">
        <f t="shared" si="45"/>
        <v>16255.708019939457</v>
      </c>
      <c r="I400" s="38" t="s">
        <v>31</v>
      </c>
      <c r="J400" s="88" t="s">
        <v>117</v>
      </c>
    </row>
    <row r="401" spans="1:10" x14ac:dyDescent="0.25">
      <c r="A401" s="49"/>
      <c r="B401" s="37"/>
      <c r="C401" s="86" t="s">
        <v>28</v>
      </c>
      <c r="D401" s="37">
        <f t="shared" si="44"/>
        <v>109</v>
      </c>
      <c r="F401" s="38" t="s">
        <v>117</v>
      </c>
      <c r="G401" s="38"/>
      <c r="H401" s="266">
        <f t="shared" si="45"/>
        <v>16347.766863273902</v>
      </c>
      <c r="I401" s="38" t="s">
        <v>31</v>
      </c>
      <c r="J401" s="88" t="s">
        <v>117</v>
      </c>
    </row>
    <row r="402" spans="1:10" x14ac:dyDescent="0.25">
      <c r="A402" s="49"/>
      <c r="B402" s="37"/>
      <c r="C402" s="86" t="s">
        <v>28</v>
      </c>
      <c r="D402" s="37">
        <f t="shared" si="44"/>
        <v>110</v>
      </c>
      <c r="F402" s="38" t="s">
        <v>117</v>
      </c>
      <c r="G402" s="38"/>
      <c r="H402" s="266">
        <f t="shared" si="45"/>
        <v>16440.284225867672</v>
      </c>
      <c r="I402" s="38" t="s">
        <v>31</v>
      </c>
      <c r="J402" s="88" t="s">
        <v>117</v>
      </c>
    </row>
    <row r="403" spans="1:10" x14ac:dyDescent="0.25">
      <c r="A403" s="49"/>
      <c r="B403" s="37"/>
      <c r="C403" s="86" t="s">
        <v>28</v>
      </c>
      <c r="D403" s="37">
        <f t="shared" si="44"/>
        <v>111</v>
      </c>
      <c r="F403" s="38" t="s">
        <v>117</v>
      </c>
      <c r="G403" s="38"/>
      <c r="H403" s="266">
        <f t="shared" si="45"/>
        <v>16533.26386742133</v>
      </c>
      <c r="I403" s="38" t="s">
        <v>31</v>
      </c>
      <c r="J403" s="88" t="s">
        <v>117</v>
      </c>
    </row>
    <row r="404" spans="1:10" x14ac:dyDescent="0.25">
      <c r="A404" s="49"/>
      <c r="B404" s="37"/>
      <c r="C404" s="86" t="s">
        <v>28</v>
      </c>
      <c r="D404" s="37">
        <f t="shared" si="44"/>
        <v>112</v>
      </c>
      <c r="F404" s="38" t="s">
        <v>117</v>
      </c>
      <c r="G404" s="38"/>
      <c r="H404" s="266">
        <f t="shared" si="45"/>
        <v>16626.70959088688</v>
      </c>
      <c r="I404" s="38" t="s">
        <v>31</v>
      </c>
      <c r="J404" s="88" t="s">
        <v>117</v>
      </c>
    </row>
    <row r="405" spans="1:10" x14ac:dyDescent="0.25">
      <c r="A405" s="49"/>
      <c r="B405" s="37"/>
      <c r="C405" s="86" t="s">
        <v>28</v>
      </c>
      <c r="D405" s="37">
        <f t="shared" si="44"/>
        <v>113</v>
      </c>
      <c r="F405" s="38" t="s">
        <v>117</v>
      </c>
      <c r="G405" s="38"/>
      <c r="H405" s="266">
        <f t="shared" si="45"/>
        <v>16720.625242467762</v>
      </c>
      <c r="I405" s="38" t="s">
        <v>31</v>
      </c>
      <c r="J405" s="88" t="s">
        <v>117</v>
      </c>
    </row>
    <row r="406" spans="1:10" x14ac:dyDescent="0.25">
      <c r="A406" s="49"/>
      <c r="B406" s="37"/>
      <c r="C406" s="86" t="s">
        <v>28</v>
      </c>
      <c r="D406" s="37">
        <f t="shared" si="44"/>
        <v>114</v>
      </c>
      <c r="F406" s="38" t="s">
        <v>117</v>
      </c>
      <c r="G406" s="38"/>
      <c r="H406" s="266">
        <f t="shared" si="45"/>
        <v>16815.014711618864</v>
      </c>
      <c r="I406" s="38" t="s">
        <v>31</v>
      </c>
      <c r="J406" s="88" t="s">
        <v>117</v>
      </c>
    </row>
    <row r="407" spans="1:10" x14ac:dyDescent="0.25">
      <c r="A407" s="49"/>
      <c r="B407" s="37"/>
      <c r="C407" s="86" t="s">
        <v>28</v>
      </c>
      <c r="D407" s="37">
        <f t="shared" si="44"/>
        <v>115</v>
      </c>
      <c r="F407" s="38" t="s">
        <v>117</v>
      </c>
      <c r="G407" s="38"/>
      <c r="H407" s="266">
        <f t="shared" si="45"/>
        <v>16909.881931046515</v>
      </c>
      <c r="I407" s="38" t="s">
        <v>31</v>
      </c>
      <c r="J407" s="88" t="s">
        <v>117</v>
      </c>
    </row>
    <row r="408" spans="1:10" x14ac:dyDescent="0.25">
      <c r="A408" s="49"/>
      <c r="B408" s="37"/>
      <c r="C408" s="86" t="s">
        <v>28</v>
      </c>
      <c r="D408" s="37">
        <f t="shared" si="44"/>
        <v>116</v>
      </c>
      <c r="F408" s="38" t="s">
        <v>117</v>
      </c>
      <c r="G408" s="38"/>
      <c r="H408" s="266">
        <f t="shared" si="45"/>
        <v>17005.230876708472</v>
      </c>
      <c r="I408" s="38" t="s">
        <v>31</v>
      </c>
      <c r="J408" s="88" t="s">
        <v>117</v>
      </c>
    </row>
    <row r="409" spans="1:10" x14ac:dyDescent="0.25">
      <c r="A409" s="49"/>
      <c r="B409" s="37"/>
      <c r="C409" s="86" t="s">
        <v>28</v>
      </c>
      <c r="D409" s="37">
        <f t="shared" si="44"/>
        <v>117</v>
      </c>
      <c r="F409" s="38" t="s">
        <v>117</v>
      </c>
      <c r="G409" s="38"/>
      <c r="H409" s="266">
        <f t="shared" si="45"/>
        <v>17101.065567813948</v>
      </c>
      <c r="I409" s="38" t="s">
        <v>31</v>
      </c>
      <c r="J409" s="88" t="s">
        <v>117</v>
      </c>
    </row>
    <row r="410" spans="1:10" x14ac:dyDescent="0.25">
      <c r="A410" s="49"/>
      <c r="B410" s="37"/>
      <c r="C410" s="86" t="s">
        <v>28</v>
      </c>
      <c r="D410" s="37">
        <f t="shared" si="44"/>
        <v>118</v>
      </c>
      <c r="F410" s="38" t="s">
        <v>117</v>
      </c>
      <c r="G410" s="38"/>
      <c r="H410" s="266">
        <f t="shared" si="45"/>
        <v>17197.390066823598</v>
      </c>
      <c r="I410" s="38" t="s">
        <v>31</v>
      </c>
      <c r="J410" s="88" t="s">
        <v>117</v>
      </c>
    </row>
    <row r="411" spans="1:10" x14ac:dyDescent="0.25">
      <c r="A411" s="49"/>
      <c r="B411" s="37"/>
      <c r="C411" s="86" t="s">
        <v>28</v>
      </c>
      <c r="D411" s="37">
        <f t="shared" si="44"/>
        <v>119</v>
      </c>
      <c r="F411" s="38" t="s">
        <v>117</v>
      </c>
      <c r="G411" s="38"/>
      <c r="H411" s="266">
        <f t="shared" si="45"/>
        <v>17294.208479449517</v>
      </c>
      <c r="I411" s="38" t="s">
        <v>31</v>
      </c>
      <c r="J411" s="88" t="s">
        <v>117</v>
      </c>
    </row>
    <row r="412" spans="1:10" x14ac:dyDescent="0.25">
      <c r="A412" s="49"/>
      <c r="B412" s="37"/>
      <c r="C412" s="86" t="s">
        <v>28</v>
      </c>
      <c r="D412" s="37">
        <f t="shared" ref="D412:D462" si="46">B184</f>
        <v>120</v>
      </c>
      <c r="F412" s="38" t="s">
        <v>117</v>
      </c>
      <c r="G412" s="38"/>
      <c r="H412" s="266">
        <f t="shared" ref="H412:H462" si="47">D184</f>
        <v>17391.524954655222</v>
      </c>
      <c r="I412" s="38" t="s">
        <v>31</v>
      </c>
      <c r="J412" s="88" t="s">
        <v>117</v>
      </c>
    </row>
    <row r="413" spans="1:10" x14ac:dyDescent="0.25">
      <c r="A413" s="49"/>
      <c r="B413" s="37"/>
      <c r="C413" s="86" t="s">
        <v>28</v>
      </c>
      <c r="D413" s="37">
        <f t="shared" si="46"/>
        <v>121</v>
      </c>
      <c r="F413" s="38" t="s">
        <v>117</v>
      </c>
      <c r="G413" s="38"/>
      <c r="H413" s="266">
        <f t="shared" si="47"/>
        <v>17489.343684655698</v>
      </c>
      <c r="I413" s="38" t="s">
        <v>31</v>
      </c>
      <c r="J413" s="88" t="s">
        <v>117</v>
      </c>
    </row>
    <row r="414" spans="1:10" x14ac:dyDescent="0.25">
      <c r="A414" s="49"/>
      <c r="B414" s="37"/>
      <c r="C414" s="86" t="s">
        <v>28</v>
      </c>
      <c r="D414" s="37">
        <f t="shared" si="46"/>
        <v>122</v>
      </c>
      <c r="F414" s="38" t="s">
        <v>117</v>
      </c>
      <c r="G414" s="38"/>
      <c r="H414" s="266">
        <f t="shared" si="47"/>
        <v>17587.668904917358</v>
      </c>
      <c r="I414" s="38" t="s">
        <v>31</v>
      </c>
      <c r="J414" s="88" t="s">
        <v>117</v>
      </c>
    </row>
    <row r="415" spans="1:10" x14ac:dyDescent="0.25">
      <c r="A415" s="49"/>
      <c r="B415" s="37"/>
      <c r="C415" s="86" t="s">
        <v>28</v>
      </c>
      <c r="D415" s="37">
        <f t="shared" si="46"/>
        <v>123</v>
      </c>
      <c r="F415" s="38" t="s">
        <v>117</v>
      </c>
      <c r="G415" s="38"/>
      <c r="H415" s="266">
        <f t="shared" si="47"/>
        <v>17686.504894158057</v>
      </c>
      <c r="I415" s="38" t="s">
        <v>31</v>
      </c>
      <c r="J415" s="88" t="s">
        <v>117</v>
      </c>
    </row>
    <row r="416" spans="1:10" x14ac:dyDescent="0.25">
      <c r="A416" s="49"/>
      <c r="B416" s="37"/>
      <c r="C416" s="86" t="s">
        <v>28</v>
      </c>
      <c r="D416" s="37">
        <f t="shared" si="46"/>
        <v>124</v>
      </c>
      <c r="F416" s="38" t="s">
        <v>117</v>
      </c>
      <c r="G416" s="38"/>
      <c r="H416" s="266">
        <f t="shared" si="47"/>
        <v>17785.855974347101</v>
      </c>
      <c r="I416" s="38" t="s">
        <v>31</v>
      </c>
      <c r="J416" s="88" t="s">
        <v>117</v>
      </c>
    </row>
    <row r="417" spans="1:10" x14ac:dyDescent="0.25">
      <c r="A417" s="49"/>
      <c r="B417" s="37"/>
      <c r="C417" s="86" t="s">
        <v>28</v>
      </c>
      <c r="D417" s="37">
        <f t="shared" si="46"/>
        <v>125</v>
      </c>
      <c r="F417" s="38" t="s">
        <v>117</v>
      </c>
      <c r="G417" s="38"/>
      <c r="H417" s="266">
        <f t="shared" si="47"/>
        <v>17885.726510705219</v>
      </c>
      <c r="I417" s="38" t="s">
        <v>31</v>
      </c>
      <c r="J417" s="88" t="s">
        <v>117</v>
      </c>
    </row>
    <row r="418" spans="1:10" x14ac:dyDescent="0.25">
      <c r="A418" s="49"/>
      <c r="B418" s="37"/>
      <c r="C418" s="86" t="s">
        <v>28</v>
      </c>
      <c r="D418" s="37">
        <f t="shared" si="46"/>
        <v>126</v>
      </c>
      <c r="F418" s="38" t="s">
        <v>117</v>
      </c>
      <c r="G418" s="38"/>
      <c r="H418" s="266" t="e">
        <f t="shared" si="47"/>
        <v>#N/A</v>
      </c>
      <c r="I418" s="38" t="s">
        <v>31</v>
      </c>
      <c r="J418" s="88" t="s">
        <v>117</v>
      </c>
    </row>
    <row r="419" spans="1:10" x14ac:dyDescent="0.25">
      <c r="A419" s="49"/>
      <c r="B419" s="37"/>
      <c r="C419" s="86" t="s">
        <v>28</v>
      </c>
      <c r="D419" s="37">
        <f t="shared" si="46"/>
        <v>127</v>
      </c>
      <c r="F419" s="38" t="s">
        <v>117</v>
      </c>
      <c r="G419" s="38"/>
      <c r="H419" s="266" t="e">
        <f t="shared" si="47"/>
        <v>#N/A</v>
      </c>
      <c r="I419" s="38" t="s">
        <v>31</v>
      </c>
      <c r="J419" s="88" t="s">
        <v>117</v>
      </c>
    </row>
    <row r="420" spans="1:10" x14ac:dyDescent="0.25">
      <c r="A420" s="49"/>
      <c r="B420" s="37"/>
      <c r="C420" s="86" t="s">
        <v>28</v>
      </c>
      <c r="D420" s="37">
        <f t="shared" si="46"/>
        <v>128</v>
      </c>
      <c r="F420" s="38" t="s">
        <v>117</v>
      </c>
      <c r="G420" s="38"/>
      <c r="H420" s="266" t="e">
        <f t="shared" si="47"/>
        <v>#N/A</v>
      </c>
      <c r="I420" s="38" t="s">
        <v>31</v>
      </c>
      <c r="J420" s="88" t="s">
        <v>117</v>
      </c>
    </row>
    <row r="421" spans="1:10" x14ac:dyDescent="0.25">
      <c r="A421" s="49"/>
      <c r="B421" s="37"/>
      <c r="C421" s="86" t="s">
        <v>28</v>
      </c>
      <c r="D421" s="37">
        <f t="shared" si="46"/>
        <v>129</v>
      </c>
      <c r="F421" s="38" t="s">
        <v>117</v>
      </c>
      <c r="G421" s="38"/>
      <c r="H421" s="266" t="e">
        <f t="shared" si="47"/>
        <v>#N/A</v>
      </c>
      <c r="I421" s="38" t="s">
        <v>31</v>
      </c>
      <c r="J421" s="88" t="s">
        <v>117</v>
      </c>
    </row>
    <row r="422" spans="1:10" x14ac:dyDescent="0.25">
      <c r="A422" s="49"/>
      <c r="B422" s="37"/>
      <c r="C422" s="86" t="s">
        <v>28</v>
      </c>
      <c r="D422" s="37">
        <f t="shared" si="46"/>
        <v>130</v>
      </c>
      <c r="F422" s="38" t="s">
        <v>117</v>
      </c>
      <c r="G422" s="38"/>
      <c r="H422" s="266" t="e">
        <f t="shared" si="47"/>
        <v>#N/A</v>
      </c>
      <c r="I422" s="38" t="s">
        <v>31</v>
      </c>
      <c r="J422" s="88" t="s">
        <v>117</v>
      </c>
    </row>
    <row r="423" spans="1:10" x14ac:dyDescent="0.25">
      <c r="A423" s="49"/>
      <c r="B423" s="37"/>
      <c r="C423" s="86" t="s">
        <v>28</v>
      </c>
      <c r="D423" s="37">
        <f t="shared" si="46"/>
        <v>131</v>
      </c>
      <c r="F423" s="38" t="s">
        <v>117</v>
      </c>
      <c r="G423" s="38"/>
      <c r="H423" s="266" t="e">
        <f t="shared" si="47"/>
        <v>#N/A</v>
      </c>
      <c r="I423" s="38" t="s">
        <v>31</v>
      </c>
      <c r="J423" s="88" t="s">
        <v>117</v>
      </c>
    </row>
    <row r="424" spans="1:10" x14ac:dyDescent="0.25">
      <c r="A424" s="49"/>
      <c r="B424" s="37"/>
      <c r="C424" s="86" t="s">
        <v>28</v>
      </c>
      <c r="D424" s="37">
        <f t="shared" si="46"/>
        <v>132</v>
      </c>
      <c r="F424" s="38" t="s">
        <v>117</v>
      </c>
      <c r="G424" s="38"/>
      <c r="H424" s="266" t="e">
        <f t="shared" si="47"/>
        <v>#N/A</v>
      </c>
      <c r="I424" s="38" t="s">
        <v>31</v>
      </c>
      <c r="J424" s="88" t="s">
        <v>117</v>
      </c>
    </row>
    <row r="425" spans="1:10" x14ac:dyDescent="0.25">
      <c r="A425" s="49"/>
      <c r="B425" s="37"/>
      <c r="C425" s="86" t="s">
        <v>28</v>
      </c>
      <c r="D425" s="37">
        <f t="shared" si="46"/>
        <v>133</v>
      </c>
      <c r="F425" s="38" t="s">
        <v>117</v>
      </c>
      <c r="G425" s="38"/>
      <c r="H425" s="266" t="e">
        <f t="shared" si="47"/>
        <v>#N/A</v>
      </c>
      <c r="I425" s="38" t="s">
        <v>31</v>
      </c>
      <c r="J425" s="88" t="s">
        <v>117</v>
      </c>
    </row>
    <row r="426" spans="1:10" x14ac:dyDescent="0.25">
      <c r="A426" s="49"/>
      <c r="B426" s="37"/>
      <c r="C426" s="86" t="s">
        <v>28</v>
      </c>
      <c r="D426" s="37">
        <f t="shared" si="46"/>
        <v>134</v>
      </c>
      <c r="F426" s="38" t="s">
        <v>117</v>
      </c>
      <c r="G426" s="38"/>
      <c r="H426" s="266" t="e">
        <f t="shared" si="47"/>
        <v>#N/A</v>
      </c>
      <c r="I426" s="38" t="s">
        <v>31</v>
      </c>
      <c r="J426" s="88" t="s">
        <v>117</v>
      </c>
    </row>
    <row r="427" spans="1:10" x14ac:dyDescent="0.25">
      <c r="A427" s="49"/>
      <c r="B427" s="37"/>
      <c r="C427" s="86" t="s">
        <v>28</v>
      </c>
      <c r="D427" s="37">
        <f t="shared" si="46"/>
        <v>135</v>
      </c>
      <c r="F427" s="38" t="s">
        <v>117</v>
      </c>
      <c r="G427" s="38"/>
      <c r="H427" s="266" t="e">
        <f t="shared" si="47"/>
        <v>#N/A</v>
      </c>
      <c r="I427" s="38" t="s">
        <v>31</v>
      </c>
      <c r="J427" s="88" t="s">
        <v>117</v>
      </c>
    </row>
    <row r="428" spans="1:10" x14ac:dyDescent="0.25">
      <c r="A428" s="49"/>
      <c r="B428" s="37"/>
      <c r="C428" s="86" t="s">
        <v>28</v>
      </c>
      <c r="D428" s="37">
        <f t="shared" si="46"/>
        <v>136</v>
      </c>
      <c r="F428" s="38" t="s">
        <v>117</v>
      </c>
      <c r="G428" s="38"/>
      <c r="H428" s="266" t="e">
        <f t="shared" si="47"/>
        <v>#N/A</v>
      </c>
      <c r="I428" s="38" t="s">
        <v>31</v>
      </c>
      <c r="J428" s="88" t="s">
        <v>117</v>
      </c>
    </row>
    <row r="429" spans="1:10" x14ac:dyDescent="0.25">
      <c r="A429" s="49"/>
      <c r="B429" s="37"/>
      <c r="C429" s="86" t="s">
        <v>28</v>
      </c>
      <c r="D429" s="37">
        <f t="shared" si="46"/>
        <v>137</v>
      </c>
      <c r="F429" s="38" t="s">
        <v>117</v>
      </c>
      <c r="G429" s="38"/>
      <c r="H429" s="266" t="e">
        <f t="shared" si="47"/>
        <v>#N/A</v>
      </c>
      <c r="I429" s="38" t="s">
        <v>31</v>
      </c>
      <c r="J429" s="88" t="s">
        <v>117</v>
      </c>
    </row>
    <row r="430" spans="1:10" x14ac:dyDescent="0.25">
      <c r="A430" s="49"/>
      <c r="B430" s="37"/>
      <c r="C430" s="86" t="s">
        <v>28</v>
      </c>
      <c r="D430" s="37">
        <f t="shared" si="46"/>
        <v>138</v>
      </c>
      <c r="F430" s="38" t="s">
        <v>117</v>
      </c>
      <c r="G430" s="38"/>
      <c r="H430" s="266" t="e">
        <f t="shared" si="47"/>
        <v>#N/A</v>
      </c>
      <c r="I430" s="38" t="s">
        <v>31</v>
      </c>
      <c r="J430" s="88" t="s">
        <v>117</v>
      </c>
    </row>
    <row r="431" spans="1:10" x14ac:dyDescent="0.25">
      <c r="A431" s="49"/>
      <c r="B431" s="37"/>
      <c r="C431" s="86" t="s">
        <v>28</v>
      </c>
      <c r="D431" s="37">
        <f t="shared" si="46"/>
        <v>139</v>
      </c>
      <c r="F431" s="38" t="s">
        <v>117</v>
      </c>
      <c r="G431" s="38"/>
      <c r="H431" s="266" t="e">
        <f t="shared" si="47"/>
        <v>#N/A</v>
      </c>
      <c r="I431" s="38" t="s">
        <v>31</v>
      </c>
      <c r="J431" s="88" t="s">
        <v>117</v>
      </c>
    </row>
    <row r="432" spans="1:10" x14ac:dyDescent="0.25">
      <c r="A432" s="49"/>
      <c r="B432" s="37"/>
      <c r="C432" s="86" t="s">
        <v>28</v>
      </c>
      <c r="D432" s="37">
        <f t="shared" si="46"/>
        <v>140</v>
      </c>
      <c r="F432" s="38" t="s">
        <v>117</v>
      </c>
      <c r="G432" s="38"/>
      <c r="H432" s="266" t="e">
        <f t="shared" si="47"/>
        <v>#N/A</v>
      </c>
      <c r="I432" s="38" t="s">
        <v>31</v>
      </c>
      <c r="J432" s="88" t="s">
        <v>117</v>
      </c>
    </row>
    <row r="433" spans="1:10" x14ac:dyDescent="0.25">
      <c r="A433" s="49"/>
      <c r="B433" s="37"/>
      <c r="C433" s="86" t="s">
        <v>28</v>
      </c>
      <c r="D433" s="37">
        <f t="shared" si="46"/>
        <v>141</v>
      </c>
      <c r="F433" s="38" t="s">
        <v>117</v>
      </c>
      <c r="G433" s="38"/>
      <c r="H433" s="266" t="e">
        <f t="shared" si="47"/>
        <v>#N/A</v>
      </c>
      <c r="I433" s="38" t="s">
        <v>31</v>
      </c>
      <c r="J433" s="88" t="s">
        <v>117</v>
      </c>
    </row>
    <row r="434" spans="1:10" x14ac:dyDescent="0.25">
      <c r="A434" s="49"/>
      <c r="B434" s="37"/>
      <c r="C434" s="86" t="s">
        <v>28</v>
      </c>
      <c r="D434" s="37">
        <f t="shared" si="46"/>
        <v>142</v>
      </c>
      <c r="F434" s="38" t="s">
        <v>117</v>
      </c>
      <c r="G434" s="38"/>
      <c r="H434" s="266" t="e">
        <f t="shared" si="47"/>
        <v>#N/A</v>
      </c>
      <c r="I434" s="38" t="s">
        <v>31</v>
      </c>
      <c r="J434" s="88" t="s">
        <v>117</v>
      </c>
    </row>
    <row r="435" spans="1:10" x14ac:dyDescent="0.25">
      <c r="A435" s="49"/>
      <c r="B435" s="37"/>
      <c r="C435" s="86" t="s">
        <v>28</v>
      </c>
      <c r="D435" s="37">
        <f t="shared" si="46"/>
        <v>143</v>
      </c>
      <c r="F435" s="38" t="s">
        <v>117</v>
      </c>
      <c r="G435" s="38"/>
      <c r="H435" s="266" t="e">
        <f t="shared" si="47"/>
        <v>#N/A</v>
      </c>
      <c r="I435" s="38" t="s">
        <v>31</v>
      </c>
      <c r="J435" s="88" t="s">
        <v>117</v>
      </c>
    </row>
    <row r="436" spans="1:10" x14ac:dyDescent="0.25">
      <c r="A436" s="49"/>
      <c r="B436" s="37"/>
      <c r="C436" s="86" t="s">
        <v>28</v>
      </c>
      <c r="D436" s="37">
        <f t="shared" si="46"/>
        <v>144</v>
      </c>
      <c r="F436" s="38" t="s">
        <v>117</v>
      </c>
      <c r="G436" s="38"/>
      <c r="H436" s="266" t="e">
        <f t="shared" si="47"/>
        <v>#N/A</v>
      </c>
      <c r="I436" s="38" t="s">
        <v>31</v>
      </c>
      <c r="J436" s="88" t="s">
        <v>117</v>
      </c>
    </row>
    <row r="437" spans="1:10" x14ac:dyDescent="0.25">
      <c r="A437" s="49"/>
      <c r="B437" s="37"/>
      <c r="C437" s="86" t="s">
        <v>28</v>
      </c>
      <c r="D437" s="37">
        <f t="shared" si="46"/>
        <v>145</v>
      </c>
      <c r="F437" s="38" t="s">
        <v>117</v>
      </c>
      <c r="G437" s="38"/>
      <c r="H437" s="266" t="e">
        <f t="shared" si="47"/>
        <v>#N/A</v>
      </c>
      <c r="I437" s="38" t="s">
        <v>31</v>
      </c>
      <c r="J437" s="88" t="s">
        <v>117</v>
      </c>
    </row>
    <row r="438" spans="1:10" x14ac:dyDescent="0.25">
      <c r="A438" s="49"/>
      <c r="B438" s="37"/>
      <c r="C438" s="86" t="s">
        <v>28</v>
      </c>
      <c r="D438" s="37">
        <f t="shared" si="46"/>
        <v>146</v>
      </c>
      <c r="F438" s="38" t="s">
        <v>117</v>
      </c>
      <c r="G438" s="38"/>
      <c r="H438" s="266" t="e">
        <f t="shared" si="47"/>
        <v>#N/A</v>
      </c>
      <c r="I438" s="38" t="s">
        <v>31</v>
      </c>
      <c r="J438" s="88" t="s">
        <v>117</v>
      </c>
    </row>
    <row r="439" spans="1:10" x14ac:dyDescent="0.25">
      <c r="A439" s="49"/>
      <c r="B439" s="37"/>
      <c r="C439" s="86" t="s">
        <v>28</v>
      </c>
      <c r="D439" s="37">
        <f t="shared" si="46"/>
        <v>147</v>
      </c>
      <c r="F439" s="38" t="s">
        <v>117</v>
      </c>
      <c r="G439" s="38"/>
      <c r="H439" s="266" t="e">
        <f t="shared" si="47"/>
        <v>#N/A</v>
      </c>
      <c r="I439" s="38" t="s">
        <v>31</v>
      </c>
      <c r="J439" s="88" t="s">
        <v>117</v>
      </c>
    </row>
    <row r="440" spans="1:10" x14ac:dyDescent="0.25">
      <c r="A440" s="49"/>
      <c r="B440" s="37"/>
      <c r="C440" s="86" t="s">
        <v>28</v>
      </c>
      <c r="D440" s="37">
        <f t="shared" si="46"/>
        <v>148</v>
      </c>
      <c r="F440" s="38" t="s">
        <v>117</v>
      </c>
      <c r="G440" s="38"/>
      <c r="H440" s="266" t="e">
        <f t="shared" si="47"/>
        <v>#N/A</v>
      </c>
      <c r="I440" s="38" t="s">
        <v>31</v>
      </c>
      <c r="J440" s="88" t="s">
        <v>117</v>
      </c>
    </row>
    <row r="441" spans="1:10" x14ac:dyDescent="0.25">
      <c r="A441" s="49"/>
      <c r="B441" s="37"/>
      <c r="C441" s="86" t="s">
        <v>28</v>
      </c>
      <c r="D441" s="37">
        <f t="shared" si="46"/>
        <v>149</v>
      </c>
      <c r="F441" s="38" t="s">
        <v>117</v>
      </c>
      <c r="G441" s="38"/>
      <c r="H441" s="266" t="e">
        <f t="shared" si="47"/>
        <v>#N/A</v>
      </c>
      <c r="I441" s="38" t="s">
        <v>31</v>
      </c>
      <c r="J441" s="88" t="s">
        <v>117</v>
      </c>
    </row>
    <row r="442" spans="1:10" x14ac:dyDescent="0.25">
      <c r="A442" s="49"/>
      <c r="B442" s="37"/>
      <c r="C442" s="86" t="s">
        <v>28</v>
      </c>
      <c r="D442" s="37">
        <f t="shared" si="46"/>
        <v>150</v>
      </c>
      <c r="F442" s="38" t="s">
        <v>117</v>
      </c>
      <c r="G442" s="38"/>
      <c r="H442" s="266" t="e">
        <f t="shared" si="47"/>
        <v>#N/A</v>
      </c>
      <c r="I442" s="38" t="s">
        <v>31</v>
      </c>
      <c r="J442" s="88" t="s">
        <v>117</v>
      </c>
    </row>
    <row r="443" spans="1:10" s="253" customFormat="1" x14ac:dyDescent="0.25">
      <c r="A443" s="49"/>
      <c r="B443" s="37"/>
      <c r="C443" s="86" t="s">
        <v>28</v>
      </c>
      <c r="D443" s="37">
        <f t="shared" si="46"/>
        <v>151</v>
      </c>
      <c r="F443" s="38" t="s">
        <v>117</v>
      </c>
      <c r="G443" s="38"/>
      <c r="H443" s="266" t="e">
        <f t="shared" si="47"/>
        <v>#N/A</v>
      </c>
      <c r="I443" s="38" t="s">
        <v>31</v>
      </c>
      <c r="J443" s="88" t="s">
        <v>117</v>
      </c>
    </row>
    <row r="444" spans="1:10" s="253" customFormat="1" x14ac:dyDescent="0.25">
      <c r="A444" s="49"/>
      <c r="B444" s="37"/>
      <c r="C444" s="86" t="s">
        <v>28</v>
      </c>
      <c r="D444" s="37">
        <f t="shared" si="46"/>
        <v>152</v>
      </c>
      <c r="F444" s="38" t="s">
        <v>117</v>
      </c>
      <c r="G444" s="38"/>
      <c r="H444" s="266" t="e">
        <f t="shared" si="47"/>
        <v>#N/A</v>
      </c>
      <c r="I444" s="38" t="s">
        <v>31</v>
      </c>
      <c r="J444" s="88" t="s">
        <v>117</v>
      </c>
    </row>
    <row r="445" spans="1:10" s="253" customFormat="1" x14ac:dyDescent="0.25">
      <c r="A445" s="49"/>
      <c r="B445" s="37"/>
      <c r="C445" s="86" t="s">
        <v>28</v>
      </c>
      <c r="D445" s="37">
        <f t="shared" si="46"/>
        <v>153</v>
      </c>
      <c r="F445" s="38" t="s">
        <v>117</v>
      </c>
      <c r="G445" s="38"/>
      <c r="H445" s="266" t="e">
        <f t="shared" si="47"/>
        <v>#N/A</v>
      </c>
      <c r="I445" s="38" t="s">
        <v>31</v>
      </c>
      <c r="J445" s="88" t="s">
        <v>117</v>
      </c>
    </row>
    <row r="446" spans="1:10" s="253" customFormat="1" x14ac:dyDescent="0.25">
      <c r="A446" s="49"/>
      <c r="B446" s="37"/>
      <c r="C446" s="86" t="s">
        <v>28</v>
      </c>
      <c r="D446" s="37">
        <f t="shared" si="46"/>
        <v>154</v>
      </c>
      <c r="F446" s="38" t="s">
        <v>117</v>
      </c>
      <c r="G446" s="38"/>
      <c r="H446" s="266" t="e">
        <f t="shared" si="47"/>
        <v>#N/A</v>
      </c>
      <c r="I446" s="38" t="s">
        <v>31</v>
      </c>
      <c r="J446" s="88" t="s">
        <v>117</v>
      </c>
    </row>
    <row r="447" spans="1:10" s="253" customFormat="1" x14ac:dyDescent="0.25">
      <c r="A447" s="49"/>
      <c r="B447" s="37"/>
      <c r="C447" s="86" t="s">
        <v>28</v>
      </c>
      <c r="D447" s="37">
        <f t="shared" si="46"/>
        <v>155</v>
      </c>
      <c r="F447" s="38" t="s">
        <v>117</v>
      </c>
      <c r="G447" s="38"/>
      <c r="H447" s="266" t="e">
        <f t="shared" si="47"/>
        <v>#N/A</v>
      </c>
      <c r="I447" s="38" t="s">
        <v>31</v>
      </c>
      <c r="J447" s="88" t="s">
        <v>117</v>
      </c>
    </row>
    <row r="448" spans="1:10" s="253" customFormat="1" x14ac:dyDescent="0.25">
      <c r="A448" s="49"/>
      <c r="B448" s="37"/>
      <c r="C448" s="86" t="s">
        <v>28</v>
      </c>
      <c r="D448" s="37">
        <f t="shared" si="46"/>
        <v>156</v>
      </c>
      <c r="F448" s="38" t="s">
        <v>117</v>
      </c>
      <c r="G448" s="38"/>
      <c r="H448" s="266" t="e">
        <f t="shared" si="47"/>
        <v>#N/A</v>
      </c>
      <c r="I448" s="38" t="s">
        <v>31</v>
      </c>
      <c r="J448" s="88" t="s">
        <v>117</v>
      </c>
    </row>
    <row r="449" spans="1:13" s="253" customFormat="1" x14ac:dyDescent="0.25">
      <c r="A449" s="49"/>
      <c r="B449" s="37"/>
      <c r="C449" s="86" t="s">
        <v>28</v>
      </c>
      <c r="D449" s="37">
        <f t="shared" si="46"/>
        <v>157</v>
      </c>
      <c r="F449" s="38" t="s">
        <v>117</v>
      </c>
      <c r="G449" s="38"/>
      <c r="H449" s="266" t="e">
        <f t="shared" si="47"/>
        <v>#N/A</v>
      </c>
      <c r="I449" s="38" t="s">
        <v>31</v>
      </c>
      <c r="J449" s="88" t="s">
        <v>117</v>
      </c>
    </row>
    <row r="450" spans="1:13" s="253" customFormat="1" x14ac:dyDescent="0.25">
      <c r="A450" s="49"/>
      <c r="B450" s="37"/>
      <c r="C450" s="86" t="s">
        <v>28</v>
      </c>
      <c r="D450" s="37">
        <f t="shared" si="46"/>
        <v>158</v>
      </c>
      <c r="F450" s="38" t="s">
        <v>117</v>
      </c>
      <c r="G450" s="38"/>
      <c r="H450" s="266" t="e">
        <f t="shared" si="47"/>
        <v>#N/A</v>
      </c>
      <c r="I450" s="38" t="s">
        <v>31</v>
      </c>
      <c r="J450" s="88" t="s">
        <v>117</v>
      </c>
    </row>
    <row r="451" spans="1:13" s="253" customFormat="1" x14ac:dyDescent="0.25">
      <c r="A451" s="49"/>
      <c r="B451" s="37"/>
      <c r="C451" s="86" t="s">
        <v>28</v>
      </c>
      <c r="D451" s="37">
        <f t="shared" si="46"/>
        <v>159</v>
      </c>
      <c r="F451" s="38" t="s">
        <v>117</v>
      </c>
      <c r="G451" s="38"/>
      <c r="H451" s="266" t="e">
        <f t="shared" si="47"/>
        <v>#N/A</v>
      </c>
      <c r="I451" s="38" t="s">
        <v>31</v>
      </c>
      <c r="J451" s="88" t="s">
        <v>117</v>
      </c>
    </row>
    <row r="452" spans="1:13" s="253" customFormat="1" x14ac:dyDescent="0.25">
      <c r="A452" s="49"/>
      <c r="B452" s="37"/>
      <c r="C452" s="86" t="s">
        <v>28</v>
      </c>
      <c r="D452" s="37">
        <f t="shared" si="46"/>
        <v>160</v>
      </c>
      <c r="F452" s="38" t="s">
        <v>117</v>
      </c>
      <c r="G452" s="38"/>
      <c r="H452" s="266" t="e">
        <f t="shared" si="47"/>
        <v>#N/A</v>
      </c>
      <c r="I452" s="38" t="s">
        <v>31</v>
      </c>
      <c r="J452" s="88" t="s">
        <v>117</v>
      </c>
    </row>
    <row r="453" spans="1:13" s="253" customFormat="1" x14ac:dyDescent="0.25">
      <c r="A453" s="49"/>
      <c r="B453" s="37"/>
      <c r="C453" s="86" t="s">
        <v>28</v>
      </c>
      <c r="D453" s="37">
        <f t="shared" si="46"/>
        <v>161</v>
      </c>
      <c r="F453" s="38" t="s">
        <v>117</v>
      </c>
      <c r="G453" s="38"/>
      <c r="H453" s="266" t="e">
        <f t="shared" si="47"/>
        <v>#N/A</v>
      </c>
      <c r="I453" s="38" t="s">
        <v>31</v>
      </c>
      <c r="J453" s="88" t="s">
        <v>117</v>
      </c>
    </row>
    <row r="454" spans="1:13" s="253" customFormat="1" x14ac:dyDescent="0.25">
      <c r="A454" s="49"/>
      <c r="B454" s="37"/>
      <c r="C454" s="86" t="s">
        <v>28</v>
      </c>
      <c r="D454" s="37">
        <f t="shared" si="46"/>
        <v>162</v>
      </c>
      <c r="F454" s="38" t="s">
        <v>117</v>
      </c>
      <c r="G454" s="38"/>
      <c r="H454" s="266" t="e">
        <f t="shared" si="47"/>
        <v>#N/A</v>
      </c>
      <c r="I454" s="38" t="s">
        <v>31</v>
      </c>
      <c r="J454" s="88" t="s">
        <v>117</v>
      </c>
    </row>
    <row r="455" spans="1:13" s="253" customFormat="1" x14ac:dyDescent="0.25">
      <c r="A455" s="49"/>
      <c r="B455" s="37"/>
      <c r="C455" s="86" t="s">
        <v>28</v>
      </c>
      <c r="D455" s="37">
        <f t="shared" si="46"/>
        <v>163</v>
      </c>
      <c r="F455" s="38" t="s">
        <v>117</v>
      </c>
      <c r="G455" s="38"/>
      <c r="H455" s="266" t="e">
        <f t="shared" si="47"/>
        <v>#N/A</v>
      </c>
      <c r="I455" s="38" t="s">
        <v>31</v>
      </c>
      <c r="J455" s="88" t="s">
        <v>117</v>
      </c>
    </row>
    <row r="456" spans="1:13" s="253" customFormat="1" x14ac:dyDescent="0.25">
      <c r="A456" s="49"/>
      <c r="B456" s="37"/>
      <c r="C456" s="86" t="s">
        <v>28</v>
      </c>
      <c r="D456" s="37">
        <f t="shared" si="46"/>
        <v>164</v>
      </c>
      <c r="F456" s="38" t="s">
        <v>117</v>
      </c>
      <c r="G456" s="38"/>
      <c r="H456" s="266" t="e">
        <f t="shared" si="47"/>
        <v>#N/A</v>
      </c>
      <c r="I456" s="38" t="s">
        <v>31</v>
      </c>
      <c r="J456" s="88" t="s">
        <v>117</v>
      </c>
    </row>
    <row r="457" spans="1:13" s="253" customFormat="1" x14ac:dyDescent="0.25">
      <c r="A457" s="49"/>
      <c r="B457" s="37"/>
      <c r="C457" s="86" t="s">
        <v>28</v>
      </c>
      <c r="D457" s="37">
        <f t="shared" si="46"/>
        <v>165</v>
      </c>
      <c r="F457" s="38" t="s">
        <v>117</v>
      </c>
      <c r="G457" s="38"/>
      <c r="H457" s="266" t="e">
        <f t="shared" si="47"/>
        <v>#N/A</v>
      </c>
      <c r="I457" s="38" t="s">
        <v>31</v>
      </c>
      <c r="J457" s="88" t="s">
        <v>117</v>
      </c>
    </row>
    <row r="458" spans="1:13" s="253" customFormat="1" x14ac:dyDescent="0.25">
      <c r="A458" s="49"/>
      <c r="B458" s="37"/>
      <c r="C458" s="86" t="s">
        <v>28</v>
      </c>
      <c r="D458" s="37">
        <f t="shared" si="46"/>
        <v>166</v>
      </c>
      <c r="F458" s="38" t="s">
        <v>117</v>
      </c>
      <c r="G458" s="38"/>
      <c r="H458" s="266" t="e">
        <f t="shared" si="47"/>
        <v>#N/A</v>
      </c>
      <c r="I458" s="38" t="s">
        <v>31</v>
      </c>
      <c r="J458" s="88" t="s">
        <v>117</v>
      </c>
    </row>
    <row r="459" spans="1:13" s="253" customFormat="1" x14ac:dyDescent="0.25">
      <c r="A459" s="49"/>
      <c r="B459" s="37"/>
      <c r="C459" s="86" t="s">
        <v>28</v>
      </c>
      <c r="D459" s="37">
        <f t="shared" si="46"/>
        <v>167</v>
      </c>
      <c r="F459" s="38" t="s">
        <v>117</v>
      </c>
      <c r="G459" s="38"/>
      <c r="H459" s="266" t="e">
        <f t="shared" si="47"/>
        <v>#N/A</v>
      </c>
      <c r="I459" s="38" t="s">
        <v>31</v>
      </c>
      <c r="J459" s="88" t="s">
        <v>117</v>
      </c>
    </row>
    <row r="460" spans="1:13" s="253" customFormat="1" x14ac:dyDescent="0.25">
      <c r="A460" s="49"/>
      <c r="B460" s="37"/>
      <c r="C460" s="86" t="s">
        <v>28</v>
      </c>
      <c r="D460" s="37">
        <f t="shared" si="46"/>
        <v>168</v>
      </c>
      <c r="F460" s="38" t="s">
        <v>117</v>
      </c>
      <c r="G460" s="38"/>
      <c r="H460" s="266" t="e">
        <f t="shared" si="47"/>
        <v>#N/A</v>
      </c>
      <c r="I460" s="38" t="s">
        <v>31</v>
      </c>
      <c r="J460" s="88" t="s">
        <v>117</v>
      </c>
    </row>
    <row r="461" spans="1:13" s="253" customFormat="1" x14ac:dyDescent="0.25">
      <c r="A461" s="49"/>
      <c r="B461" s="37"/>
      <c r="C461" s="86" t="s">
        <v>28</v>
      </c>
      <c r="D461" s="37">
        <f t="shared" si="46"/>
        <v>169</v>
      </c>
      <c r="F461" s="38" t="s">
        <v>117</v>
      </c>
      <c r="G461" s="38"/>
      <c r="H461" s="266" t="e">
        <f t="shared" si="47"/>
        <v>#N/A</v>
      </c>
      <c r="I461" s="38" t="s">
        <v>31</v>
      </c>
      <c r="J461" s="88" t="s">
        <v>117</v>
      </c>
    </row>
    <row r="462" spans="1:13" s="253" customFormat="1" x14ac:dyDescent="0.25">
      <c r="A462" s="49"/>
      <c r="B462" s="37"/>
      <c r="C462" s="86" t="s">
        <v>28</v>
      </c>
      <c r="D462" s="37">
        <f t="shared" si="46"/>
        <v>170</v>
      </c>
      <c r="F462" s="38" t="s">
        <v>117</v>
      </c>
      <c r="G462" s="38"/>
      <c r="H462" s="266" t="e">
        <f t="shared" si="47"/>
        <v>#N/A</v>
      </c>
      <c r="I462" s="38" t="s">
        <v>31</v>
      </c>
      <c r="J462" s="88" t="s">
        <v>117</v>
      </c>
    </row>
    <row r="463" spans="1:13" s="253" customFormat="1" x14ac:dyDescent="0.25">
      <c r="A463" s="93"/>
      <c r="B463" s="94" t="s">
        <v>31</v>
      </c>
      <c r="C463" s="91" t="s">
        <v>673</v>
      </c>
      <c r="D463" s="267"/>
      <c r="E463" s="91"/>
      <c r="F463" s="91"/>
      <c r="G463" s="267"/>
      <c r="H463" s="91"/>
      <c r="I463" s="267"/>
      <c r="J463" s="92"/>
    </row>
    <row r="464" spans="1:13" s="253" customFormat="1" x14ac:dyDescent="0.25">
      <c r="A464" s="49"/>
      <c r="B464" s="37"/>
      <c r="C464" s="86"/>
      <c r="D464" s="37"/>
      <c r="F464" s="38"/>
      <c r="G464" s="38"/>
      <c r="H464" s="266"/>
      <c r="I464" s="38"/>
      <c r="J464" s="480"/>
      <c r="M464" s="19"/>
    </row>
    <row r="465" spans="1:13" s="253" customFormat="1" x14ac:dyDescent="0.25">
      <c r="A465" s="49"/>
      <c r="B465" s="37"/>
      <c r="C465" s="86"/>
      <c r="D465" s="37"/>
      <c r="F465" s="38"/>
      <c r="G465" s="38"/>
      <c r="H465" s="266"/>
      <c r="I465" s="38"/>
      <c r="J465" s="38"/>
      <c r="M465" s="19"/>
    </row>
    <row r="466" spans="1:13" s="253" customFormat="1" x14ac:dyDescent="0.25">
      <c r="A466" s="49"/>
      <c r="B466" s="37"/>
      <c r="C466" s="86"/>
      <c r="D466" s="37"/>
      <c r="F466" s="38"/>
      <c r="G466" s="38"/>
      <c r="H466" s="266"/>
      <c r="I466" s="38"/>
      <c r="J466" s="38"/>
      <c r="M466" s="19"/>
    </row>
    <row r="467" spans="1:13" s="253" customFormat="1" x14ac:dyDescent="0.25">
      <c r="A467" s="49"/>
      <c r="B467" s="37"/>
      <c r="C467" s="86"/>
      <c r="D467" s="37"/>
      <c r="F467" s="38"/>
      <c r="G467" s="38"/>
      <c r="H467" s="266"/>
      <c r="I467" s="38"/>
      <c r="J467" s="38"/>
      <c r="M467" s="19"/>
    </row>
    <row r="468" spans="1:13" x14ac:dyDescent="0.25"/>
    <row r="469" spans="1:13" x14ac:dyDescent="0.25">
      <c r="H469" s="12"/>
      <c r="I469" s="12"/>
    </row>
    <row r="470" spans="1:13" x14ac:dyDescent="0.25"/>
    <row r="471" spans="1:13" x14ac:dyDescent="0.25"/>
    <row r="472" spans="1:13" x14ac:dyDescent="0.25"/>
    <row r="473" spans="1:13" x14ac:dyDescent="0.25"/>
    <row r="474" spans="1:13" x14ac:dyDescent="0.25"/>
    <row r="475" spans="1:13" x14ac:dyDescent="0.25"/>
    <row r="476" spans="1:13" x14ac:dyDescent="0.25"/>
    <row r="477" spans="1:13" x14ac:dyDescent="0.25"/>
    <row r="478" spans="1:13" x14ac:dyDescent="0.25"/>
    <row r="479" spans="1:13" hidden="1" x14ac:dyDescent="0.25"/>
    <row r="480" spans="1:13"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x14ac:dyDescent="0.25"/>
    <row r="620" x14ac:dyDescent="0.25"/>
    <row r="621" x14ac:dyDescent="0.25"/>
    <row r="622" x14ac:dyDescent="0.25"/>
    <row r="623" x14ac:dyDescent="0.25"/>
    <row r="624" x14ac:dyDescent="0.25"/>
  </sheetData>
  <sheetProtection algorithmName="SHA-512" hashValue="iXkMTA4KuhgXURoOoDzfuHnhSWUo7TYDHjeX27nW/e4m49zpNW/lMSQHb6homIXhw4MYnFhsfXo2ZqPJ03NsDg==" saltValue="EBu1s621C9C0kRSSa71VDQ==" spinCount="100000" sheet="1" objects="1" scenarios="1"/>
  <mergeCells count="2">
    <mergeCell ref="A1:Y3"/>
    <mergeCell ref="A4:AC4"/>
  </mergeCells>
  <conditionalFormatting sqref="D24:D239">
    <cfRule type="cellIs" dxfId="7" priority="11" operator="greaterThan">
      <formula>IF(G24&gt;$B$19,)</formula>
    </cfRule>
  </conditionalFormatting>
  <conditionalFormatting sqref="Q24:Q67">
    <cfRule type="cellIs" dxfId="6" priority="4" operator="greaterThan">
      <formula>IF(V24&gt;$B$19, )</formula>
    </cfRule>
  </conditionalFormatting>
  <hyperlinks>
    <hyperlink ref="A5" location="Main!K37" display="Return to Menu  " xr:uid="{00000000-0004-0000-0200-000000000000}"/>
    <hyperlink ref="B21" location="'Device Resistance Tables'!A280" display="Example Code" xr:uid="{00000000-0004-0000-0200-000001000000}"/>
    <hyperlink ref="O21" location="'Device Resistance Tables'!N280" display="Example Code" xr:uid="{00000000-0004-0000-0200-000002000000}"/>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id="{C19C1B99-AE7A-4261-A159-C1ECB1CC2AED}">
            <xm:f>AND(($B$18 &lt; 50), ($B$17 = Coefficients!$E$22))</xm:f>
            <x14:dxf>
              <fill>
                <patternFill>
                  <bgColor rgb="FFFFC000"/>
                </patternFill>
              </fill>
            </x14:dxf>
          </x14:cfRule>
          <xm:sqref>D215:D239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S272"/>
  <sheetViews>
    <sheetView showGridLines="0" topLeftCell="A146" zoomScale="80" zoomScaleNormal="80" workbookViewId="0">
      <selection activeCell="C30" sqref="C30"/>
    </sheetView>
  </sheetViews>
  <sheetFormatPr defaultColWidth="0" defaultRowHeight="13.2" zeroHeight="1" x14ac:dyDescent="0.25"/>
  <cols>
    <col min="1" max="1" width="15.109375" style="253" customWidth="1"/>
    <col min="2" max="2" width="25.6640625" style="253" customWidth="1"/>
    <col min="3" max="5" width="10.6640625" style="13" customWidth="1"/>
    <col min="6" max="6" width="10.6640625" style="253" customWidth="1"/>
    <col min="7" max="7" width="11.5546875" style="253" customWidth="1"/>
    <col min="8" max="8" width="10.88671875" style="253" customWidth="1"/>
    <col min="9" max="9" width="13.5546875" style="253" customWidth="1"/>
    <col min="10" max="10" width="13.6640625" style="253" customWidth="1"/>
    <col min="11" max="11" width="13.6640625" style="253" hidden="1" customWidth="1"/>
    <col min="12" max="13" width="10.6640625" style="253" customWidth="1"/>
    <col min="14" max="14" width="14.6640625" style="12" customWidth="1"/>
    <col min="15" max="15" width="14.109375" style="12" customWidth="1"/>
    <col min="16" max="16" width="11.77734375" style="12" customWidth="1"/>
    <col min="17" max="17" width="11.33203125" style="12" customWidth="1"/>
    <col min="18" max="18" width="11.44140625" style="12" customWidth="1"/>
    <col min="19" max="19" width="11.6640625" style="12" customWidth="1"/>
    <col min="20" max="20" width="14.5546875" style="253" customWidth="1"/>
    <col min="21" max="21" width="15" style="253" customWidth="1"/>
    <col min="22" max="22" width="11.6640625" style="253" hidden="1" customWidth="1"/>
    <col min="23" max="31" width="12.6640625" style="12" customWidth="1"/>
    <col min="32" max="45" width="0" style="12" hidden="1" customWidth="1"/>
    <col min="46" max="16384" width="12.6640625" style="12" hidden="1"/>
  </cols>
  <sheetData>
    <row r="1" spans="1:42" s="2" customFormat="1" x14ac:dyDescent="0.25">
      <c r="A1" s="760"/>
      <c r="B1" s="760"/>
      <c r="C1" s="760"/>
      <c r="D1" s="760"/>
      <c r="E1" s="760"/>
      <c r="F1" s="760"/>
      <c r="G1" s="760"/>
      <c r="H1" s="760"/>
      <c r="I1" s="760"/>
      <c r="J1" s="760"/>
      <c r="K1" s="760"/>
      <c r="L1" s="760"/>
      <c r="M1" s="760"/>
      <c r="N1" s="760"/>
      <c r="O1" s="760"/>
      <c r="P1" s="760"/>
      <c r="Q1" s="760"/>
      <c r="R1" s="760"/>
      <c r="S1" s="760"/>
      <c r="T1" s="760"/>
      <c r="U1" s="760"/>
      <c r="V1" s="760"/>
      <c r="W1" s="760"/>
      <c r="X1" s="760"/>
      <c r="Y1" s="760"/>
      <c r="Z1" s="760"/>
      <c r="AA1" s="760"/>
      <c r="AB1" s="1"/>
      <c r="AC1" s="1"/>
      <c r="AD1" s="1"/>
      <c r="AE1" s="1"/>
      <c r="AF1" s="1"/>
      <c r="AG1" s="1"/>
      <c r="AH1" s="1"/>
      <c r="AI1" s="1"/>
      <c r="AJ1" s="1"/>
      <c r="AK1" s="1"/>
      <c r="AL1" s="1"/>
      <c r="AM1" s="1"/>
      <c r="AN1" s="1"/>
      <c r="AO1" s="1"/>
      <c r="AP1" s="1"/>
    </row>
    <row r="2" spans="1:42" s="2" customFormat="1" x14ac:dyDescent="0.25">
      <c r="A2" s="760"/>
      <c r="B2" s="760"/>
      <c r="C2" s="760"/>
      <c r="D2" s="760"/>
      <c r="E2" s="760"/>
      <c r="F2" s="760"/>
      <c r="G2" s="760"/>
      <c r="H2" s="760"/>
      <c r="I2" s="760"/>
      <c r="J2" s="760"/>
      <c r="K2" s="760"/>
      <c r="L2" s="760"/>
      <c r="M2" s="760"/>
      <c r="N2" s="760"/>
      <c r="O2" s="760"/>
      <c r="P2" s="760"/>
      <c r="Q2" s="760"/>
      <c r="R2" s="760"/>
      <c r="S2" s="760"/>
      <c r="T2" s="760"/>
      <c r="U2" s="760"/>
      <c r="V2" s="760"/>
      <c r="W2" s="760"/>
      <c r="X2" s="760"/>
      <c r="Y2" s="760"/>
      <c r="Z2" s="760"/>
      <c r="AA2" s="760"/>
      <c r="AB2" s="1"/>
      <c r="AC2" s="1"/>
      <c r="AD2" s="1"/>
      <c r="AE2" s="1"/>
      <c r="AF2" s="1"/>
      <c r="AG2" s="1"/>
      <c r="AH2" s="1"/>
      <c r="AI2" s="1"/>
      <c r="AJ2" s="1"/>
      <c r="AK2" s="1"/>
      <c r="AL2" s="1"/>
      <c r="AM2" s="1"/>
      <c r="AN2" s="1"/>
      <c r="AO2" s="1"/>
      <c r="AP2" s="1"/>
    </row>
    <row r="3" spans="1:42" s="2" customFormat="1" x14ac:dyDescent="0.25">
      <c r="A3" s="760"/>
      <c r="B3" s="760"/>
      <c r="C3" s="760"/>
      <c r="D3" s="760"/>
      <c r="E3" s="760"/>
      <c r="F3" s="760"/>
      <c r="G3" s="760"/>
      <c r="H3" s="760"/>
      <c r="I3" s="760"/>
      <c r="J3" s="760"/>
      <c r="K3" s="760"/>
      <c r="L3" s="760"/>
      <c r="M3" s="760"/>
      <c r="N3" s="760"/>
      <c r="O3" s="760"/>
      <c r="P3" s="760"/>
      <c r="Q3" s="760"/>
      <c r="R3" s="760"/>
      <c r="S3" s="760"/>
      <c r="T3" s="760"/>
      <c r="U3" s="760"/>
      <c r="V3" s="760"/>
      <c r="W3" s="760"/>
      <c r="X3" s="760"/>
      <c r="Y3" s="760"/>
      <c r="Z3" s="760"/>
      <c r="AA3" s="760"/>
      <c r="AB3" s="1"/>
      <c r="AC3" s="1"/>
      <c r="AD3" s="1"/>
      <c r="AE3" s="1"/>
      <c r="AF3" s="1"/>
      <c r="AG3" s="1"/>
      <c r="AH3" s="1"/>
      <c r="AI3" s="1"/>
      <c r="AJ3" s="1"/>
      <c r="AK3" s="1"/>
      <c r="AL3" s="1"/>
      <c r="AM3" s="1"/>
      <c r="AN3" s="1"/>
      <c r="AO3" s="1"/>
      <c r="AP3" s="1"/>
    </row>
    <row r="4" spans="1:42" s="2" customFormat="1" ht="12.75" customHeight="1" x14ac:dyDescent="0.25">
      <c r="A4" s="761"/>
      <c r="B4" s="762"/>
      <c r="C4" s="762"/>
      <c r="D4" s="762"/>
      <c r="E4" s="762"/>
      <c r="F4" s="762"/>
      <c r="G4" s="762"/>
      <c r="H4" s="762"/>
      <c r="I4" s="762"/>
      <c r="J4" s="762"/>
      <c r="K4" s="762"/>
      <c r="L4" s="762"/>
      <c r="M4" s="762"/>
      <c r="N4" s="762"/>
      <c r="O4" s="762"/>
      <c r="P4" s="762"/>
      <c r="Q4" s="762"/>
      <c r="R4" s="762"/>
      <c r="S4" s="762"/>
      <c r="T4" s="762"/>
      <c r="U4" s="762"/>
      <c r="V4" s="762"/>
      <c r="W4" s="762"/>
      <c r="X4" s="762"/>
      <c r="Y4" s="762"/>
      <c r="Z4" s="762"/>
      <c r="AA4" s="762"/>
      <c r="AB4" s="762"/>
      <c r="AC4" s="762"/>
      <c r="AD4" s="762"/>
      <c r="AE4" s="762"/>
      <c r="AF4" s="1"/>
      <c r="AG4" s="1"/>
      <c r="AH4" s="1"/>
      <c r="AI4" s="1"/>
      <c r="AJ4" s="1"/>
      <c r="AK4" s="1"/>
      <c r="AL4" s="1"/>
      <c r="AM4" s="1"/>
      <c r="AN4" s="1"/>
      <c r="AO4" s="1"/>
      <c r="AP4" s="1"/>
    </row>
    <row r="5" spans="1:42" ht="15" x14ac:dyDescent="0.25">
      <c r="A5" s="460" t="s">
        <v>208</v>
      </c>
      <c r="B5" s="12"/>
      <c r="C5" s="12"/>
      <c r="F5" s="12"/>
      <c r="G5" s="12"/>
      <c r="H5" s="12"/>
      <c r="L5" s="12"/>
      <c r="M5" s="12"/>
    </row>
    <row r="6" spans="1:42" s="157" customFormat="1" ht="15.6" x14ac:dyDescent="0.3">
      <c r="A6" s="148"/>
      <c r="B6" s="169"/>
      <c r="C6" s="134"/>
      <c r="D6" s="172"/>
      <c r="E6" s="172"/>
      <c r="I6" s="254"/>
      <c r="J6" s="254"/>
      <c r="K6" s="254"/>
      <c r="T6" s="254"/>
      <c r="U6" s="254"/>
      <c r="V6" s="254"/>
    </row>
    <row r="7" spans="1:42" s="197" customFormat="1" ht="15.6" x14ac:dyDescent="0.3">
      <c r="A7" s="212"/>
      <c r="B7" s="200"/>
      <c r="C7" s="211"/>
      <c r="D7" s="202"/>
      <c r="E7" s="202"/>
      <c r="I7" s="254"/>
      <c r="J7" s="254"/>
      <c r="K7" s="254"/>
      <c r="T7" s="254"/>
      <c r="U7" s="254"/>
      <c r="V7" s="254"/>
    </row>
    <row r="8" spans="1:42" s="197" customFormat="1" ht="15.6" x14ac:dyDescent="0.3">
      <c r="A8" s="212"/>
      <c r="B8" s="200"/>
      <c r="C8" s="211"/>
      <c r="D8" s="202"/>
      <c r="E8" s="202"/>
      <c r="I8" s="254"/>
      <c r="J8" s="254"/>
      <c r="K8" s="254"/>
      <c r="T8" s="254"/>
      <c r="U8" s="254"/>
      <c r="V8" s="254"/>
    </row>
    <row r="9" spans="1:42" s="254" customFormat="1" ht="15.6" x14ac:dyDescent="0.3">
      <c r="A9" s="280"/>
      <c r="B9" s="257"/>
      <c r="C9" s="211"/>
      <c r="D9" s="202"/>
      <c r="E9" s="202"/>
    </row>
    <row r="10" spans="1:42" s="254" customFormat="1" ht="15.6" x14ac:dyDescent="0.3">
      <c r="A10" s="280"/>
      <c r="B10" s="257"/>
      <c r="C10" s="211"/>
      <c r="D10" s="202"/>
      <c r="E10" s="202"/>
    </row>
    <row r="11" spans="1:42" s="254" customFormat="1" ht="15.6" x14ac:dyDescent="0.3">
      <c r="A11" s="280"/>
      <c r="B11" s="257"/>
      <c r="C11" s="211"/>
      <c r="D11" s="202"/>
      <c r="E11" s="202"/>
    </row>
    <row r="12" spans="1:42" s="197" customFormat="1" ht="15.6" x14ac:dyDescent="0.3">
      <c r="A12" s="280"/>
      <c r="B12" s="257"/>
      <c r="C12" s="211"/>
      <c r="D12" s="202"/>
      <c r="E12" s="202"/>
      <c r="F12" s="254"/>
      <c r="G12" s="254"/>
      <c r="H12" s="254"/>
      <c r="I12" s="254"/>
      <c r="J12" s="254"/>
      <c r="K12" s="254"/>
      <c r="L12" s="254"/>
      <c r="T12" s="254"/>
      <c r="U12" s="254"/>
      <c r="V12" s="254"/>
    </row>
    <row r="13" spans="1:42" x14ac:dyDescent="0.25">
      <c r="C13" s="202"/>
      <c r="D13" s="202"/>
      <c r="E13" s="202"/>
      <c r="M13" s="12"/>
    </row>
    <row r="14" spans="1:42" s="196" customFormat="1" x14ac:dyDescent="0.25">
      <c r="A14" s="253"/>
      <c r="B14" s="253"/>
      <c r="C14" s="202"/>
      <c r="D14" s="202"/>
      <c r="E14" s="202"/>
      <c r="F14" s="253"/>
      <c r="G14" s="253"/>
      <c r="H14" s="253"/>
      <c r="I14" s="253"/>
      <c r="J14" s="253"/>
      <c r="K14" s="253"/>
      <c r="L14" s="253"/>
      <c r="T14" s="253"/>
      <c r="U14" s="253"/>
      <c r="V14" s="253"/>
    </row>
    <row r="15" spans="1:42" s="157" customFormat="1" x14ac:dyDescent="0.25">
      <c r="A15" s="135"/>
      <c r="B15" s="202"/>
      <c r="C15" s="202"/>
      <c r="D15" s="202"/>
      <c r="E15" s="202"/>
      <c r="F15" s="254"/>
      <c r="G15" s="254"/>
      <c r="H15" s="254"/>
      <c r="I15" s="254"/>
      <c r="J15" s="254"/>
      <c r="K15" s="254"/>
      <c r="L15" s="254"/>
      <c r="T15" s="254"/>
      <c r="U15" s="254"/>
      <c r="V15" s="254"/>
    </row>
    <row r="16" spans="1:42" s="157" customFormat="1" x14ac:dyDescent="0.25">
      <c r="A16" s="254"/>
      <c r="B16" s="254"/>
      <c r="C16" s="254"/>
      <c r="D16" s="202"/>
      <c r="E16" s="202"/>
      <c r="F16" s="254"/>
      <c r="G16" s="254"/>
      <c r="H16" s="254"/>
      <c r="I16" s="254"/>
      <c r="J16" s="254"/>
      <c r="K16" s="254"/>
      <c r="L16" s="254"/>
      <c r="T16" s="254"/>
      <c r="U16" s="254"/>
      <c r="V16" s="254"/>
    </row>
    <row r="17" spans="1:22" s="157" customFormat="1" x14ac:dyDescent="0.25">
      <c r="A17" s="254"/>
      <c r="B17" s="254"/>
      <c r="C17" s="254"/>
      <c r="D17" s="202"/>
      <c r="E17" s="202"/>
      <c r="F17" s="254"/>
      <c r="G17" s="254"/>
      <c r="H17" s="254"/>
      <c r="I17" s="254"/>
      <c r="J17" s="254"/>
      <c r="K17" s="254"/>
      <c r="L17" s="254"/>
      <c r="T17" s="254"/>
      <c r="U17" s="254"/>
      <c r="V17" s="254"/>
    </row>
    <row r="18" spans="1:22" ht="15.6" x14ac:dyDescent="0.3">
      <c r="A18" s="388"/>
      <c r="B18" s="539" t="s">
        <v>444</v>
      </c>
      <c r="C18" s="540"/>
      <c r="D18" s="540"/>
      <c r="E18" s="540"/>
      <c r="F18" s="388"/>
      <c r="G18" s="388"/>
      <c r="H18" s="388"/>
      <c r="I18" s="388"/>
      <c r="J18" s="388"/>
      <c r="K18" s="388"/>
      <c r="L18" s="388"/>
      <c r="M18" s="388"/>
      <c r="N18" s="388"/>
      <c r="O18" s="388"/>
      <c r="P18" s="388"/>
      <c r="Q18" s="388"/>
    </row>
    <row r="19" spans="1:22" ht="16.2" thickBot="1" x14ac:dyDescent="0.35">
      <c r="A19" s="538" t="s">
        <v>442</v>
      </c>
      <c r="B19" s="361">
        <f>Main!$N$25</f>
        <v>140</v>
      </c>
      <c r="C19" s="273" t="s">
        <v>441</v>
      </c>
      <c r="D19" s="540"/>
      <c r="E19" s="540"/>
      <c r="F19" s="388"/>
      <c r="G19" s="388"/>
      <c r="H19" s="388"/>
      <c r="I19" s="388"/>
      <c r="J19" s="388"/>
      <c r="K19" s="388"/>
      <c r="L19" s="388"/>
      <c r="M19" s="238" t="s">
        <v>461</v>
      </c>
      <c r="N19" s="388"/>
      <c r="O19" s="388"/>
      <c r="P19" s="388"/>
      <c r="Q19" s="388"/>
    </row>
    <row r="20" spans="1:22" ht="16.2" hidden="1" thickBot="1" x14ac:dyDescent="0.35">
      <c r="A20" s="388"/>
      <c r="B20" s="541" t="s">
        <v>197</v>
      </c>
      <c r="C20" s="540"/>
      <c r="D20" s="540"/>
      <c r="E20" s="540"/>
      <c r="F20" s="388"/>
      <c r="G20" s="388"/>
      <c r="H20" s="388"/>
      <c r="I20" s="388"/>
      <c r="J20" s="388"/>
      <c r="K20" s="388"/>
      <c r="L20" s="542"/>
      <c r="M20" s="353"/>
      <c r="N20" s="238"/>
      <c r="O20" s="388"/>
      <c r="P20" s="388"/>
      <c r="Q20" s="388"/>
    </row>
    <row r="21" spans="1:22" ht="16.2" hidden="1" thickBot="1" x14ac:dyDescent="0.35">
      <c r="A21" s="388"/>
      <c r="B21" s="543">
        <f>'4th Order Polynomial Tmp vs Res'!B40</f>
        <v>8459.8118233719997</v>
      </c>
      <c r="C21" s="540" t="s">
        <v>77</v>
      </c>
      <c r="D21" s="540"/>
      <c r="E21" s="540"/>
      <c r="F21" s="388"/>
      <c r="G21" s="388"/>
      <c r="H21" s="388"/>
      <c r="I21" s="388"/>
      <c r="J21" s="388"/>
      <c r="K21" s="388"/>
      <c r="L21" s="542"/>
      <c r="M21" s="353"/>
      <c r="N21" s="238"/>
      <c r="O21" s="388"/>
      <c r="P21" s="388"/>
      <c r="Q21" s="388"/>
    </row>
    <row r="22" spans="1:22" ht="16.2" hidden="1" thickBot="1" x14ac:dyDescent="0.35">
      <c r="A22" s="388"/>
      <c r="B22" s="543">
        <f>'4th Order Polynomial Tmp vs Res'!C40</f>
        <v>55.179995344672008</v>
      </c>
      <c r="C22" s="540" t="s">
        <v>78</v>
      </c>
      <c r="D22" s="540"/>
      <c r="E22" s="540"/>
      <c r="F22" s="388"/>
      <c r="G22" s="388"/>
      <c r="H22" s="388"/>
      <c r="I22" s="388"/>
      <c r="J22" s="388"/>
      <c r="K22" s="388"/>
      <c r="L22" s="542"/>
      <c r="M22" s="353"/>
      <c r="N22" s="238"/>
      <c r="O22" s="388"/>
      <c r="P22" s="388"/>
      <c r="Q22" s="388"/>
    </row>
    <row r="23" spans="1:22" ht="16.2" hidden="1" thickBot="1" x14ac:dyDescent="0.35">
      <c r="A23" s="388"/>
      <c r="B23" s="543">
        <f>'4th Order Polynomial Tmp vs Res'!D40</f>
        <v>0.15400034225120002</v>
      </c>
      <c r="C23" s="540" t="s">
        <v>79</v>
      </c>
      <c r="D23" s="540"/>
      <c r="E23" s="540"/>
      <c r="F23" s="388"/>
      <c r="G23" s="388"/>
      <c r="H23" s="388"/>
      <c r="I23" s="388"/>
      <c r="J23" s="388"/>
      <c r="K23" s="388"/>
      <c r="L23" s="542"/>
      <c r="M23" s="353"/>
      <c r="N23" s="238"/>
      <c r="O23" s="388"/>
      <c r="P23" s="388"/>
      <c r="Q23" s="388"/>
    </row>
    <row r="24" spans="1:22" ht="16.2" hidden="1" thickBot="1" x14ac:dyDescent="0.35">
      <c r="A24" s="388"/>
      <c r="B24" s="543">
        <f>'4th Order Polynomial Tmp vs Res'!E40</f>
        <v>-1.6272204360000004E-4</v>
      </c>
      <c r="C24" s="540" t="s">
        <v>80</v>
      </c>
      <c r="D24" s="540"/>
      <c r="E24" s="540"/>
      <c r="F24" s="388"/>
      <c r="G24" s="388"/>
      <c r="H24" s="388"/>
      <c r="I24" s="388"/>
      <c r="J24" s="388"/>
      <c r="K24" s="388"/>
      <c r="L24" s="542"/>
      <c r="M24" s="353"/>
      <c r="N24" s="238"/>
      <c r="O24" s="388"/>
      <c r="P24" s="388"/>
      <c r="Q24" s="388"/>
    </row>
    <row r="25" spans="1:22" ht="16.2" hidden="1" thickBot="1" x14ac:dyDescent="0.35">
      <c r="A25" s="388"/>
      <c r="B25" s="544">
        <f>'4th Order Polynomial Tmp vs Res'!F40</f>
        <v>1.802143387568E-6</v>
      </c>
      <c r="C25" s="540" t="s">
        <v>81</v>
      </c>
      <c r="D25" s="540"/>
      <c r="E25" s="540"/>
      <c r="F25" s="388"/>
      <c r="G25" s="388"/>
      <c r="H25" s="388"/>
      <c r="I25" s="388"/>
      <c r="J25" s="388"/>
      <c r="K25" s="388"/>
      <c r="L25" s="542"/>
      <c r="M25" s="353"/>
      <c r="N25" s="238"/>
      <c r="O25" s="388"/>
      <c r="P25" s="388"/>
      <c r="Q25" s="388"/>
    </row>
    <row r="26" spans="1:22" ht="16.2" thickBot="1" x14ac:dyDescent="0.35">
      <c r="A26" s="542" t="s">
        <v>265</v>
      </c>
      <c r="B26" s="354">
        <f>Main!$N$31</f>
        <v>3</v>
      </c>
      <c r="C26" s="238" t="s">
        <v>2</v>
      </c>
      <c r="D26" s="540"/>
      <c r="E26" s="540"/>
      <c r="F26" s="388"/>
      <c r="G26" s="388"/>
      <c r="H26" s="388"/>
      <c r="I26" s="388"/>
      <c r="J26" s="388"/>
      <c r="K26" s="388"/>
      <c r="L26" s="542" t="s">
        <v>458</v>
      </c>
      <c r="M26" s="353">
        <v>10000</v>
      </c>
      <c r="N26" s="238" t="s">
        <v>1</v>
      </c>
      <c r="O26" s="388"/>
      <c r="P26" s="388"/>
      <c r="Q26" s="388"/>
    </row>
    <row r="27" spans="1:22" ht="15.6" thickBot="1" x14ac:dyDescent="0.3">
      <c r="A27" s="388"/>
      <c r="B27" s="388"/>
      <c r="C27" s="540"/>
      <c r="D27" s="540"/>
      <c r="E27" s="540"/>
      <c r="F27" s="388"/>
      <c r="G27" s="388"/>
      <c r="H27" s="388"/>
      <c r="I27" s="388"/>
      <c r="J27" s="388"/>
      <c r="K27" s="388"/>
      <c r="L27" s="388"/>
      <c r="M27" s="388"/>
      <c r="N27" s="388"/>
      <c r="O27" s="388"/>
      <c r="P27" s="388"/>
      <c r="Q27" s="388"/>
    </row>
    <row r="28" spans="1:22" ht="15.6" x14ac:dyDescent="0.3">
      <c r="A28" s="542" t="s">
        <v>85</v>
      </c>
      <c r="B28" s="238" t="s">
        <v>0</v>
      </c>
      <c r="C28" s="545"/>
      <c r="D28" s="545"/>
      <c r="E28" s="546"/>
      <c r="F28" s="238"/>
      <c r="G28" s="238"/>
      <c r="H28" s="238"/>
      <c r="I28" s="238"/>
      <c r="J28" s="238"/>
      <c r="K28" s="238"/>
      <c r="L28" s="542" t="s">
        <v>85</v>
      </c>
      <c r="M28" s="547"/>
      <c r="N28" s="548"/>
      <c r="O28" s="549"/>
      <c r="P28" s="238"/>
      <c r="Q28" s="550"/>
      <c r="R28" s="76"/>
    </row>
    <row r="29" spans="1:22" ht="16.2" thickBot="1" x14ac:dyDescent="0.35">
      <c r="A29" s="542" t="s">
        <v>252</v>
      </c>
      <c r="B29" s="213" t="str">
        <f>Main!$N$22</f>
        <v>TMP6131DECR</v>
      </c>
      <c r="C29" s="545"/>
      <c r="D29" s="545"/>
      <c r="E29" s="551"/>
      <c r="F29" s="238"/>
      <c r="G29" s="238"/>
      <c r="H29" s="238"/>
      <c r="I29" s="238"/>
      <c r="J29" s="238"/>
      <c r="K29" s="238"/>
      <c r="L29" s="542" t="s">
        <v>253</v>
      </c>
      <c r="M29" s="552" t="s">
        <v>679</v>
      </c>
      <c r="N29" s="553"/>
      <c r="O29" s="554"/>
      <c r="P29" s="238"/>
      <c r="Q29" s="555"/>
      <c r="R29" s="111"/>
    </row>
    <row r="30" spans="1:22" ht="15" x14ac:dyDescent="0.25">
      <c r="A30" s="388"/>
      <c r="B30" s="388"/>
      <c r="C30" s="540"/>
      <c r="D30" s="540"/>
      <c r="E30" s="540"/>
      <c r="F30" s="388"/>
      <c r="G30" s="388"/>
      <c r="H30" s="388"/>
      <c r="I30" s="388"/>
      <c r="J30" s="388"/>
      <c r="K30" s="388"/>
      <c r="L30" s="388"/>
      <c r="M30" s="388"/>
      <c r="N30" s="388"/>
      <c r="O30" s="388"/>
      <c r="P30" s="556"/>
      <c r="Q30" s="388"/>
    </row>
    <row r="31" spans="1:22" x14ac:dyDescent="0.25">
      <c r="N31" s="253"/>
      <c r="O31" s="253"/>
      <c r="P31" s="253"/>
    </row>
    <row r="32" spans="1:22" ht="21" x14ac:dyDescent="0.4">
      <c r="A32" s="154" t="s">
        <v>210</v>
      </c>
      <c r="M32" s="154" t="s">
        <v>210</v>
      </c>
      <c r="N32" s="149"/>
      <c r="O32" s="149"/>
      <c r="Q32" s="253"/>
      <c r="R32" s="253"/>
      <c r="S32" s="253"/>
    </row>
    <row r="33" spans="1:44" x14ac:dyDescent="0.25">
      <c r="M33" s="74"/>
      <c r="Q33" s="253"/>
      <c r="R33" s="253"/>
      <c r="S33" s="253"/>
    </row>
    <row r="34" spans="1:44" s="77" customFormat="1" ht="15.6" x14ac:dyDescent="0.3">
      <c r="A34" s="557"/>
      <c r="B34" s="557" t="s">
        <v>56</v>
      </c>
      <c r="C34" s="557" t="s">
        <v>59</v>
      </c>
      <c r="D34" s="557" t="s">
        <v>60</v>
      </c>
      <c r="E34" s="557" t="s">
        <v>61</v>
      </c>
      <c r="F34" s="557" t="s">
        <v>446</v>
      </c>
      <c r="G34" s="557" t="s">
        <v>198</v>
      </c>
      <c r="H34" s="557" t="s">
        <v>199</v>
      </c>
      <c r="I34" s="557"/>
      <c r="J34" s="557"/>
      <c r="K34" s="557"/>
      <c r="L34" s="558"/>
      <c r="M34" s="557" t="s">
        <v>56</v>
      </c>
      <c r="N34" s="557" t="s">
        <v>62</v>
      </c>
      <c r="O34" s="557" t="s">
        <v>63</v>
      </c>
      <c r="P34" s="557" t="s">
        <v>64</v>
      </c>
      <c r="Q34" s="557" t="s">
        <v>65</v>
      </c>
      <c r="R34" s="557" t="s">
        <v>198</v>
      </c>
      <c r="S34" s="557" t="s">
        <v>199</v>
      </c>
      <c r="T34" s="557"/>
      <c r="U34" s="557"/>
      <c r="V34" s="293"/>
    </row>
    <row r="35" spans="1:44" s="78" customFormat="1" ht="16.2" thickBot="1" x14ac:dyDescent="0.35">
      <c r="A35" s="559" t="s">
        <v>84</v>
      </c>
      <c r="B35" s="559" t="s">
        <v>191</v>
      </c>
      <c r="C35" s="559" t="s">
        <v>686</v>
      </c>
      <c r="D35" s="559" t="s">
        <v>242</v>
      </c>
      <c r="E35" s="559" t="s">
        <v>242</v>
      </c>
      <c r="F35" s="559" t="s">
        <v>2</v>
      </c>
      <c r="G35" s="559" t="s">
        <v>243</v>
      </c>
      <c r="H35" s="559" t="s">
        <v>200</v>
      </c>
      <c r="I35" s="297" t="s">
        <v>274</v>
      </c>
      <c r="J35" s="297" t="s">
        <v>275</v>
      </c>
      <c r="K35" s="299" t="s">
        <v>276</v>
      </c>
      <c r="L35" s="560"/>
      <c r="M35" s="559" t="s">
        <v>191</v>
      </c>
      <c r="N35" s="561" t="s">
        <v>242</v>
      </c>
      <c r="O35" s="561" t="s">
        <v>242</v>
      </c>
      <c r="P35" s="561" t="s">
        <v>242</v>
      </c>
      <c r="Q35" s="559" t="s">
        <v>2</v>
      </c>
      <c r="R35" s="559" t="s">
        <v>243</v>
      </c>
      <c r="S35" s="559" t="s">
        <v>200</v>
      </c>
      <c r="T35" s="299" t="s">
        <v>274</v>
      </c>
      <c r="U35" s="299" t="s">
        <v>275</v>
      </c>
      <c r="V35" s="299" t="s">
        <v>276</v>
      </c>
    </row>
    <row r="36" spans="1:44" ht="15.6" x14ac:dyDescent="0.3">
      <c r="A36" s="562">
        <v>1</v>
      </c>
      <c r="B36" s="563">
        <v>-40</v>
      </c>
      <c r="C36" s="564">
        <f>IFERROR('Device Resistance Tables'!C24,NA())</f>
        <v>6416.3296512238694</v>
      </c>
      <c r="D36" s="565">
        <f>IFERROR('Device Resistance Tables'!D24,NA())</f>
        <v>6514.0402550496137</v>
      </c>
      <c r="E36" s="564">
        <f>IFERROR('Device Resistance Tables'!F24,NA())</f>
        <v>6611.7508588753572</v>
      </c>
      <c r="F36" s="566">
        <f>IFERROR(D36*(($B$19/1000000)),NA())</f>
        <v>0.91196563570694589</v>
      </c>
      <c r="G36" s="566"/>
      <c r="H36" s="566">
        <f t="shared" ref="H36:H99" si="0">IFERROR(($B$19/1000000)^2*(D36)*1000,NA())</f>
        <v>0.1276751889989724</v>
      </c>
      <c r="I36" s="302">
        <f t="shared" ref="I36:I99" si="1">IFERROR(((D36-C36)/D36)*-100,NA())</f>
        <v>-1.5000000000000018</v>
      </c>
      <c r="J36" s="302">
        <f t="shared" ref="J36:J99" si="2">IFERROR(((E36-D36)/D36)*100,NA())</f>
        <v>1.499999999999988</v>
      </c>
      <c r="K36" s="298"/>
      <c r="L36" s="388"/>
      <c r="M36" s="567">
        <v>-40</v>
      </c>
      <c r="N36" s="568">
        <v>184221.9</v>
      </c>
      <c r="O36" s="568">
        <v>195652</v>
      </c>
      <c r="P36" s="568">
        <v>207604.3</v>
      </c>
      <c r="Q36" s="569">
        <f t="shared" ref="Q36:Q99" si="3">IFERROR((($B$26/(O36+$M$26))*O36),NA())</f>
        <v>2.8541224982008444</v>
      </c>
      <c r="R36" s="570"/>
      <c r="S36" s="570">
        <f t="shared" ref="S36:S99" si="4">IFERROR((($B$26/(O36+$M$26))^2*($M$26+O36))*1000,NA())</f>
        <v>4.3763250539746758E-2</v>
      </c>
      <c r="T36" s="302">
        <f>IFERROR(((O36-N36)/O36)*-100,NA())</f>
        <v>-5.8420563040500504</v>
      </c>
      <c r="U36" s="302">
        <f>IFERROR(((P36-O36)/O36)*100,NA())</f>
        <v>6.1089587635188947</v>
      </c>
      <c r="V36" s="298"/>
      <c r="X36" s="13"/>
      <c r="Y36" s="13"/>
      <c r="Z36" s="13"/>
      <c r="AK36" s="21"/>
      <c r="AL36" s="21"/>
      <c r="AM36" s="21"/>
      <c r="AN36" s="21"/>
      <c r="AO36" s="21"/>
      <c r="AP36" s="21"/>
      <c r="AQ36" s="21"/>
      <c r="AR36" s="21"/>
    </row>
    <row r="37" spans="1:44" ht="15.6" x14ac:dyDescent="0.3">
      <c r="A37" s="562">
        <v>2</v>
      </c>
      <c r="B37" s="563">
        <v>-39</v>
      </c>
      <c r="C37" s="564">
        <f>IFERROR('Device Resistance Tables'!C25,NA())</f>
        <v>6457.5104639968704</v>
      </c>
      <c r="D37" s="565">
        <f>IFERROR('Device Resistance Tables'!D25,NA())</f>
        <v>6555.848186798853</v>
      </c>
      <c r="E37" s="564">
        <f>IFERROR('Device Resistance Tables'!F25,NA())</f>
        <v>6654.1859096008347</v>
      </c>
      <c r="F37" s="566">
        <f t="shared" ref="F37:F100" si="5">IFERROR(D37*(($B$19/1000000)),NA())</f>
        <v>0.91781874615183934</v>
      </c>
      <c r="G37" s="564">
        <f t="shared" ref="G37:G100" si="6">IFERROR(D37-D36,NA())</f>
        <v>41.807931749239287</v>
      </c>
      <c r="H37" s="566">
        <f t="shared" si="0"/>
        <v>0.12849462446125748</v>
      </c>
      <c r="I37" s="302">
        <f t="shared" si="1"/>
        <v>-1.4999999999999976</v>
      </c>
      <c r="J37" s="302">
        <f t="shared" si="2"/>
        <v>1.4999999999999836</v>
      </c>
      <c r="K37" s="298">
        <f t="shared" ref="K37:K100" si="7">IFERROR(F37-F36,NA())</f>
        <v>5.8531104448934501E-3</v>
      </c>
      <c r="L37" s="388"/>
      <c r="M37" s="571">
        <v>-39</v>
      </c>
      <c r="N37" s="572">
        <v>174212.4</v>
      </c>
      <c r="O37" s="572">
        <v>184917.1</v>
      </c>
      <c r="P37" s="572">
        <v>196102.9</v>
      </c>
      <c r="Q37" s="569">
        <f t="shared" si="3"/>
        <v>2.8460884139975402</v>
      </c>
      <c r="R37" s="564">
        <f>IFERROR(O36-O37,NA())</f>
        <v>10734.899999999994</v>
      </c>
      <c r="S37" s="570">
        <f t="shared" si="4"/>
        <v>4.6173475800737843E-2</v>
      </c>
      <c r="T37" s="302">
        <f t="shared" ref="T37:T100" si="8">IFERROR(((O37-N37)/O37)*-100,NA())</f>
        <v>-5.7889183855900894</v>
      </c>
      <c r="U37" s="302">
        <f t="shared" ref="U37:U100" si="9">IFERROR(((P37-O37)/O37)*100,NA())</f>
        <v>6.0490890242167907</v>
      </c>
      <c r="V37" s="298">
        <f>IFERROR(Q36-Q37,NA())</f>
        <v>8.0340842033042037E-3</v>
      </c>
      <c r="X37" s="13"/>
      <c r="Y37" s="13"/>
      <c r="Z37" s="13"/>
      <c r="AK37" s="21"/>
      <c r="AL37" s="21"/>
      <c r="AM37" s="21"/>
      <c r="AN37" s="21"/>
      <c r="AO37" s="79"/>
      <c r="AP37" s="21"/>
      <c r="AQ37" s="21"/>
      <c r="AR37" s="21"/>
    </row>
    <row r="38" spans="1:44" ht="15.6" x14ac:dyDescent="0.3">
      <c r="A38" s="562">
        <v>3</v>
      </c>
      <c r="B38" s="563">
        <v>-38</v>
      </c>
      <c r="C38" s="564">
        <f>IFERROR('Device Resistance Tables'!C26,NA())</f>
        <v>6499.0645661284525</v>
      </c>
      <c r="D38" s="565">
        <f>IFERROR('Device Resistance Tables'!D26,NA())</f>
        <v>6598.0350925161956</v>
      </c>
      <c r="E38" s="564">
        <f>IFERROR('Device Resistance Tables'!F26,NA())</f>
        <v>6697.0056189039378</v>
      </c>
      <c r="F38" s="566">
        <f t="shared" si="5"/>
        <v>0.92372491295226733</v>
      </c>
      <c r="G38" s="564">
        <f t="shared" si="6"/>
        <v>42.186905717342597</v>
      </c>
      <c r="H38" s="566">
        <f t="shared" si="0"/>
        <v>0.12932148781331743</v>
      </c>
      <c r="I38" s="302">
        <f t="shared" si="1"/>
        <v>-1.5000000000000029</v>
      </c>
      <c r="J38" s="302">
        <f t="shared" si="2"/>
        <v>1.4999999999999891</v>
      </c>
      <c r="K38" s="298">
        <f t="shared" si="7"/>
        <v>5.9061668004279921E-3</v>
      </c>
      <c r="L38" s="388"/>
      <c r="M38" s="571">
        <v>-38</v>
      </c>
      <c r="N38" s="572">
        <v>164815.79999999999</v>
      </c>
      <c r="O38" s="572">
        <v>174845.2</v>
      </c>
      <c r="P38" s="572">
        <v>185318</v>
      </c>
      <c r="Q38" s="569">
        <f t="shared" si="3"/>
        <v>2.8377020339181107</v>
      </c>
      <c r="R38" s="564">
        <f t="shared" ref="R38:R101" si="10">IFERROR(O37-O38,NA())</f>
        <v>10071.899999999994</v>
      </c>
      <c r="S38" s="570">
        <f t="shared" si="4"/>
        <v>4.8689389824566713E-2</v>
      </c>
      <c r="T38" s="302">
        <f t="shared" si="8"/>
        <v>-5.7361597573167709</v>
      </c>
      <c r="U38" s="302">
        <f t="shared" si="9"/>
        <v>5.9897555094449189</v>
      </c>
      <c r="V38" s="298">
        <f t="shared" ref="V38:V101" si="11">IFERROR(Q37-Q38,NA())</f>
        <v>8.3863800794294896E-3</v>
      </c>
      <c r="X38" s="13"/>
      <c r="Y38" s="13"/>
      <c r="Z38" s="13"/>
      <c r="AK38" s="21"/>
      <c r="AL38" s="21"/>
      <c r="AM38" s="21"/>
      <c r="AN38" s="21"/>
      <c r="AO38" s="79"/>
      <c r="AP38" s="21"/>
      <c r="AQ38" s="21"/>
      <c r="AR38" s="21"/>
    </row>
    <row r="39" spans="1:44" ht="15.6" x14ac:dyDescent="0.3">
      <c r="A39" s="562">
        <v>4</v>
      </c>
      <c r="B39" s="563">
        <v>-37</v>
      </c>
      <c r="C39" s="564">
        <f>IFERROR('Device Resistance Tables'!C27,NA())</f>
        <v>6540.9893557285532</v>
      </c>
      <c r="D39" s="565">
        <f>IFERROR('Device Resistance Tables'!D27,NA())</f>
        <v>6640.5983306888866</v>
      </c>
      <c r="E39" s="564">
        <f>IFERROR('Device Resistance Tables'!F27,NA())</f>
        <v>6740.2073056492191</v>
      </c>
      <c r="F39" s="566">
        <f t="shared" si="5"/>
        <v>0.929683766296444</v>
      </c>
      <c r="G39" s="564">
        <f t="shared" si="6"/>
        <v>42.563238172690944</v>
      </c>
      <c r="H39" s="566">
        <f t="shared" si="0"/>
        <v>0.13015572728150215</v>
      </c>
      <c r="I39" s="302">
        <f t="shared" si="1"/>
        <v>-1.5000000000000016</v>
      </c>
      <c r="J39" s="302">
        <f t="shared" si="2"/>
        <v>1.4999999999999878</v>
      </c>
      <c r="K39" s="298">
        <f t="shared" si="7"/>
        <v>5.9588533441766733E-3</v>
      </c>
      <c r="L39" s="388"/>
      <c r="M39" s="571">
        <v>-37</v>
      </c>
      <c r="N39" s="572">
        <v>155990.6</v>
      </c>
      <c r="O39" s="572">
        <v>165391</v>
      </c>
      <c r="P39" s="572">
        <v>175200</v>
      </c>
      <c r="Q39" s="569">
        <f t="shared" si="3"/>
        <v>2.8289535951103533</v>
      </c>
      <c r="R39" s="564">
        <f t="shared" si="10"/>
        <v>9454.2000000000116</v>
      </c>
      <c r="S39" s="570">
        <f t="shared" si="4"/>
        <v>5.1313921466893953E-2</v>
      </c>
      <c r="T39" s="302">
        <f t="shared" si="8"/>
        <v>-5.6837433717675054</v>
      </c>
      <c r="U39" s="302">
        <f t="shared" si="9"/>
        <v>5.9307942995689009</v>
      </c>
      <c r="V39" s="298">
        <f t="shared" si="11"/>
        <v>8.7484388077574415E-3</v>
      </c>
      <c r="X39" s="13"/>
      <c r="Y39" s="13"/>
      <c r="Z39" s="13"/>
      <c r="AK39" s="21"/>
      <c r="AL39" s="21"/>
      <c r="AM39" s="21"/>
      <c r="AN39" s="21"/>
      <c r="AO39" s="79"/>
      <c r="AP39" s="21"/>
      <c r="AQ39" s="21"/>
      <c r="AR39" s="21"/>
    </row>
    <row r="40" spans="1:44" ht="15.6" x14ac:dyDescent="0.3">
      <c r="A40" s="562">
        <v>5</v>
      </c>
      <c r="B40" s="563">
        <v>-36</v>
      </c>
      <c r="C40" s="564">
        <f>IFERROR('Device Resistance Tables'!C28,NA())</f>
        <v>6583.2822735097834</v>
      </c>
      <c r="D40" s="565">
        <f>IFERROR('Device Resistance Tables'!D28,NA())</f>
        <v>6683.535303055618</v>
      </c>
      <c r="E40" s="564">
        <f>IFERROR('Device Resistance Tables'!F28,NA())</f>
        <v>6783.7883326014517</v>
      </c>
      <c r="F40" s="566">
        <f t="shared" si="5"/>
        <v>0.93569494242778639</v>
      </c>
      <c r="G40" s="564">
        <f t="shared" si="6"/>
        <v>42.936972366731425</v>
      </c>
      <c r="H40" s="566">
        <f t="shared" si="0"/>
        <v>0.1309972919398901</v>
      </c>
      <c r="I40" s="302">
        <f t="shared" si="1"/>
        <v>-1.5000000000000047</v>
      </c>
      <c r="J40" s="302">
        <f t="shared" si="2"/>
        <v>1.4999999999999911</v>
      </c>
      <c r="K40" s="298">
        <f t="shared" si="7"/>
        <v>6.0111761313423884E-3</v>
      </c>
      <c r="L40" s="388"/>
      <c r="M40" s="571">
        <v>-36</v>
      </c>
      <c r="N40" s="572">
        <v>147698.20000000001</v>
      </c>
      <c r="O40" s="572">
        <v>156512.5</v>
      </c>
      <c r="P40" s="572">
        <v>165703.5</v>
      </c>
      <c r="Q40" s="569">
        <f t="shared" si="3"/>
        <v>2.8198333458449065</v>
      </c>
      <c r="R40" s="564">
        <f t="shared" si="10"/>
        <v>8878.5</v>
      </c>
      <c r="S40" s="570">
        <f t="shared" si="4"/>
        <v>5.4049996246528037E-2</v>
      </c>
      <c r="T40" s="302">
        <f t="shared" si="8"/>
        <v>-5.631690759523992</v>
      </c>
      <c r="U40" s="302">
        <f t="shared" si="9"/>
        <v>5.8723744109895382</v>
      </c>
      <c r="V40" s="298">
        <f t="shared" si="11"/>
        <v>9.1202492654467449E-3</v>
      </c>
      <c r="X40" s="13"/>
      <c r="Y40" s="13"/>
      <c r="Z40" s="13"/>
      <c r="AK40" s="21"/>
      <c r="AL40" s="21"/>
      <c r="AM40" s="21"/>
      <c r="AN40" s="21"/>
      <c r="AO40" s="79"/>
      <c r="AP40" s="21"/>
      <c r="AQ40" s="21"/>
      <c r="AR40" s="21"/>
    </row>
    <row r="41" spans="1:44" ht="15.6" x14ac:dyDescent="0.3">
      <c r="A41" s="562">
        <v>6</v>
      </c>
      <c r="B41" s="563">
        <v>-35</v>
      </c>
      <c r="C41" s="564">
        <f>IFERROR('Device Resistance Tables'!C29,NA())</f>
        <v>6625.9408027874215</v>
      </c>
      <c r="D41" s="565">
        <f>IFERROR('Device Resistance Tables'!D29,NA())</f>
        <v>6726.8434546065191</v>
      </c>
      <c r="E41" s="564">
        <f>IFERROR('Device Resistance Tables'!F29,NA())</f>
        <v>6827.7461064256158</v>
      </c>
      <c r="F41" s="566">
        <f t="shared" si="5"/>
        <v>0.94175808364491265</v>
      </c>
      <c r="G41" s="564">
        <f t="shared" si="6"/>
        <v>43.30815155090113</v>
      </c>
      <c r="H41" s="566">
        <f t="shared" si="0"/>
        <v>0.13184613171028775</v>
      </c>
      <c r="I41" s="302">
        <f t="shared" si="1"/>
        <v>-1.4999999999999978</v>
      </c>
      <c r="J41" s="302">
        <f t="shared" si="2"/>
        <v>1.4999999999999842</v>
      </c>
      <c r="K41" s="298">
        <f t="shared" si="7"/>
        <v>6.0631412171262555E-3</v>
      </c>
      <c r="L41" s="388"/>
      <c r="M41" s="571">
        <v>-35</v>
      </c>
      <c r="N41" s="572">
        <v>139903.1</v>
      </c>
      <c r="O41" s="572">
        <v>148171</v>
      </c>
      <c r="P41" s="572">
        <v>156786.20000000001</v>
      </c>
      <c r="Q41" s="569">
        <f t="shared" si="3"/>
        <v>2.8103318560292343</v>
      </c>
      <c r="R41" s="564">
        <f t="shared" si="10"/>
        <v>8341.5</v>
      </c>
      <c r="S41" s="570">
        <f t="shared" si="4"/>
        <v>5.6900443191229742E-2</v>
      </c>
      <c r="T41" s="302">
        <f t="shared" si="8"/>
        <v>-5.5799717893514886</v>
      </c>
      <c r="U41" s="302">
        <f t="shared" si="9"/>
        <v>5.8143631344865128</v>
      </c>
      <c r="V41" s="298">
        <f t="shared" si="11"/>
        <v>9.5014898156722261E-3</v>
      </c>
      <c r="X41" s="13"/>
      <c r="Y41" s="13"/>
      <c r="Z41" s="13"/>
      <c r="AK41" s="21"/>
      <c r="AL41" s="21"/>
      <c r="AM41" s="21"/>
      <c r="AN41" s="21"/>
      <c r="AO41" s="79"/>
      <c r="AP41" s="21"/>
      <c r="AQ41" s="21"/>
      <c r="AR41" s="21"/>
    </row>
    <row r="42" spans="1:44" ht="15.6" x14ac:dyDescent="0.3">
      <c r="A42" s="562">
        <v>7</v>
      </c>
      <c r="B42" s="563">
        <v>-34</v>
      </c>
      <c r="C42" s="564">
        <f>IFERROR('Device Resistance Tables'!C30,NA())</f>
        <v>6668.9624694794138</v>
      </c>
      <c r="D42" s="565">
        <f>IFERROR('Device Resistance Tables'!D30,NA())</f>
        <v>6770.5202735831617</v>
      </c>
      <c r="E42" s="564">
        <f>IFERROR('Device Resistance Tables'!F30,NA())</f>
        <v>6872.0780776869087</v>
      </c>
      <c r="F42" s="566">
        <f t="shared" si="5"/>
        <v>0.9478728383016426</v>
      </c>
      <c r="G42" s="564">
        <f t="shared" si="6"/>
        <v>43.676818976642608</v>
      </c>
      <c r="H42" s="566">
        <f t="shared" si="0"/>
        <v>0.13270219736222993</v>
      </c>
      <c r="I42" s="302">
        <f t="shared" si="1"/>
        <v>-1.5000000000000073</v>
      </c>
      <c r="J42" s="302">
        <f t="shared" si="2"/>
        <v>1.4999999999999938</v>
      </c>
      <c r="K42" s="298">
        <f t="shared" si="7"/>
        <v>6.1147546567299482E-3</v>
      </c>
      <c r="L42" s="388"/>
      <c r="M42" s="571">
        <v>-34</v>
      </c>
      <c r="N42" s="572">
        <v>132572.1</v>
      </c>
      <c r="O42" s="572">
        <v>140330.4</v>
      </c>
      <c r="P42" s="572">
        <v>148409.1</v>
      </c>
      <c r="Q42" s="569">
        <f t="shared" si="3"/>
        <v>2.8004395651179004</v>
      </c>
      <c r="R42" s="564">
        <f t="shared" si="10"/>
        <v>7840.6000000000058</v>
      </c>
      <c r="S42" s="570">
        <f t="shared" si="4"/>
        <v>5.9868130464629923E-2</v>
      </c>
      <c r="T42" s="302">
        <f t="shared" si="8"/>
        <v>-5.5285953720647765</v>
      </c>
      <c r="U42" s="302">
        <f t="shared" si="9"/>
        <v>5.7569136837064612</v>
      </c>
      <c r="V42" s="298">
        <f t="shared" si="11"/>
        <v>9.892290911333923E-3</v>
      </c>
      <c r="X42" s="13"/>
      <c r="Y42" s="13"/>
      <c r="Z42" s="13"/>
      <c r="AK42" s="21"/>
      <c r="AL42" s="21"/>
      <c r="AM42" s="21"/>
      <c r="AN42" s="21"/>
      <c r="AO42" s="79"/>
      <c r="AP42" s="21"/>
      <c r="AQ42" s="21"/>
      <c r="AR42" s="21"/>
    </row>
    <row r="43" spans="1:44" ht="15.6" x14ac:dyDescent="0.3">
      <c r="A43" s="562">
        <v>8</v>
      </c>
      <c r="B43" s="563">
        <v>-33</v>
      </c>
      <c r="C43" s="564">
        <f>IFERROR('Device Resistance Tables'!C31,NA())</f>
        <v>6712.3448421063822</v>
      </c>
      <c r="D43" s="565">
        <f>IFERROR('Device Resistance Tables'!D31,NA())</f>
        <v>6814.563291478561</v>
      </c>
      <c r="E43" s="564">
        <f>IFERROR('Device Resistance Tables'!F31,NA())</f>
        <v>6916.781740850739</v>
      </c>
      <c r="F43" s="566">
        <f t="shared" si="5"/>
        <v>0.95403886080699851</v>
      </c>
      <c r="G43" s="564">
        <f t="shared" si="6"/>
        <v>44.043017895399316</v>
      </c>
      <c r="H43" s="566">
        <f t="shared" si="0"/>
        <v>0.13356544051297978</v>
      </c>
      <c r="I43" s="302">
        <f t="shared" si="1"/>
        <v>-1.5000000000000062</v>
      </c>
      <c r="J43" s="302">
        <f t="shared" si="2"/>
        <v>1.4999999999999929</v>
      </c>
      <c r="K43" s="298">
        <f t="shared" si="7"/>
        <v>6.166022505355917E-3</v>
      </c>
      <c r="L43" s="388"/>
      <c r="M43" s="571">
        <v>-33</v>
      </c>
      <c r="N43" s="572">
        <v>125674.7</v>
      </c>
      <c r="O43" s="572">
        <v>132957.6</v>
      </c>
      <c r="P43" s="572">
        <v>140536</v>
      </c>
      <c r="Q43" s="569">
        <f t="shared" si="3"/>
        <v>2.7901475682300205</v>
      </c>
      <c r="R43" s="564">
        <f t="shared" si="10"/>
        <v>7372.7999999999884</v>
      </c>
      <c r="S43" s="570">
        <f t="shared" si="4"/>
        <v>6.2955729530993793E-2</v>
      </c>
      <c r="T43" s="302">
        <f t="shared" si="8"/>
        <v>-5.4776109075374464</v>
      </c>
      <c r="U43" s="302">
        <f t="shared" si="9"/>
        <v>5.6998622117126017</v>
      </c>
      <c r="V43" s="298">
        <f t="shared" si="11"/>
        <v>1.0291996887879851E-2</v>
      </c>
      <c r="X43" s="13"/>
      <c r="Y43" s="13"/>
      <c r="Z43" s="13"/>
      <c r="AK43" s="21"/>
      <c r="AL43" s="21"/>
      <c r="AM43" s="21"/>
      <c r="AN43" s="21"/>
      <c r="AO43" s="79"/>
      <c r="AP43" s="21"/>
      <c r="AQ43" s="21"/>
      <c r="AR43" s="21"/>
    </row>
    <row r="44" spans="1:44" ht="15.6" x14ac:dyDescent="0.3">
      <c r="A44" s="562">
        <v>9</v>
      </c>
      <c r="B44" s="563">
        <v>-32</v>
      </c>
      <c r="C44" s="564">
        <f>IFERROR('Device Resistance Tables'!C32,NA())</f>
        <v>6756.085531791613</v>
      </c>
      <c r="D44" s="565">
        <f>IFERROR('Device Resistance Tables'!D32,NA())</f>
        <v>6858.9700830371703</v>
      </c>
      <c r="E44" s="564">
        <f>IFERROR('Device Resistance Tables'!F32,NA())</f>
        <v>6961.8546342827276</v>
      </c>
      <c r="F44" s="566">
        <f t="shared" si="5"/>
        <v>0.96025581162520379</v>
      </c>
      <c r="G44" s="564">
        <f t="shared" si="6"/>
        <v>44.406791558609257</v>
      </c>
      <c r="H44" s="566">
        <f t="shared" si="0"/>
        <v>0.13443581362752852</v>
      </c>
      <c r="I44" s="302">
        <f t="shared" si="1"/>
        <v>-1.4999999999999962</v>
      </c>
      <c r="J44" s="302">
        <f t="shared" si="2"/>
        <v>1.4999999999999962</v>
      </c>
      <c r="K44" s="298">
        <f t="shared" si="7"/>
        <v>6.2169508182052802E-3</v>
      </c>
      <c r="L44" s="388"/>
      <c r="M44" s="571">
        <v>-32</v>
      </c>
      <c r="N44" s="572">
        <v>119182.39999999999</v>
      </c>
      <c r="O44" s="572">
        <v>126021.5</v>
      </c>
      <c r="P44" s="572">
        <v>133133.19999999998</v>
      </c>
      <c r="Q44" s="569">
        <f t="shared" si="3"/>
        <v>2.7794466315986814</v>
      </c>
      <c r="R44" s="564">
        <f t="shared" si="10"/>
        <v>6936.1000000000058</v>
      </c>
      <c r="S44" s="570">
        <f t="shared" si="4"/>
        <v>6.6166010520395668E-2</v>
      </c>
      <c r="T44" s="302">
        <f t="shared" si="8"/>
        <v>-5.4269311188963831</v>
      </c>
      <c r="U44" s="302">
        <f t="shared" si="9"/>
        <v>5.6432434148141253</v>
      </c>
      <c r="V44" s="298">
        <f t="shared" si="11"/>
        <v>1.0700936631339086E-2</v>
      </c>
      <c r="X44" s="13"/>
      <c r="Y44" s="13"/>
      <c r="Z44" s="13"/>
      <c r="AK44" s="21"/>
      <c r="AL44" s="21"/>
      <c r="AM44" s="21"/>
      <c r="AN44" s="21"/>
      <c r="AO44" s="79"/>
      <c r="AP44" s="21"/>
      <c r="AQ44" s="21"/>
      <c r="AR44" s="21"/>
    </row>
    <row r="45" spans="1:44" ht="15.6" x14ac:dyDescent="0.3">
      <c r="A45" s="562">
        <v>10</v>
      </c>
      <c r="B45" s="563">
        <v>-31</v>
      </c>
      <c r="C45" s="564">
        <f>IFERROR('Device Resistance Tables'!C33,NA())</f>
        <v>6800.1821922610652</v>
      </c>
      <c r="D45" s="565">
        <f>IFERROR('Device Resistance Tables'!D33,NA())</f>
        <v>6903.7382662548889</v>
      </c>
      <c r="E45" s="564">
        <f>IFERROR('Device Resistance Tables'!F33,NA())</f>
        <v>7007.2943402487117</v>
      </c>
      <c r="F45" s="566">
        <f t="shared" si="5"/>
        <v>0.96652335727568439</v>
      </c>
      <c r="G45" s="564">
        <f t="shared" si="6"/>
        <v>44.768183217718615</v>
      </c>
      <c r="H45" s="566">
        <f t="shared" si="0"/>
        <v>0.1353132700185958</v>
      </c>
      <c r="I45" s="302">
        <f t="shared" si="1"/>
        <v>-1.5000000000000053</v>
      </c>
      <c r="J45" s="302">
        <f t="shared" si="2"/>
        <v>1.4999999999999922</v>
      </c>
      <c r="K45" s="298">
        <f t="shared" si="7"/>
        <v>6.2675456504805993E-3</v>
      </c>
      <c r="L45" s="388"/>
      <c r="M45" s="571">
        <v>-31</v>
      </c>
      <c r="N45" s="572">
        <v>113068.8</v>
      </c>
      <c r="O45" s="572">
        <v>119493.6</v>
      </c>
      <c r="P45" s="572">
        <v>126169.70000000001</v>
      </c>
      <c r="Q45" s="569">
        <f t="shared" si="3"/>
        <v>2.7683283189285031</v>
      </c>
      <c r="R45" s="564">
        <f t="shared" si="10"/>
        <v>6527.8999999999942</v>
      </c>
      <c r="S45" s="570">
        <f t="shared" si="4"/>
        <v>6.9501504321449067E-2</v>
      </c>
      <c r="T45" s="302">
        <f t="shared" si="8"/>
        <v>-5.3766896302396132</v>
      </c>
      <c r="U45" s="302">
        <f t="shared" si="9"/>
        <v>5.5869937804200438</v>
      </c>
      <c r="V45" s="298">
        <f t="shared" si="11"/>
        <v>1.1118312670178376E-2</v>
      </c>
      <c r="X45" s="13"/>
      <c r="Y45" s="13"/>
      <c r="Z45" s="13"/>
      <c r="AK45" s="21"/>
      <c r="AL45" s="21"/>
      <c r="AM45" s="21"/>
      <c r="AN45" s="21"/>
      <c r="AO45" s="79"/>
      <c r="AP45" s="21"/>
      <c r="AQ45" s="21"/>
      <c r="AR45" s="21"/>
    </row>
    <row r="46" spans="1:44" ht="15.6" x14ac:dyDescent="0.3">
      <c r="A46" s="562">
        <v>11</v>
      </c>
      <c r="B46" s="563">
        <v>-30</v>
      </c>
      <c r="C46" s="564">
        <f>IFERROR('Device Resistance Tables'!C34,NA())</f>
        <v>6844.6325198433633</v>
      </c>
      <c r="D46" s="565">
        <f>IFERROR('Device Resistance Tables'!D34,NA())</f>
        <v>6948.8655023790488</v>
      </c>
      <c r="E46" s="564">
        <f>IFERROR('Device Resistance Tables'!F34,NA())</f>
        <v>7053.0984849147335</v>
      </c>
      <c r="F46" s="566">
        <f t="shared" si="5"/>
        <v>0.97284117033306672</v>
      </c>
      <c r="G46" s="564">
        <f t="shared" si="6"/>
        <v>45.127236124159936</v>
      </c>
      <c r="H46" s="566">
        <f t="shared" si="0"/>
        <v>0.13619776384662932</v>
      </c>
      <c r="I46" s="302">
        <f t="shared" si="1"/>
        <v>-1.4999999999999973</v>
      </c>
      <c r="J46" s="302">
        <f t="shared" si="2"/>
        <v>1.4999999999999842</v>
      </c>
      <c r="K46" s="298">
        <f t="shared" si="7"/>
        <v>6.3178130573823266E-3</v>
      </c>
      <c r="L46" s="388"/>
      <c r="M46" s="571">
        <v>-30</v>
      </c>
      <c r="N46" s="572">
        <v>107309.5</v>
      </c>
      <c r="O46" s="572">
        <v>113347.09999999999</v>
      </c>
      <c r="P46" s="572">
        <v>119616.7</v>
      </c>
      <c r="Q46" s="569">
        <f t="shared" si="3"/>
        <v>2.7567839049316927</v>
      </c>
      <c r="R46" s="564">
        <f t="shared" si="10"/>
        <v>6146.5000000000146</v>
      </c>
      <c r="S46" s="570">
        <f t="shared" si="4"/>
        <v>7.2964828520492159E-2</v>
      </c>
      <c r="T46" s="302">
        <f t="shared" si="8"/>
        <v>-5.326647086692109</v>
      </c>
      <c r="U46" s="302">
        <f t="shared" si="9"/>
        <v>5.5313281063212081</v>
      </c>
      <c r="V46" s="298">
        <f t="shared" si="11"/>
        <v>1.1544413996810388E-2</v>
      </c>
      <c r="X46" s="13"/>
      <c r="Y46" s="13"/>
      <c r="Z46" s="13"/>
      <c r="AK46" s="21"/>
      <c r="AL46" s="21"/>
      <c r="AM46" s="21"/>
      <c r="AN46" s="21"/>
      <c r="AO46" s="79"/>
      <c r="AP46" s="21"/>
      <c r="AQ46" s="21"/>
      <c r="AR46" s="21"/>
    </row>
    <row r="47" spans="1:44" ht="15.6" x14ac:dyDescent="0.3">
      <c r="A47" s="562">
        <v>12</v>
      </c>
      <c r="B47" s="563">
        <v>-29</v>
      </c>
      <c r="C47" s="564">
        <f>IFERROR('Device Resistance Tables'!C35,NA())</f>
        <v>6889.4342534698071</v>
      </c>
      <c r="D47" s="565">
        <f>IFERROR('Device Resistance Tables'!D35,NA())</f>
        <v>6994.3494959084337</v>
      </c>
      <c r="E47" s="564">
        <f>IFERROR('Device Resistance Tables'!F35,NA())</f>
        <v>7099.2647383470594</v>
      </c>
      <c r="F47" s="566">
        <f t="shared" si="5"/>
        <v>0.97920892942718063</v>
      </c>
      <c r="G47" s="564">
        <f t="shared" si="6"/>
        <v>45.483993529384861</v>
      </c>
      <c r="H47" s="566">
        <f t="shared" si="0"/>
        <v>0.13708925011980527</v>
      </c>
      <c r="I47" s="302">
        <f t="shared" si="1"/>
        <v>-1.5000000000000011</v>
      </c>
      <c r="J47" s="302">
        <f t="shared" si="2"/>
        <v>1.4999999999999882</v>
      </c>
      <c r="K47" s="298">
        <f t="shared" si="7"/>
        <v>6.3677590941139117E-3</v>
      </c>
      <c r="L47" s="388"/>
      <c r="M47" s="571">
        <v>-29</v>
      </c>
      <c r="N47" s="572">
        <v>101888.59999999999</v>
      </c>
      <c r="O47" s="572">
        <v>107564.9</v>
      </c>
      <c r="P47" s="572">
        <v>113455.29999999999</v>
      </c>
      <c r="Q47" s="569">
        <f t="shared" si="3"/>
        <v>2.744821796301447</v>
      </c>
      <c r="R47" s="564">
        <f t="shared" si="10"/>
        <v>5782.1999999999971</v>
      </c>
      <c r="S47" s="570">
        <f t="shared" si="4"/>
        <v>7.6553461109565873E-2</v>
      </c>
      <c r="T47" s="302">
        <f t="shared" si="8"/>
        <v>-5.2770931781649999</v>
      </c>
      <c r="U47" s="302">
        <f t="shared" si="9"/>
        <v>5.4761358026642473</v>
      </c>
      <c r="V47" s="298">
        <f t="shared" si="11"/>
        <v>1.1962108630245716E-2</v>
      </c>
      <c r="X47" s="13"/>
      <c r="Y47" s="13"/>
      <c r="Z47" s="13"/>
      <c r="AK47" s="21"/>
      <c r="AL47" s="21"/>
      <c r="AM47" s="21"/>
      <c r="AN47" s="21"/>
      <c r="AO47" s="79"/>
      <c r="AP47" s="21"/>
      <c r="AQ47" s="21"/>
      <c r="AR47" s="21"/>
    </row>
    <row r="48" spans="1:44" ht="15.6" x14ac:dyDescent="0.3">
      <c r="A48" s="562">
        <v>13</v>
      </c>
      <c r="B48" s="563">
        <v>-28</v>
      </c>
      <c r="C48" s="564">
        <f>IFERROR('Device Resistance Tables'!C36,NA())</f>
        <v>6934.585174674362</v>
      </c>
      <c r="D48" s="565">
        <f>IFERROR('Device Resistance Tables'!D36,NA())</f>
        <v>7040.1879945932606</v>
      </c>
      <c r="E48" s="564">
        <f>IFERROR('Device Resistance Tables'!F36,NA())</f>
        <v>7145.7908145121592</v>
      </c>
      <c r="F48" s="566">
        <f t="shared" si="5"/>
        <v>0.98562631924305644</v>
      </c>
      <c r="G48" s="564">
        <f t="shared" si="6"/>
        <v>45.838498684826845</v>
      </c>
      <c r="H48" s="566">
        <f t="shared" si="0"/>
        <v>0.13798768469402789</v>
      </c>
      <c r="I48" s="302">
        <f t="shared" si="1"/>
        <v>-1.4999999999999956</v>
      </c>
      <c r="J48" s="302">
        <f t="shared" si="2"/>
        <v>1.4999999999999956</v>
      </c>
      <c r="K48" s="298">
        <f t="shared" si="7"/>
        <v>6.4173898158758069E-3</v>
      </c>
      <c r="L48" s="388"/>
      <c r="M48" s="571">
        <v>-28</v>
      </c>
      <c r="N48" s="572">
        <v>96777.1</v>
      </c>
      <c r="O48" s="572">
        <v>102115.5</v>
      </c>
      <c r="P48" s="572">
        <v>107651.4</v>
      </c>
      <c r="Q48" s="569">
        <f t="shared" si="3"/>
        <v>2.7324188002550942</v>
      </c>
      <c r="R48" s="564">
        <f t="shared" si="10"/>
        <v>5449.3999999999942</v>
      </c>
      <c r="S48" s="570">
        <f t="shared" si="4"/>
        <v>8.0274359923471775E-2</v>
      </c>
      <c r="T48" s="302">
        <f t="shared" si="8"/>
        <v>-5.227805768957694</v>
      </c>
      <c r="U48" s="302">
        <f t="shared" si="9"/>
        <v>5.4212142133172669</v>
      </c>
      <c r="V48" s="298">
        <f t="shared" si="11"/>
        <v>1.2402996046352754E-2</v>
      </c>
      <c r="X48" s="13"/>
      <c r="Y48" s="13"/>
      <c r="Z48" s="13"/>
      <c r="AK48" s="21"/>
      <c r="AL48" s="21"/>
      <c r="AM48" s="21"/>
      <c r="AN48" s="21"/>
      <c r="AO48" s="79"/>
      <c r="AP48" s="21"/>
      <c r="AQ48" s="21"/>
      <c r="AR48" s="21"/>
    </row>
    <row r="49" spans="1:44" ht="15.6" x14ac:dyDescent="0.3">
      <c r="A49" s="562">
        <v>14</v>
      </c>
      <c r="B49" s="563">
        <v>-27</v>
      </c>
      <c r="C49" s="564">
        <f>IFERROR('Device Resistance Tables'!C37,NA())</f>
        <v>6980.083107593663</v>
      </c>
      <c r="D49" s="565">
        <f>IFERROR('Device Resistance Tables'!D37,NA())</f>
        <v>7086.3787894351908</v>
      </c>
      <c r="E49" s="564">
        <f>IFERROR('Device Resistance Tables'!F37,NA())</f>
        <v>7192.6744712767177</v>
      </c>
      <c r="F49" s="566">
        <f t="shared" si="5"/>
        <v>0.99209303052092668</v>
      </c>
      <c r="G49" s="564">
        <f t="shared" si="6"/>
        <v>46.190794841930256</v>
      </c>
      <c r="H49" s="566">
        <f t="shared" si="0"/>
        <v>0.13889302427292971</v>
      </c>
      <c r="I49" s="302">
        <f t="shared" si="1"/>
        <v>-1.4999999999999987</v>
      </c>
      <c r="J49" s="302">
        <f t="shared" si="2"/>
        <v>1.4999999999999858</v>
      </c>
      <c r="K49" s="298">
        <f t="shared" si="7"/>
        <v>6.4667112778702407E-3</v>
      </c>
      <c r="L49" s="388"/>
      <c r="M49" s="571">
        <v>-27</v>
      </c>
      <c r="N49" s="572">
        <v>91955.200000000012</v>
      </c>
      <c r="O49" s="572">
        <v>96977.599999999991</v>
      </c>
      <c r="P49" s="572">
        <v>102182.2</v>
      </c>
      <c r="Q49" s="569">
        <f t="shared" si="3"/>
        <v>2.7195674608516174</v>
      </c>
      <c r="R49" s="564">
        <f t="shared" si="10"/>
        <v>5137.9000000000087</v>
      </c>
      <c r="S49" s="570">
        <f t="shared" si="4"/>
        <v>8.4129761744514739E-2</v>
      </c>
      <c r="T49" s="302">
        <f t="shared" si="8"/>
        <v>-5.1789279173747138</v>
      </c>
      <c r="U49" s="302">
        <f t="shared" si="9"/>
        <v>5.3668063552820504</v>
      </c>
      <c r="V49" s="298">
        <f t="shared" si="11"/>
        <v>1.2851339403476825E-2</v>
      </c>
      <c r="X49" s="13"/>
      <c r="Y49" s="13"/>
      <c r="Z49" s="13"/>
      <c r="AK49" s="21"/>
      <c r="AL49" s="21"/>
      <c r="AM49" s="21"/>
      <c r="AN49" s="21"/>
      <c r="AO49" s="79"/>
      <c r="AP49" s="21"/>
      <c r="AQ49" s="21"/>
      <c r="AR49" s="21"/>
    </row>
    <row r="50" spans="1:44" ht="15.6" x14ac:dyDescent="0.3">
      <c r="A50" s="562">
        <v>15</v>
      </c>
      <c r="B50" s="563">
        <v>-26</v>
      </c>
      <c r="C50" s="564">
        <f>IFERROR('Device Resistance Tables'!C38,NA())</f>
        <v>7025.9259189670192</v>
      </c>
      <c r="D50" s="565">
        <f>IFERROR('Device Resistance Tables'!D38,NA())</f>
        <v>7132.9197146873294</v>
      </c>
      <c r="E50" s="564">
        <f>IFERROR('Device Resistance Tables'!F38,NA())</f>
        <v>7239.9135104076386</v>
      </c>
      <c r="F50" s="566">
        <f t="shared" si="5"/>
        <v>0.99860876005622601</v>
      </c>
      <c r="G50" s="564">
        <f t="shared" si="6"/>
        <v>46.54092525213855</v>
      </c>
      <c r="H50" s="566">
        <f t="shared" si="0"/>
        <v>0.13980522640787163</v>
      </c>
      <c r="I50" s="302">
        <f t="shared" si="1"/>
        <v>-1.5000000000000024</v>
      </c>
      <c r="J50" s="302">
        <f t="shared" si="2"/>
        <v>1.4999999999999898</v>
      </c>
      <c r="K50" s="298">
        <f t="shared" si="7"/>
        <v>6.5157295352993305E-3</v>
      </c>
      <c r="L50" s="388"/>
      <c r="M50" s="571">
        <v>-26</v>
      </c>
      <c r="N50" s="572">
        <v>87404.9</v>
      </c>
      <c r="O50" s="572">
        <v>92131.5</v>
      </c>
      <c r="P50" s="572">
        <v>97026.3</v>
      </c>
      <c r="Q50" s="569">
        <f t="shared" si="3"/>
        <v>2.7062610458085898</v>
      </c>
      <c r="R50" s="564">
        <f t="shared" si="10"/>
        <v>4846.0999999999913</v>
      </c>
      <c r="S50" s="570">
        <f t="shared" si="4"/>
        <v>8.8121686257423032E-2</v>
      </c>
      <c r="T50" s="302">
        <f t="shared" si="8"/>
        <v>-5.1302757471657428</v>
      </c>
      <c r="U50" s="302">
        <f t="shared" si="9"/>
        <v>5.3128408850393214</v>
      </c>
      <c r="V50" s="298">
        <f t="shared" si="11"/>
        <v>1.3306415043027542E-2</v>
      </c>
      <c r="X50" s="13"/>
      <c r="Y50" s="13"/>
      <c r="Z50" s="13"/>
      <c r="AK50" s="21"/>
      <c r="AL50" s="21"/>
      <c r="AM50" s="21"/>
      <c r="AN50" s="21"/>
      <c r="AO50" s="79"/>
      <c r="AP50" s="21"/>
      <c r="AQ50" s="21"/>
      <c r="AR50" s="21"/>
    </row>
    <row r="51" spans="1:44" ht="15.6" x14ac:dyDescent="0.3">
      <c r="A51" s="562">
        <v>16</v>
      </c>
      <c r="B51" s="563">
        <v>-25</v>
      </c>
      <c r="C51" s="564">
        <f>IFERROR('Device Resistance Tables'!C39,NA())</f>
        <v>7072.1115181364057</v>
      </c>
      <c r="D51" s="565">
        <f>IFERROR('Device Resistance Tables'!D39,NA())</f>
        <v>7179.8086478542191</v>
      </c>
      <c r="E51" s="564">
        <f>IFERROR('Device Resistance Tables'!F39,NA())</f>
        <v>7287.5057775720315</v>
      </c>
      <c r="F51" s="566">
        <f t="shared" si="5"/>
        <v>1.0051732106995905</v>
      </c>
      <c r="G51" s="564">
        <f t="shared" si="6"/>
        <v>46.888933166889728</v>
      </c>
      <c r="H51" s="566">
        <f t="shared" si="0"/>
        <v>0.14072424949794268</v>
      </c>
      <c r="I51" s="302">
        <f t="shared" si="1"/>
        <v>-1.5000000000000011</v>
      </c>
      <c r="J51" s="302">
        <f t="shared" si="2"/>
        <v>1.4999999999999885</v>
      </c>
      <c r="K51" s="298">
        <f t="shared" si="7"/>
        <v>6.5644506433645278E-3</v>
      </c>
      <c r="L51" s="388"/>
      <c r="M51" s="571">
        <v>-25</v>
      </c>
      <c r="N51" s="572">
        <v>83109.099999999991</v>
      </c>
      <c r="O51" s="572">
        <v>87558.8</v>
      </c>
      <c r="P51" s="572">
        <v>92163.700000000012</v>
      </c>
      <c r="Q51" s="569">
        <f t="shared" si="3"/>
        <v>2.6924931425970797</v>
      </c>
      <c r="R51" s="564">
        <f t="shared" si="10"/>
        <v>4572.6999999999971</v>
      </c>
      <c r="S51" s="570">
        <f t="shared" si="4"/>
        <v>9.225205722087601E-2</v>
      </c>
      <c r="T51" s="302">
        <f t="shared" si="8"/>
        <v>-5.0819563539016199</v>
      </c>
      <c r="U51" s="302">
        <f t="shared" si="9"/>
        <v>5.2592086689173545</v>
      </c>
      <c r="V51" s="298">
        <f t="shared" si="11"/>
        <v>1.3767903211510113E-2</v>
      </c>
      <c r="X51" s="13"/>
      <c r="Y51" s="13"/>
      <c r="Z51" s="13"/>
      <c r="AK51" s="21"/>
      <c r="AL51" s="21"/>
      <c r="AM51" s="21"/>
      <c r="AN51" s="21"/>
      <c r="AO51" s="79"/>
      <c r="AP51" s="21"/>
      <c r="AQ51" s="21"/>
      <c r="AR51" s="21"/>
    </row>
    <row r="52" spans="1:44" ht="15.6" x14ac:dyDescent="0.3">
      <c r="A52" s="562">
        <v>17</v>
      </c>
      <c r="B52" s="563">
        <v>-24</v>
      </c>
      <c r="C52" s="564">
        <f>IFERROR('Device Resistance Tables'!C40,NA())</f>
        <v>7118.6378570464649</v>
      </c>
      <c r="D52" s="565">
        <f>IFERROR('Device Resistance Tables'!D40,NA())</f>
        <v>7227.0435096918427</v>
      </c>
      <c r="E52" s="564">
        <f>IFERROR('Device Resistance Tables'!F40,NA())</f>
        <v>7335.4491623372196</v>
      </c>
      <c r="F52" s="566">
        <f t="shared" si="5"/>
        <v>1.0117860913568579</v>
      </c>
      <c r="G52" s="564">
        <f t="shared" si="6"/>
        <v>47.234861837623612</v>
      </c>
      <c r="H52" s="566">
        <f t="shared" si="0"/>
        <v>0.1416500527899601</v>
      </c>
      <c r="I52" s="302">
        <f t="shared" si="1"/>
        <v>-1.5000000000000024</v>
      </c>
      <c r="J52" s="302">
        <f t="shared" si="2"/>
        <v>1.4999999999999898</v>
      </c>
      <c r="K52" s="298">
        <f t="shared" si="7"/>
        <v>6.6128806572673948E-3</v>
      </c>
      <c r="L52" s="388"/>
      <c r="M52" s="571">
        <v>-24</v>
      </c>
      <c r="N52" s="572">
        <v>79052</v>
      </c>
      <c r="O52" s="572">
        <v>83242.400000000009</v>
      </c>
      <c r="P52" s="572">
        <v>87576</v>
      </c>
      <c r="Q52" s="569">
        <f t="shared" si="3"/>
        <v>2.6782579598980725</v>
      </c>
      <c r="R52" s="564">
        <f t="shared" si="10"/>
        <v>4316.3999999999942</v>
      </c>
      <c r="S52" s="570">
        <f t="shared" si="4"/>
        <v>9.6522612030578381E-2</v>
      </c>
      <c r="T52" s="302">
        <f t="shared" si="8"/>
        <v>-5.0339730714155388</v>
      </c>
      <c r="U52" s="302">
        <f t="shared" si="9"/>
        <v>5.2060007880599199</v>
      </c>
      <c r="V52" s="298">
        <f t="shared" si="11"/>
        <v>1.4235182699007254E-2</v>
      </c>
      <c r="X52" s="13"/>
      <c r="Y52" s="13"/>
      <c r="Z52" s="13"/>
      <c r="AK52" s="21"/>
      <c r="AL52" s="21"/>
      <c r="AM52" s="21"/>
      <c r="AN52" s="21"/>
      <c r="AO52" s="79"/>
      <c r="AP52" s="21"/>
      <c r="AQ52" s="21"/>
      <c r="AR52" s="21"/>
    </row>
    <row r="53" spans="1:44" ht="15.6" x14ac:dyDescent="0.3">
      <c r="A53" s="562">
        <v>18</v>
      </c>
      <c r="B53" s="563">
        <v>-23</v>
      </c>
      <c r="C53" s="564">
        <f>IFERROR('Device Resistance Tables'!C41,NA())</f>
        <v>7165.5029302445155</v>
      </c>
      <c r="D53" s="565">
        <f>IFERROR('Device Resistance Tables'!D41,NA())</f>
        <v>7274.62226420763</v>
      </c>
      <c r="E53" s="564">
        <f>IFERROR('Device Resistance Tables'!F41,NA())</f>
        <v>7383.7415981707436</v>
      </c>
      <c r="F53" s="566">
        <f t="shared" si="5"/>
        <v>1.0184471169890681</v>
      </c>
      <c r="G53" s="564">
        <f t="shared" si="6"/>
        <v>47.578754515787296</v>
      </c>
      <c r="H53" s="566">
        <f t="shared" si="0"/>
        <v>0.14258259637846951</v>
      </c>
      <c r="I53" s="302">
        <f t="shared" si="1"/>
        <v>-1.5000000000000009</v>
      </c>
      <c r="J53" s="302">
        <f t="shared" si="2"/>
        <v>1.4999999999999882</v>
      </c>
      <c r="K53" s="298">
        <f t="shared" si="7"/>
        <v>6.6610256322101602E-3</v>
      </c>
      <c r="L53" s="388"/>
      <c r="M53" s="571">
        <v>-23</v>
      </c>
      <c r="N53" s="572">
        <v>75218.900000000009</v>
      </c>
      <c r="O53" s="572">
        <v>79166.3</v>
      </c>
      <c r="P53" s="572">
        <v>83245.900000000009</v>
      </c>
      <c r="Q53" s="569">
        <f t="shared" si="3"/>
        <v>2.6635500183365237</v>
      </c>
      <c r="R53" s="564">
        <f t="shared" si="10"/>
        <v>4076.1000000000058</v>
      </c>
      <c r="S53" s="570">
        <f t="shared" si="4"/>
        <v>0.10093499449904278</v>
      </c>
      <c r="T53" s="302">
        <f t="shared" si="8"/>
        <v>-4.9862125677213589</v>
      </c>
      <c r="U53" s="302">
        <f t="shared" si="9"/>
        <v>5.1532028148340974</v>
      </c>
      <c r="V53" s="298">
        <f t="shared" si="11"/>
        <v>1.4707941561548754E-2</v>
      </c>
      <c r="X53" s="13"/>
      <c r="Y53" s="13"/>
      <c r="Z53" s="13"/>
      <c r="AK53" s="21"/>
      <c r="AL53" s="21"/>
      <c r="AM53" s="21"/>
      <c r="AN53" s="21"/>
      <c r="AO53" s="79"/>
      <c r="AP53" s="21"/>
      <c r="AQ53" s="21"/>
      <c r="AR53" s="21"/>
    </row>
    <row r="54" spans="1:44" ht="15.6" x14ac:dyDescent="0.3">
      <c r="A54" s="562">
        <v>19</v>
      </c>
      <c r="B54" s="563">
        <v>-22</v>
      </c>
      <c r="C54" s="564">
        <f>IFERROR('Device Resistance Tables'!C42,NA())</f>
        <v>7212.7047748805408</v>
      </c>
      <c r="D54" s="565">
        <f>IFERROR('Device Resistance Tables'!D42,NA())</f>
        <v>7322.5429186604479</v>
      </c>
      <c r="E54" s="564">
        <f>IFERROR('Device Resistance Tables'!F42,NA())</f>
        <v>7432.3810624403541</v>
      </c>
      <c r="F54" s="566">
        <f t="shared" si="5"/>
        <v>1.0251560086124627</v>
      </c>
      <c r="G54" s="564">
        <f t="shared" si="6"/>
        <v>47.920654452817871</v>
      </c>
      <c r="H54" s="566">
        <f t="shared" si="0"/>
        <v>0.14352184120574477</v>
      </c>
      <c r="I54" s="302">
        <f t="shared" si="1"/>
        <v>-1.5000000000000053</v>
      </c>
      <c r="J54" s="302">
        <f t="shared" si="2"/>
        <v>1.4999999999999929</v>
      </c>
      <c r="K54" s="298">
        <f t="shared" si="7"/>
        <v>6.7088916233946083E-3</v>
      </c>
      <c r="L54" s="388"/>
      <c r="M54" s="571">
        <v>-22</v>
      </c>
      <c r="N54" s="572">
        <v>71596</v>
      </c>
      <c r="O54" s="572">
        <v>75315.700000000012</v>
      </c>
      <c r="P54" s="572">
        <v>79157.5</v>
      </c>
      <c r="Q54" s="569">
        <f t="shared" si="3"/>
        <v>2.6483648378903295</v>
      </c>
      <c r="R54" s="564">
        <f t="shared" si="10"/>
        <v>3850.5999999999913</v>
      </c>
      <c r="S54" s="570">
        <f t="shared" si="4"/>
        <v>0.10549054863290107</v>
      </c>
      <c r="T54" s="302">
        <f t="shared" si="8"/>
        <v>-4.938810898657267</v>
      </c>
      <c r="U54" s="302">
        <f t="shared" si="9"/>
        <v>5.1009284916690518</v>
      </c>
      <c r="V54" s="298">
        <f t="shared" si="11"/>
        <v>1.5185180446194213E-2</v>
      </c>
      <c r="X54" s="13"/>
      <c r="Y54" s="13"/>
      <c r="Z54" s="13"/>
      <c r="AK54" s="21"/>
      <c r="AL54" s="21"/>
      <c r="AM54" s="21"/>
      <c r="AN54" s="21"/>
      <c r="AO54" s="79"/>
      <c r="AP54" s="21"/>
      <c r="AQ54" s="21"/>
      <c r="AR54" s="21"/>
    </row>
    <row r="55" spans="1:44" ht="15.6" x14ac:dyDescent="0.3">
      <c r="A55" s="562">
        <v>20</v>
      </c>
      <c r="B55" s="563">
        <v>-21</v>
      </c>
      <c r="C55" s="564">
        <f>IFERROR('Device Resistance Tables'!C43,NA())</f>
        <v>7260.2414707071948</v>
      </c>
      <c r="D55" s="565">
        <f>IFERROR('Device Resistance Tables'!D43,NA())</f>
        <v>7370.8035235606039</v>
      </c>
      <c r="E55" s="564">
        <f>IFERROR('Device Resistance Tables'!F43,NA())</f>
        <v>7481.3655764140121</v>
      </c>
      <c r="F55" s="566">
        <f t="shared" si="5"/>
        <v>1.0319124932984844</v>
      </c>
      <c r="G55" s="564">
        <f t="shared" si="6"/>
        <v>48.260604900156068</v>
      </c>
      <c r="H55" s="566">
        <f t="shared" si="0"/>
        <v>0.1444677490617878</v>
      </c>
      <c r="I55" s="302">
        <f t="shared" si="1"/>
        <v>-1.5000000000000009</v>
      </c>
      <c r="J55" s="302">
        <f t="shared" si="2"/>
        <v>1.4999999999999882</v>
      </c>
      <c r="K55" s="298">
        <f t="shared" si="7"/>
        <v>6.7564846860217465E-3</v>
      </c>
      <c r="L55" s="388"/>
      <c r="M55" s="571">
        <v>-21</v>
      </c>
      <c r="N55" s="572">
        <v>68170.599999999991</v>
      </c>
      <c r="O55" s="572">
        <v>71676.800000000003</v>
      </c>
      <c r="P55" s="572">
        <v>75295.599999999991</v>
      </c>
      <c r="Q55" s="569">
        <f t="shared" si="3"/>
        <v>2.6326986365773388</v>
      </c>
      <c r="R55" s="564">
        <f t="shared" si="10"/>
        <v>3638.9000000000087</v>
      </c>
      <c r="S55" s="570">
        <f t="shared" si="4"/>
        <v>0.1101904090267983</v>
      </c>
      <c r="T55" s="302">
        <f t="shared" si="8"/>
        <v>-4.8916804321621665</v>
      </c>
      <c r="U55" s="302">
        <f t="shared" si="9"/>
        <v>5.0487744988615395</v>
      </c>
      <c r="V55" s="298">
        <f t="shared" si="11"/>
        <v>1.566620131299068E-2</v>
      </c>
      <c r="X55" s="13"/>
      <c r="Y55" s="13"/>
      <c r="Z55" s="13"/>
      <c r="AK55" s="21"/>
      <c r="AL55" s="21"/>
      <c r="AM55" s="21"/>
      <c r="AN55" s="21"/>
      <c r="AO55" s="79"/>
      <c r="AP55" s="21"/>
      <c r="AQ55" s="21"/>
      <c r="AR55" s="21"/>
    </row>
    <row r="56" spans="1:44" ht="15.6" x14ac:dyDescent="0.3">
      <c r="A56" s="562">
        <v>21</v>
      </c>
      <c r="B56" s="563">
        <v>-20</v>
      </c>
      <c r="C56" s="564">
        <f>IFERROR('Device Resistance Tables'!C44,NA())</f>
        <v>7308.1111400798027</v>
      </c>
      <c r="D56" s="565">
        <f>IFERROR('Device Resistance Tables'!D44,NA())</f>
        <v>7419.4021726698502</v>
      </c>
      <c r="E56" s="564">
        <f>IFERROR('Device Resistance Tables'!F44,NA())</f>
        <v>7530.6932052598968</v>
      </c>
      <c r="F56" s="566">
        <f t="shared" si="5"/>
        <v>1.038716304173779</v>
      </c>
      <c r="G56" s="564">
        <f t="shared" si="6"/>
        <v>48.598649109246253</v>
      </c>
      <c r="H56" s="566">
        <f t="shared" si="0"/>
        <v>0.14542028258432904</v>
      </c>
      <c r="I56" s="302">
        <f t="shared" si="1"/>
        <v>-1.4999999999999967</v>
      </c>
      <c r="J56" s="302">
        <f t="shared" si="2"/>
        <v>1.4999999999999845</v>
      </c>
      <c r="K56" s="298">
        <f t="shared" si="7"/>
        <v>6.8038108752945803E-3</v>
      </c>
      <c r="L56" s="388"/>
      <c r="M56" s="571">
        <v>-20</v>
      </c>
      <c r="N56" s="572">
        <v>64930.6</v>
      </c>
      <c r="O56" s="572">
        <v>68236.7</v>
      </c>
      <c r="P56" s="572">
        <v>71646.600000000006</v>
      </c>
      <c r="Q56" s="569">
        <f t="shared" si="3"/>
        <v>2.6165482439826833</v>
      </c>
      <c r="R56" s="564">
        <f t="shared" si="10"/>
        <v>3440.1000000000058</v>
      </c>
      <c r="S56" s="570">
        <f t="shared" si="4"/>
        <v>0.11503552680519501</v>
      </c>
      <c r="T56" s="302">
        <f t="shared" si="8"/>
        <v>-4.845046727054501</v>
      </c>
      <c r="U56" s="302">
        <f t="shared" si="9"/>
        <v>4.9971642825635012</v>
      </c>
      <c r="V56" s="298">
        <f t="shared" si="11"/>
        <v>1.615039259465556E-2</v>
      </c>
      <c r="X56" s="13"/>
      <c r="Y56" s="13"/>
      <c r="Z56" s="13"/>
      <c r="AK56" s="21"/>
      <c r="AL56" s="21"/>
      <c r="AM56" s="21"/>
      <c r="AN56" s="21"/>
      <c r="AO56" s="79"/>
      <c r="AP56" s="21"/>
      <c r="AQ56" s="21"/>
      <c r="AR56" s="21"/>
    </row>
    <row r="57" spans="1:44" ht="15.6" x14ac:dyDescent="0.3">
      <c r="A57" s="562">
        <v>22</v>
      </c>
      <c r="B57" s="563">
        <v>-19</v>
      </c>
      <c r="C57" s="564">
        <f>IFERROR('Device Resistance Tables'!C45,NA())</f>
        <v>7356.3119479563575</v>
      </c>
      <c r="D57" s="565">
        <f>IFERROR('Device Resistance Tables'!D45,NA())</f>
        <v>7468.3370030013784</v>
      </c>
      <c r="E57" s="564">
        <f>IFERROR('Device Resistance Tables'!F45,NA())</f>
        <v>7580.3620580463985</v>
      </c>
      <c r="F57" s="566">
        <f t="shared" si="5"/>
        <v>1.0455671804201929</v>
      </c>
      <c r="G57" s="564">
        <f t="shared" si="6"/>
        <v>48.934830331528246</v>
      </c>
      <c r="H57" s="566">
        <f t="shared" si="0"/>
        <v>0.14637940525882698</v>
      </c>
      <c r="I57" s="302">
        <f t="shared" si="1"/>
        <v>-1.5000000000000038</v>
      </c>
      <c r="J57" s="302">
        <f t="shared" si="2"/>
        <v>1.4999999999999916</v>
      </c>
      <c r="K57" s="298">
        <f t="shared" si="7"/>
        <v>6.850876246413895E-3</v>
      </c>
      <c r="L57" s="388"/>
      <c r="M57" s="571">
        <v>-19</v>
      </c>
      <c r="N57" s="572">
        <v>61872</v>
      </c>
      <c r="O57" s="572">
        <v>64990.700000000004</v>
      </c>
      <c r="P57" s="572">
        <v>68205.100000000006</v>
      </c>
      <c r="Q57" s="569">
        <f t="shared" si="3"/>
        <v>2.5999503938488369</v>
      </c>
      <c r="R57" s="564">
        <f t="shared" si="10"/>
        <v>3245.9999999999927</v>
      </c>
      <c r="S57" s="570">
        <f t="shared" si="4"/>
        <v>0.12001488184534878</v>
      </c>
      <c r="T57" s="302">
        <f t="shared" si="8"/>
        <v>-4.7986865813108706</v>
      </c>
      <c r="U57" s="302">
        <f t="shared" si="9"/>
        <v>4.9459384188814726</v>
      </c>
      <c r="V57" s="298">
        <f t="shared" si="11"/>
        <v>1.6597850133846404E-2</v>
      </c>
      <c r="X57" s="13"/>
      <c r="Y57" s="13"/>
      <c r="Z57" s="13"/>
      <c r="AK57" s="21"/>
      <c r="AL57" s="21"/>
      <c r="AM57" s="21"/>
      <c r="AN57" s="21"/>
      <c r="AO57" s="79"/>
      <c r="AP57" s="21"/>
      <c r="AQ57" s="21"/>
      <c r="AR57" s="21"/>
    </row>
    <row r="58" spans="1:44" ht="15.6" x14ac:dyDescent="0.3">
      <c r="A58" s="562">
        <v>23</v>
      </c>
      <c r="B58" s="563">
        <v>-18</v>
      </c>
      <c r="C58" s="564">
        <f>IFERROR('Device Resistance Tables'!C46,NA())</f>
        <v>7404.8421018975232</v>
      </c>
      <c r="D58" s="565">
        <f>IFERROR('Device Resistance Tables'!D46,NA())</f>
        <v>7517.6061948198203</v>
      </c>
      <c r="E58" s="564">
        <f>IFERROR('Device Resistance Tables'!F46,NA())</f>
        <v>7630.3702877421165</v>
      </c>
      <c r="F58" s="566">
        <f t="shared" si="5"/>
        <v>1.0524648672747747</v>
      </c>
      <c r="G58" s="564">
        <f t="shared" si="6"/>
        <v>49.269191818441868</v>
      </c>
      <c r="H58" s="566">
        <f t="shared" si="0"/>
        <v>0.14734508141846847</v>
      </c>
      <c r="I58" s="302">
        <f t="shared" si="1"/>
        <v>-1.4999999999999971</v>
      </c>
      <c r="J58" s="302">
        <f t="shared" si="2"/>
        <v>1.4999999999999851</v>
      </c>
      <c r="K58" s="298">
        <f t="shared" si="7"/>
        <v>6.8976868545818082E-3</v>
      </c>
      <c r="L58" s="388"/>
      <c r="M58" s="571">
        <v>-18</v>
      </c>
      <c r="N58" s="572">
        <v>58976.3</v>
      </c>
      <c r="O58" s="572">
        <v>61919</v>
      </c>
      <c r="P58" s="572">
        <v>64950.100000000006</v>
      </c>
      <c r="Q58" s="569">
        <f t="shared" si="3"/>
        <v>2.5828640553956537</v>
      </c>
      <c r="R58" s="564">
        <f t="shared" si="10"/>
        <v>3071.7000000000044</v>
      </c>
      <c r="S58" s="570">
        <f t="shared" si="4"/>
        <v>0.12514078338130399</v>
      </c>
      <c r="T58" s="302">
        <f t="shared" si="8"/>
        <v>-4.7524992328687432</v>
      </c>
      <c r="U58" s="302">
        <f t="shared" si="9"/>
        <v>4.8952663964211407</v>
      </c>
      <c r="V58" s="298">
        <f t="shared" si="11"/>
        <v>1.7086338453183192E-2</v>
      </c>
      <c r="X58" s="13"/>
      <c r="Y58" s="13"/>
      <c r="Z58" s="13"/>
      <c r="AK58" s="21"/>
      <c r="AL58" s="21"/>
      <c r="AM58" s="21"/>
      <c r="AN58" s="21"/>
      <c r="AO58" s="79"/>
      <c r="AP58" s="21"/>
      <c r="AQ58" s="21"/>
      <c r="AR58" s="21"/>
    </row>
    <row r="59" spans="1:44" ht="15.6" x14ac:dyDescent="0.3">
      <c r="A59" s="562">
        <v>24</v>
      </c>
      <c r="B59" s="563">
        <v>-17</v>
      </c>
      <c r="C59" s="564">
        <f>IFERROR('Device Resistance Tables'!C47,NA())</f>
        <v>7453.699852066633</v>
      </c>
      <c r="D59" s="565">
        <f>IFERROR('Device Resistance Tables'!D47,NA())</f>
        <v>7567.2079716412518</v>
      </c>
      <c r="E59" s="564">
        <f>IFERROR('Device Resistance Tables'!F47,NA())</f>
        <v>7680.7160912158697</v>
      </c>
      <c r="F59" s="566">
        <f t="shared" si="5"/>
        <v>1.0594091160297752</v>
      </c>
      <c r="G59" s="564">
        <f t="shared" si="6"/>
        <v>49.601776821431486</v>
      </c>
      <c r="H59" s="566">
        <f t="shared" si="0"/>
        <v>0.14831727624416852</v>
      </c>
      <c r="I59" s="302">
        <f t="shared" si="1"/>
        <v>-1.5000000000000007</v>
      </c>
      <c r="J59" s="302">
        <f t="shared" si="2"/>
        <v>1.4999999999999887</v>
      </c>
      <c r="K59" s="298">
        <f t="shared" si="7"/>
        <v>6.9442487550004373E-3</v>
      </c>
      <c r="L59" s="388"/>
      <c r="M59" s="571">
        <v>-17</v>
      </c>
      <c r="N59" s="572">
        <v>56233.8</v>
      </c>
      <c r="O59" s="572">
        <v>59011.299999999996</v>
      </c>
      <c r="P59" s="572">
        <v>61870.3</v>
      </c>
      <c r="Q59" s="569">
        <f t="shared" si="3"/>
        <v>2.5652885831740604</v>
      </c>
      <c r="R59" s="564">
        <f t="shared" si="10"/>
        <v>2907.7000000000044</v>
      </c>
      <c r="S59" s="570">
        <f t="shared" si="4"/>
        <v>0.13041342504778206</v>
      </c>
      <c r="T59" s="302">
        <f t="shared" si="8"/>
        <v>-4.7067256610174546</v>
      </c>
      <c r="U59" s="302">
        <f t="shared" si="9"/>
        <v>4.8448348028259121</v>
      </c>
      <c r="V59" s="298">
        <f t="shared" si="11"/>
        <v>1.757547222159328E-2</v>
      </c>
      <c r="X59" s="13"/>
      <c r="Y59" s="13"/>
      <c r="Z59" s="13"/>
      <c r="AK59" s="21"/>
      <c r="AL59" s="21"/>
      <c r="AM59" s="21"/>
      <c r="AN59" s="21"/>
      <c r="AO59" s="79"/>
      <c r="AP59" s="21"/>
      <c r="AQ59" s="21"/>
      <c r="AR59" s="21"/>
    </row>
    <row r="60" spans="1:44" ht="15.6" x14ac:dyDescent="0.3">
      <c r="A60" s="562">
        <v>25</v>
      </c>
      <c r="B60" s="563">
        <v>-16</v>
      </c>
      <c r="C60" s="564">
        <f>IFERROR('Device Resistance Tables'!C48,NA())</f>
        <v>7502.8834912296907</v>
      </c>
      <c r="D60" s="565">
        <f>IFERROR('Device Resistance Tables'!D48,NA())</f>
        <v>7617.1406002331887</v>
      </c>
      <c r="E60" s="564">
        <f>IFERROR('Device Resistance Tables'!F48,NA())</f>
        <v>7731.3977092366858</v>
      </c>
      <c r="F60" s="566">
        <f t="shared" si="5"/>
        <v>1.0663996840326464</v>
      </c>
      <c r="G60" s="564">
        <f t="shared" si="6"/>
        <v>49.932628591936918</v>
      </c>
      <c r="H60" s="566">
        <f t="shared" si="0"/>
        <v>0.1492959557645705</v>
      </c>
      <c r="I60" s="302">
        <f t="shared" si="1"/>
        <v>-1.5000000000000027</v>
      </c>
      <c r="J60" s="302">
        <f t="shared" si="2"/>
        <v>1.4999999999999909</v>
      </c>
      <c r="K60" s="298">
        <f t="shared" si="7"/>
        <v>6.9905680028712336E-3</v>
      </c>
      <c r="L60" s="388"/>
      <c r="M60" s="571">
        <v>-16</v>
      </c>
      <c r="N60" s="572">
        <v>53635.6</v>
      </c>
      <c r="O60" s="572">
        <v>56257.9</v>
      </c>
      <c r="P60" s="572">
        <v>58955.199999999997</v>
      </c>
      <c r="Q60" s="569">
        <f t="shared" si="3"/>
        <v>2.547223802746541</v>
      </c>
      <c r="R60" s="564">
        <f t="shared" si="10"/>
        <v>2753.3999999999942</v>
      </c>
      <c r="S60" s="570">
        <f t="shared" si="4"/>
        <v>0.13583285917603791</v>
      </c>
      <c r="T60" s="302">
        <f t="shared" si="8"/>
        <v>-4.6612120253333362</v>
      </c>
      <c r="U60" s="302">
        <f t="shared" si="9"/>
        <v>4.794526635370314</v>
      </c>
      <c r="V60" s="298">
        <f t="shared" si="11"/>
        <v>1.8064780427519356E-2</v>
      </c>
      <c r="X60" s="13"/>
      <c r="Y60" s="13"/>
      <c r="Z60" s="13"/>
      <c r="AK60" s="21"/>
      <c r="AL60" s="21"/>
      <c r="AM60" s="21"/>
      <c r="AN60" s="21"/>
      <c r="AO60" s="79"/>
      <c r="AP60" s="21"/>
      <c r="AQ60" s="21"/>
      <c r="AR60" s="21"/>
    </row>
    <row r="61" spans="1:44" ht="15.6" x14ac:dyDescent="0.3">
      <c r="A61" s="562">
        <v>26</v>
      </c>
      <c r="B61" s="563">
        <v>-15</v>
      </c>
      <c r="C61" s="564">
        <f>IFERROR('Device Resistance Tables'!C49,NA())</f>
        <v>7552.3913547553675</v>
      </c>
      <c r="D61" s="565">
        <f>IFERROR('Device Resistance Tables'!D49,NA())</f>
        <v>7667.4023906145867</v>
      </c>
      <c r="E61" s="564">
        <f>IFERROR('Device Resistance Tables'!F49,NA())</f>
        <v>7782.413426473805</v>
      </c>
      <c r="F61" s="566">
        <f t="shared" si="5"/>
        <v>1.073436334686042</v>
      </c>
      <c r="G61" s="564">
        <f t="shared" si="6"/>
        <v>50.261790381397986</v>
      </c>
      <c r="H61" s="566">
        <f t="shared" si="0"/>
        <v>0.15028108685604588</v>
      </c>
      <c r="I61" s="302">
        <f t="shared" si="1"/>
        <v>-1.5000000000000051</v>
      </c>
      <c r="J61" s="302">
        <f t="shared" si="2"/>
        <v>1.4999999999999931</v>
      </c>
      <c r="K61" s="298">
        <f t="shared" si="7"/>
        <v>7.0366506533956485E-3</v>
      </c>
      <c r="L61" s="388"/>
      <c r="M61" s="571">
        <v>-15</v>
      </c>
      <c r="N61" s="572">
        <v>51173.200000000004</v>
      </c>
      <c r="O61" s="572">
        <v>53649.599999999999</v>
      </c>
      <c r="P61" s="572">
        <v>56195.199999999997</v>
      </c>
      <c r="Q61" s="569">
        <f t="shared" si="3"/>
        <v>2.5286694653226411</v>
      </c>
      <c r="R61" s="564">
        <f t="shared" si="10"/>
        <v>2608.3000000000029</v>
      </c>
      <c r="S61" s="570">
        <f t="shared" si="4"/>
        <v>0.14139916040320755</v>
      </c>
      <c r="T61" s="302">
        <f t="shared" si="8"/>
        <v>-4.6158778443827995</v>
      </c>
      <c r="U61" s="302">
        <f t="shared" si="9"/>
        <v>4.7448629626315926</v>
      </c>
      <c r="V61" s="298">
        <f t="shared" si="11"/>
        <v>1.8554337423899891E-2</v>
      </c>
      <c r="X61" s="13"/>
      <c r="Y61" s="13"/>
      <c r="Z61" s="13"/>
      <c r="AK61" s="21"/>
      <c r="AL61" s="21"/>
      <c r="AM61" s="21"/>
      <c r="AN61" s="21"/>
      <c r="AO61" s="79"/>
      <c r="AP61" s="21"/>
      <c r="AQ61" s="21"/>
      <c r="AR61" s="21"/>
    </row>
    <row r="62" spans="1:44" ht="15.6" x14ac:dyDescent="0.3">
      <c r="A62" s="562">
        <v>27</v>
      </c>
      <c r="B62" s="563">
        <v>-14</v>
      </c>
      <c r="C62" s="564">
        <f>IFERROR('Device Resistance Tables'!C50,NA())</f>
        <v>7602.2218206150037</v>
      </c>
      <c r="D62" s="565">
        <f>IFERROR('Device Resistance Tables'!D50,NA())</f>
        <v>7717.9916960558412</v>
      </c>
      <c r="E62" s="564">
        <f>IFERROR('Device Resistance Tables'!F50,NA())</f>
        <v>7833.7615714966778</v>
      </c>
      <c r="F62" s="566">
        <f t="shared" si="5"/>
        <v>1.0805188374478176</v>
      </c>
      <c r="G62" s="564">
        <f t="shared" si="6"/>
        <v>50.58930544125451</v>
      </c>
      <c r="H62" s="566">
        <f t="shared" si="0"/>
        <v>0.15127263724269446</v>
      </c>
      <c r="I62" s="302">
        <f t="shared" si="1"/>
        <v>-1.4999999999999984</v>
      </c>
      <c r="J62" s="302">
        <f t="shared" si="2"/>
        <v>1.4999999999999867</v>
      </c>
      <c r="K62" s="298">
        <f t="shared" si="7"/>
        <v>7.0825027617755776E-3</v>
      </c>
      <c r="L62" s="388"/>
      <c r="M62" s="571">
        <v>-14</v>
      </c>
      <c r="N62" s="572">
        <v>48838.6</v>
      </c>
      <c r="O62" s="572">
        <v>51177.9</v>
      </c>
      <c r="P62" s="572">
        <v>53581</v>
      </c>
      <c r="Q62" s="569">
        <f t="shared" si="3"/>
        <v>2.5096268423728176</v>
      </c>
      <c r="R62" s="564">
        <f t="shared" si="10"/>
        <v>2471.6999999999971</v>
      </c>
      <c r="S62" s="570">
        <f t="shared" si="4"/>
        <v>0.14711194728815472</v>
      </c>
      <c r="T62" s="302">
        <f t="shared" si="8"/>
        <v>-4.5709183065346624</v>
      </c>
      <c r="U62" s="302">
        <f t="shared" si="9"/>
        <v>4.6955814912296097</v>
      </c>
      <c r="V62" s="298">
        <f t="shared" si="11"/>
        <v>1.9042622949823507E-2</v>
      </c>
      <c r="X62" s="13"/>
      <c r="Y62" s="13"/>
      <c r="Z62" s="13"/>
      <c r="AK62" s="21"/>
      <c r="AL62" s="21"/>
      <c r="AM62" s="21"/>
      <c r="AN62" s="21"/>
      <c r="AO62" s="79"/>
      <c r="AP62" s="21"/>
      <c r="AQ62" s="21"/>
      <c r="AR62" s="21"/>
    </row>
    <row r="63" spans="1:44" ht="15.6" x14ac:dyDescent="0.3">
      <c r="A63" s="562">
        <v>28</v>
      </c>
      <c r="B63" s="563">
        <v>-13</v>
      </c>
      <c r="C63" s="564">
        <f>IFERROR('Device Resistance Tables'!C51,NA())</f>
        <v>7652.3733093826158</v>
      </c>
      <c r="D63" s="565">
        <f>IFERROR('Device Resistance Tables'!D51,NA())</f>
        <v>7768.9069130787975</v>
      </c>
      <c r="E63" s="564">
        <f>IFERROR('Device Resistance Tables'!F51,NA())</f>
        <v>7885.4405167749783</v>
      </c>
      <c r="F63" s="566">
        <f t="shared" si="5"/>
        <v>1.0876469678310317</v>
      </c>
      <c r="G63" s="564">
        <f t="shared" si="6"/>
        <v>50.915217022956313</v>
      </c>
      <c r="H63" s="566">
        <f t="shared" si="0"/>
        <v>0.1522705754963444</v>
      </c>
      <c r="I63" s="302">
        <f t="shared" si="1"/>
        <v>-1.4999999999999962</v>
      </c>
      <c r="J63" s="302">
        <f t="shared" si="2"/>
        <v>1.4999999999999845</v>
      </c>
      <c r="K63" s="298">
        <f t="shared" si="7"/>
        <v>7.1281303832140264E-3</v>
      </c>
      <c r="L63" s="388"/>
      <c r="M63" s="571">
        <v>-13</v>
      </c>
      <c r="N63" s="572">
        <v>46624.6</v>
      </c>
      <c r="O63" s="572">
        <v>48834.899999999994</v>
      </c>
      <c r="P63" s="572">
        <v>51104</v>
      </c>
      <c r="Q63" s="569">
        <f t="shared" si="3"/>
        <v>2.4900985639475888</v>
      </c>
      <c r="R63" s="564">
        <f t="shared" si="10"/>
        <v>2343.0000000000073</v>
      </c>
      <c r="S63" s="570">
        <f t="shared" si="4"/>
        <v>0.15297043081572334</v>
      </c>
      <c r="T63" s="302">
        <f t="shared" si="8"/>
        <v>-4.5260663992349643</v>
      </c>
      <c r="U63" s="302">
        <f t="shared" si="9"/>
        <v>4.6464720927042054</v>
      </c>
      <c r="V63" s="298">
        <f t="shared" si="11"/>
        <v>1.9528278425228862E-2</v>
      </c>
      <c r="X63" s="13"/>
      <c r="Y63" s="13"/>
      <c r="Z63" s="13"/>
      <c r="AK63" s="21"/>
      <c r="AL63" s="21"/>
      <c r="AM63" s="21"/>
      <c r="AN63" s="21"/>
      <c r="AO63" s="79"/>
      <c r="AP63" s="21"/>
      <c r="AQ63" s="21"/>
      <c r="AR63" s="21"/>
    </row>
    <row r="64" spans="1:44" ht="15.6" x14ac:dyDescent="0.3">
      <c r="A64" s="562">
        <v>29</v>
      </c>
      <c r="B64" s="563">
        <v>-12</v>
      </c>
      <c r="C64" s="564">
        <f>IFERROR('Device Resistance Tables'!C52,NA())</f>
        <v>7702.8442842348832</v>
      </c>
      <c r="D64" s="565">
        <f>IFERROR('Device Resistance Tables'!D52,NA())</f>
        <v>7820.1464814567344</v>
      </c>
      <c r="E64" s="564">
        <f>IFERROR('Device Resistance Tables'!F52,NA())</f>
        <v>7937.4486786785847</v>
      </c>
      <c r="F64" s="566">
        <f t="shared" si="5"/>
        <v>1.0948205074039428</v>
      </c>
      <c r="G64" s="564">
        <f t="shared" si="6"/>
        <v>51.239568377936848</v>
      </c>
      <c r="H64" s="566">
        <f t="shared" si="0"/>
        <v>0.15327487103655199</v>
      </c>
      <c r="I64" s="302">
        <f t="shared" si="1"/>
        <v>-1.5000000000000024</v>
      </c>
      <c r="J64" s="302">
        <f t="shared" si="2"/>
        <v>1.4999999999999907</v>
      </c>
      <c r="K64" s="298">
        <f t="shared" si="7"/>
        <v>7.173539572911114E-3</v>
      </c>
      <c r="L64" s="388"/>
      <c r="M64" s="571">
        <v>-12</v>
      </c>
      <c r="N64" s="572">
        <v>44524.2</v>
      </c>
      <c r="O64" s="572">
        <v>46613.2</v>
      </c>
      <c r="P64" s="572">
        <v>48756.4</v>
      </c>
      <c r="Q64" s="569">
        <f t="shared" si="3"/>
        <v>2.470088247970438</v>
      </c>
      <c r="R64" s="564">
        <f t="shared" si="10"/>
        <v>2221.6999999999971</v>
      </c>
      <c r="S64" s="570">
        <f t="shared" si="4"/>
        <v>0.1589735256088686</v>
      </c>
      <c r="T64" s="302">
        <f t="shared" si="8"/>
        <v>-4.4815631623660259</v>
      </c>
      <c r="U64" s="302">
        <f t="shared" si="9"/>
        <v>4.5978392386706011</v>
      </c>
      <c r="V64" s="298">
        <f t="shared" si="11"/>
        <v>2.001031597715075E-2</v>
      </c>
      <c r="X64" s="13"/>
      <c r="Y64" s="13"/>
      <c r="Z64" s="13"/>
      <c r="AK64" s="21"/>
      <c r="AL64" s="21"/>
      <c r="AM64" s="21"/>
      <c r="AN64" s="21"/>
      <c r="AO64" s="79"/>
      <c r="AP64" s="21"/>
      <c r="AQ64" s="21"/>
      <c r="AR64" s="21"/>
    </row>
    <row r="65" spans="1:44" ht="15.6" x14ac:dyDescent="0.3">
      <c r="A65" s="562">
        <v>30</v>
      </c>
      <c r="B65" s="563">
        <v>-11</v>
      </c>
      <c r="C65" s="564">
        <f>IFERROR('Device Resistance Tables'!C53,NA())</f>
        <v>7753.6332509511558</v>
      </c>
      <c r="D65" s="565">
        <f>IFERROR('Device Resistance Tables'!D53,NA())</f>
        <v>7871.7088842143712</v>
      </c>
      <c r="E65" s="564">
        <f>IFERROR('Device Resistance Tables'!F53,NA())</f>
        <v>7989.7845174775857</v>
      </c>
      <c r="F65" s="566">
        <f t="shared" si="5"/>
        <v>1.1020392437900119</v>
      </c>
      <c r="G65" s="564">
        <f t="shared" si="6"/>
        <v>51.562402757636846</v>
      </c>
      <c r="H65" s="566">
        <f t="shared" si="0"/>
        <v>0.15428549413060166</v>
      </c>
      <c r="I65" s="302">
        <f t="shared" si="1"/>
        <v>-1.4999999999999982</v>
      </c>
      <c r="J65" s="302">
        <f t="shared" si="2"/>
        <v>1.4999999999999867</v>
      </c>
      <c r="K65" s="298">
        <f t="shared" si="7"/>
        <v>7.21873638606918E-3</v>
      </c>
      <c r="L65" s="388"/>
      <c r="M65" s="571">
        <v>-11</v>
      </c>
      <c r="N65" s="572">
        <v>42530.9</v>
      </c>
      <c r="O65" s="572">
        <v>44505.8</v>
      </c>
      <c r="P65" s="572">
        <v>46530.6</v>
      </c>
      <c r="Q65" s="569">
        <f t="shared" si="3"/>
        <v>2.4495998590975638</v>
      </c>
      <c r="R65" s="564">
        <f t="shared" si="10"/>
        <v>2107.3999999999942</v>
      </c>
      <c r="S65" s="570">
        <f t="shared" si="4"/>
        <v>0.16512004227073079</v>
      </c>
      <c r="T65" s="302">
        <f t="shared" si="8"/>
        <v>-4.4373991704452029</v>
      </c>
      <c r="U65" s="302">
        <f t="shared" si="9"/>
        <v>4.549519388484188</v>
      </c>
      <c r="V65" s="298">
        <f t="shared" si="11"/>
        <v>2.0488388872874186E-2</v>
      </c>
      <c r="X65" s="13"/>
      <c r="Y65" s="13"/>
      <c r="Z65" s="13"/>
      <c r="AK65" s="21"/>
      <c r="AL65" s="21"/>
      <c r="AM65" s="21"/>
      <c r="AN65" s="21"/>
      <c r="AO65" s="79"/>
      <c r="AP65" s="21"/>
      <c r="AQ65" s="21"/>
      <c r="AR65" s="21"/>
    </row>
    <row r="66" spans="1:44" ht="15.6" x14ac:dyDescent="0.3">
      <c r="A66" s="562">
        <v>31</v>
      </c>
      <c r="B66" s="563">
        <v>-10</v>
      </c>
      <c r="C66" s="564">
        <f>IFERROR('Device Resistance Tables'!C54,NA())</f>
        <v>7804.7387579134584</v>
      </c>
      <c r="D66" s="565">
        <f>IFERROR('Device Resistance Tables'!D54,NA())</f>
        <v>7923.5926476278764</v>
      </c>
      <c r="E66" s="564">
        <f>IFERROR('Device Resistance Tables'!F54,NA())</f>
        <v>8042.4465373422936</v>
      </c>
      <c r="F66" s="566">
        <f t="shared" si="5"/>
        <v>1.1093029706679025</v>
      </c>
      <c r="G66" s="564">
        <f t="shared" si="6"/>
        <v>51.883763413505221</v>
      </c>
      <c r="H66" s="566">
        <f t="shared" si="0"/>
        <v>0.15530241589350635</v>
      </c>
      <c r="I66" s="302">
        <f t="shared" si="1"/>
        <v>-1.4999999999999991</v>
      </c>
      <c r="J66" s="302">
        <f t="shared" si="2"/>
        <v>1.4999999999999876</v>
      </c>
      <c r="K66" s="298">
        <f t="shared" si="7"/>
        <v>7.2637268778905639E-3</v>
      </c>
      <c r="L66" s="388"/>
      <c r="M66" s="571">
        <v>-10</v>
      </c>
      <c r="N66" s="572">
        <v>40638.6</v>
      </c>
      <c r="O66" s="572">
        <v>42506.2</v>
      </c>
      <c r="P66" s="572">
        <v>44419.5</v>
      </c>
      <c r="Q66" s="569">
        <f t="shared" si="3"/>
        <v>2.4286389035961466</v>
      </c>
      <c r="R66" s="564">
        <f t="shared" si="10"/>
        <v>1999.6000000000058</v>
      </c>
      <c r="S66" s="570">
        <f t="shared" si="4"/>
        <v>0.17140832892115598</v>
      </c>
      <c r="T66" s="302">
        <f t="shared" si="8"/>
        <v>-4.3937119761352426</v>
      </c>
      <c r="U66" s="302">
        <f t="shared" si="9"/>
        <v>4.5012257035444314</v>
      </c>
      <c r="V66" s="298">
        <f t="shared" si="11"/>
        <v>2.0960955501417189E-2</v>
      </c>
      <c r="X66" s="13"/>
      <c r="Y66" s="13"/>
      <c r="Z66" s="13"/>
      <c r="AK66" s="21"/>
      <c r="AL66" s="21"/>
      <c r="AM66" s="21"/>
      <c r="AN66" s="21"/>
      <c r="AO66" s="79"/>
      <c r="AP66" s="21"/>
      <c r="AQ66" s="21"/>
      <c r="AR66" s="21"/>
    </row>
    <row r="67" spans="1:44" ht="15.6" x14ac:dyDescent="0.3">
      <c r="A67" s="562">
        <v>32</v>
      </c>
      <c r="B67" s="563">
        <v>-9</v>
      </c>
      <c r="C67" s="564">
        <f>IFERROR('Device Resistance Tables'!C55,NA())</f>
        <v>7856.1593961064764</v>
      </c>
      <c r="D67" s="565">
        <f>IFERROR('Device Resistance Tables'!D55,NA())</f>
        <v>7975.7963412248491</v>
      </c>
      <c r="E67" s="564">
        <f>IFERROR('Device Resistance Tables'!F55,NA())</f>
        <v>8095.433286343221</v>
      </c>
      <c r="F67" s="566">
        <f t="shared" si="5"/>
        <v>1.1166114877714788</v>
      </c>
      <c r="G67" s="564">
        <f t="shared" si="6"/>
        <v>52.203693596972698</v>
      </c>
      <c r="H67" s="566">
        <f t="shared" si="0"/>
        <v>0.15632560828800701</v>
      </c>
      <c r="I67" s="302">
        <f t="shared" si="1"/>
        <v>-1.5000000000000002</v>
      </c>
      <c r="J67" s="302">
        <f t="shared" si="2"/>
        <v>1.4999999999999889</v>
      </c>
      <c r="K67" s="298">
        <f t="shared" si="7"/>
        <v>7.308517103576273E-3</v>
      </c>
      <c r="L67" s="388"/>
      <c r="M67" s="571">
        <v>-9</v>
      </c>
      <c r="N67" s="572">
        <v>38833.799999999996</v>
      </c>
      <c r="O67" s="572">
        <v>40599.699999999997</v>
      </c>
      <c r="P67" s="572">
        <v>42407.8</v>
      </c>
      <c r="Q67" s="569">
        <f t="shared" si="3"/>
        <v>2.4071111093544033</v>
      </c>
      <c r="R67" s="564">
        <f t="shared" si="10"/>
        <v>1906.5</v>
      </c>
      <c r="S67" s="570">
        <f t="shared" si="4"/>
        <v>0.17786666719367902</v>
      </c>
      <c r="T67" s="302">
        <f t="shared" si="8"/>
        <v>-4.3495395286172105</v>
      </c>
      <c r="U67" s="302">
        <f t="shared" si="9"/>
        <v>4.4534811833585124</v>
      </c>
      <c r="V67" s="298">
        <f t="shared" si="11"/>
        <v>2.1527794241743337E-2</v>
      </c>
      <c r="X67" s="13"/>
      <c r="Y67" s="13"/>
      <c r="Z67" s="13"/>
      <c r="AK67" s="21"/>
      <c r="AL67" s="21"/>
      <c r="AM67" s="21"/>
      <c r="AN67" s="21"/>
      <c r="AO67" s="79"/>
      <c r="AP67" s="21"/>
      <c r="AQ67" s="21"/>
      <c r="AR67" s="21"/>
    </row>
    <row r="68" spans="1:44" ht="15.6" x14ac:dyDescent="0.3">
      <c r="A68" s="562">
        <v>33</v>
      </c>
      <c r="B68" s="563">
        <v>-8</v>
      </c>
      <c r="C68" s="564">
        <f>IFERROR('Device Resistance Tables'!C56,NA())</f>
        <v>7907.8937991175735</v>
      </c>
      <c r="D68" s="565">
        <f>IFERROR('Device Resistance Tables'!D56,NA())</f>
        <v>8028.3185777843391</v>
      </c>
      <c r="E68" s="564">
        <f>IFERROR('Device Resistance Tables'!F56,NA())</f>
        <v>8148.7433564511039</v>
      </c>
      <c r="F68" s="566">
        <f t="shared" si="5"/>
        <v>1.1239646008898074</v>
      </c>
      <c r="G68" s="564">
        <f t="shared" si="6"/>
        <v>52.522236559490011</v>
      </c>
      <c r="H68" s="566">
        <f t="shared" si="0"/>
        <v>0.15735504412457302</v>
      </c>
      <c r="I68" s="302">
        <f t="shared" si="1"/>
        <v>-1.5000000000000069</v>
      </c>
      <c r="J68" s="302">
        <f t="shared" si="2"/>
        <v>1.4999999999999953</v>
      </c>
      <c r="K68" s="298">
        <f t="shared" si="7"/>
        <v>7.3531131183286469E-3</v>
      </c>
      <c r="L68" s="388"/>
      <c r="M68" s="571">
        <v>-8</v>
      </c>
      <c r="N68" s="572">
        <v>37120.1</v>
      </c>
      <c r="O68" s="572">
        <v>38790.5</v>
      </c>
      <c r="P68" s="572">
        <v>40499.5</v>
      </c>
      <c r="Q68" s="569">
        <f t="shared" si="3"/>
        <v>2.3851262028468656</v>
      </c>
      <c r="R68" s="564">
        <f t="shared" si="10"/>
        <v>1809.1999999999971</v>
      </c>
      <c r="S68" s="570">
        <f t="shared" si="4"/>
        <v>0.18446213914594034</v>
      </c>
      <c r="T68" s="302">
        <f t="shared" si="8"/>
        <v>-4.3062089944702997</v>
      </c>
      <c r="U68" s="302">
        <f t="shared" si="9"/>
        <v>4.4057178948453872</v>
      </c>
      <c r="V68" s="298">
        <f t="shared" si="11"/>
        <v>2.1984906507537705E-2</v>
      </c>
      <c r="X68" s="13"/>
      <c r="Y68" s="13"/>
      <c r="Z68" s="13"/>
      <c r="AK68" s="21"/>
      <c r="AL68" s="21"/>
      <c r="AM68" s="21"/>
      <c r="AN68" s="21"/>
      <c r="AO68" s="79"/>
      <c r="AP68" s="21"/>
      <c r="AQ68" s="21"/>
      <c r="AR68" s="21"/>
    </row>
    <row r="69" spans="1:44" ht="15.6" x14ac:dyDescent="0.3">
      <c r="A69" s="562">
        <v>34</v>
      </c>
      <c r="B69" s="563">
        <v>-7</v>
      </c>
      <c r="C69" s="564">
        <f>IFERROR('Device Resistance Tables'!C57,NA())</f>
        <v>7959.9406431367806</v>
      </c>
      <c r="D69" s="565">
        <f>IFERROR('Device Resistance Tables'!D57,NA())</f>
        <v>8081.1580133368334</v>
      </c>
      <c r="E69" s="564">
        <f>IFERROR('Device Resistance Tables'!F57,NA())</f>
        <v>8202.3753835368843</v>
      </c>
      <c r="F69" s="566">
        <f t="shared" si="5"/>
        <v>1.1313621218671566</v>
      </c>
      <c r="G69" s="564">
        <f t="shared" si="6"/>
        <v>52.839435552494251</v>
      </c>
      <c r="H69" s="566">
        <f t="shared" si="0"/>
        <v>0.15839069706140191</v>
      </c>
      <c r="I69" s="302">
        <f t="shared" si="1"/>
        <v>-1.5000000000000031</v>
      </c>
      <c r="J69" s="302">
        <f t="shared" si="2"/>
        <v>1.4999999999999807</v>
      </c>
      <c r="K69" s="298">
        <f t="shared" si="7"/>
        <v>7.3975209773491368E-3</v>
      </c>
      <c r="L69" s="388"/>
      <c r="M69" s="571">
        <v>-7</v>
      </c>
      <c r="N69" s="572">
        <v>35492.600000000006</v>
      </c>
      <c r="O69" s="572">
        <v>37072.899999999994</v>
      </c>
      <c r="P69" s="572">
        <v>38688.699999999997</v>
      </c>
      <c r="Q69" s="569">
        <f t="shared" si="3"/>
        <v>2.3626906351637564</v>
      </c>
      <c r="R69" s="564">
        <f t="shared" si="10"/>
        <v>1717.6000000000058</v>
      </c>
      <c r="S69" s="570">
        <f t="shared" si="4"/>
        <v>0.19119280945087302</v>
      </c>
      <c r="T69" s="302">
        <f t="shared" si="8"/>
        <v>-4.262682444588874</v>
      </c>
      <c r="U69" s="302">
        <f t="shared" si="9"/>
        <v>4.3584397228164056</v>
      </c>
      <c r="V69" s="298">
        <f t="shared" si="11"/>
        <v>2.243556768310917E-2</v>
      </c>
      <c r="X69" s="13"/>
      <c r="Y69" s="13"/>
      <c r="Z69" s="13"/>
      <c r="AK69" s="21"/>
      <c r="AL69" s="21"/>
      <c r="AM69" s="21"/>
      <c r="AN69" s="21"/>
      <c r="AO69" s="79"/>
      <c r="AP69" s="21"/>
      <c r="AQ69" s="21"/>
      <c r="AR69" s="21"/>
    </row>
    <row r="70" spans="1:44" ht="15.6" x14ac:dyDescent="0.3">
      <c r="A70" s="562">
        <v>35</v>
      </c>
      <c r="B70" s="563">
        <v>-6</v>
      </c>
      <c r="C70" s="564">
        <f>IFERROR('Device Resistance Tables'!C58,NA())</f>
        <v>8012.298646956795</v>
      </c>
      <c r="D70" s="565">
        <f>IFERROR('Device Resistance Tables'!D58,NA())</f>
        <v>8134.3133471642586</v>
      </c>
      <c r="E70" s="564">
        <f>IFERROR('Device Resistance Tables'!F58,NA())</f>
        <v>8256.3280473717223</v>
      </c>
      <c r="F70" s="566">
        <f t="shared" si="5"/>
        <v>1.1388038686029962</v>
      </c>
      <c r="G70" s="564">
        <f t="shared" si="6"/>
        <v>53.155333827425238</v>
      </c>
      <c r="H70" s="566">
        <f t="shared" si="0"/>
        <v>0.15943254160441944</v>
      </c>
      <c r="I70" s="302">
        <f t="shared" si="1"/>
        <v>-1.4999999999999971</v>
      </c>
      <c r="J70" s="302">
        <f t="shared" si="2"/>
        <v>1.4999999999999971</v>
      </c>
      <c r="K70" s="298">
        <f t="shared" si="7"/>
        <v>7.4417467358396383E-3</v>
      </c>
      <c r="L70" s="388"/>
      <c r="M70" s="571">
        <v>-6</v>
      </c>
      <c r="N70" s="572">
        <v>33946.199999999997</v>
      </c>
      <c r="O70" s="572">
        <v>35441.699999999997</v>
      </c>
      <c r="P70" s="572">
        <v>36969.800000000003</v>
      </c>
      <c r="Q70" s="569">
        <f t="shared" si="3"/>
        <v>2.3398134312756786</v>
      </c>
      <c r="R70" s="564">
        <f t="shared" si="10"/>
        <v>1631.1999999999971</v>
      </c>
      <c r="S70" s="570">
        <f t="shared" si="4"/>
        <v>0.19805597061729649</v>
      </c>
      <c r="T70" s="302">
        <f t="shared" si="8"/>
        <v>-4.2196057186873093</v>
      </c>
      <c r="U70" s="302">
        <f t="shared" si="9"/>
        <v>4.311587762438049</v>
      </c>
      <c r="V70" s="298">
        <f t="shared" si="11"/>
        <v>2.2877203888077791E-2</v>
      </c>
      <c r="X70" s="13"/>
      <c r="Y70" s="13"/>
      <c r="Z70" s="13"/>
      <c r="AK70" s="21"/>
      <c r="AL70" s="21"/>
      <c r="AM70" s="21"/>
      <c r="AN70" s="21"/>
      <c r="AO70" s="79"/>
      <c r="AP70" s="21"/>
      <c r="AQ70" s="21"/>
      <c r="AR70" s="21"/>
    </row>
    <row r="71" spans="1:44" ht="15.6" x14ac:dyDescent="0.3">
      <c r="A71" s="562">
        <v>36</v>
      </c>
      <c r="B71" s="563">
        <v>-5</v>
      </c>
      <c r="C71" s="564">
        <f>IFERROR('Device Resistance Tables'!C59,NA())</f>
        <v>8064.9665719729874</v>
      </c>
      <c r="D71" s="565">
        <f>IFERROR('Device Resistance Tables'!D59,NA())</f>
        <v>8187.7833217999869</v>
      </c>
      <c r="E71" s="564">
        <f>IFERROR('Device Resistance Tables'!F59,NA())</f>
        <v>8310.6000716269864</v>
      </c>
      <c r="F71" s="566">
        <f t="shared" si="5"/>
        <v>1.146289665051998</v>
      </c>
      <c r="G71" s="564">
        <f t="shared" si="6"/>
        <v>53.469974635728249</v>
      </c>
      <c r="H71" s="566">
        <f t="shared" si="0"/>
        <v>0.16048055310727971</v>
      </c>
      <c r="I71" s="302">
        <f t="shared" si="1"/>
        <v>-1.4999999999999964</v>
      </c>
      <c r="J71" s="302">
        <f t="shared" si="2"/>
        <v>1.4999999999999964</v>
      </c>
      <c r="K71" s="298">
        <f t="shared" si="7"/>
        <v>7.4857964490018247E-3</v>
      </c>
      <c r="L71" s="388"/>
      <c r="M71" s="571">
        <v>-5</v>
      </c>
      <c r="N71" s="572">
        <v>32476.6</v>
      </c>
      <c r="O71" s="572">
        <v>33892.200000000004</v>
      </c>
      <c r="P71" s="572">
        <v>35337.599999999999</v>
      </c>
      <c r="Q71" s="569">
        <f t="shared" si="3"/>
        <v>2.3165072609711976</v>
      </c>
      <c r="R71" s="564">
        <f t="shared" si="10"/>
        <v>1549.4999999999927</v>
      </c>
      <c r="S71" s="570">
        <f t="shared" si="4"/>
        <v>0.20504782170864069</v>
      </c>
      <c r="T71" s="302">
        <f t="shared" si="8"/>
        <v>-4.1767722366798425</v>
      </c>
      <c r="U71" s="302">
        <f t="shared" si="9"/>
        <v>4.2646980721227719</v>
      </c>
      <c r="V71" s="298">
        <f t="shared" si="11"/>
        <v>2.3306170304481011E-2</v>
      </c>
      <c r="X71" s="13"/>
      <c r="Y71" s="13"/>
      <c r="Z71" s="13"/>
      <c r="AK71" s="21"/>
      <c r="AL71" s="21"/>
      <c r="AM71" s="21"/>
      <c r="AN71" s="21"/>
      <c r="AO71" s="79"/>
      <c r="AP71" s="21"/>
      <c r="AQ71" s="21"/>
      <c r="AR71" s="21"/>
    </row>
    <row r="72" spans="1:44" ht="15.6" x14ac:dyDescent="0.3">
      <c r="A72" s="562">
        <v>37</v>
      </c>
      <c r="B72" s="563">
        <v>-4</v>
      </c>
      <c r="C72" s="564">
        <f>IFERROR('Device Resistance Tables'!C60,NA())</f>
        <v>8117.9432221833949</v>
      </c>
      <c r="D72" s="565">
        <f>IFERROR('Device Resistance Tables'!D60,NA())</f>
        <v>8241.5667230288273</v>
      </c>
      <c r="E72" s="564">
        <f>IFERROR('Device Resistance Tables'!F60,NA())</f>
        <v>8365.1902238742587</v>
      </c>
      <c r="F72" s="566">
        <f t="shared" si="5"/>
        <v>1.1538193412240356</v>
      </c>
      <c r="G72" s="564">
        <f t="shared" si="6"/>
        <v>53.783401228840376</v>
      </c>
      <c r="H72" s="566">
        <f t="shared" si="0"/>
        <v>0.161534707771365</v>
      </c>
      <c r="I72" s="302">
        <f t="shared" si="1"/>
        <v>-1.4999999999999989</v>
      </c>
      <c r="J72" s="302">
        <f t="shared" si="2"/>
        <v>1.4999999999999878</v>
      </c>
      <c r="K72" s="298">
        <f t="shared" si="7"/>
        <v>7.5296761720375915E-3</v>
      </c>
      <c r="L72" s="388"/>
      <c r="M72" s="571">
        <v>-4</v>
      </c>
      <c r="N72" s="572">
        <v>31079.4</v>
      </c>
      <c r="O72" s="572">
        <v>32419.699999999997</v>
      </c>
      <c r="P72" s="572">
        <v>33787.300000000003</v>
      </c>
      <c r="Q72" s="569">
        <f t="shared" si="3"/>
        <v>2.2927814199534651</v>
      </c>
      <c r="R72" s="564">
        <f t="shared" si="10"/>
        <v>1472.5000000000073</v>
      </c>
      <c r="S72" s="570">
        <f t="shared" si="4"/>
        <v>0.21216557401396052</v>
      </c>
      <c r="T72" s="302">
        <f t="shared" si="8"/>
        <v>-4.1342146904505457</v>
      </c>
      <c r="U72" s="302">
        <f t="shared" si="9"/>
        <v>4.2184227491309478</v>
      </c>
      <c r="V72" s="298">
        <f t="shared" si="11"/>
        <v>2.3725841017732563E-2</v>
      </c>
      <c r="X72" s="13"/>
      <c r="Y72" s="13"/>
      <c r="Z72" s="13"/>
      <c r="AK72" s="21"/>
      <c r="AL72" s="21"/>
      <c r="AM72" s="21"/>
      <c r="AN72" s="21"/>
      <c r="AO72" s="79"/>
      <c r="AP72" s="21"/>
      <c r="AQ72" s="21"/>
      <c r="AR72" s="21"/>
    </row>
    <row r="73" spans="1:44" ht="15.6" x14ac:dyDescent="0.3">
      <c r="A73" s="562">
        <v>38</v>
      </c>
      <c r="B73" s="563">
        <v>-3</v>
      </c>
      <c r="C73" s="564">
        <f>IFERROR('Device Resistance Tables'!C61,NA())</f>
        <v>8171.2274441887294</v>
      </c>
      <c r="D73" s="565">
        <f>IFERROR('Device Resistance Tables'!D61,NA())</f>
        <v>8295.6623798870351</v>
      </c>
      <c r="E73" s="564">
        <f>IFERROR('Device Resistance Tables'!F61,NA())</f>
        <v>8420.0973155853389</v>
      </c>
      <c r="F73" s="566">
        <f t="shared" si="5"/>
        <v>1.1613927331841849</v>
      </c>
      <c r="G73" s="564">
        <f t="shared" si="6"/>
        <v>54.095656858207803</v>
      </c>
      <c r="H73" s="566">
        <f t="shared" si="0"/>
        <v>0.16259498264578584</v>
      </c>
      <c r="I73" s="302">
        <f t="shared" si="1"/>
        <v>-1.5000000000000022</v>
      </c>
      <c r="J73" s="302">
        <f t="shared" si="2"/>
        <v>1.4999999999999802</v>
      </c>
      <c r="K73" s="298">
        <f t="shared" si="7"/>
        <v>7.5733919601492783E-3</v>
      </c>
      <c r="L73" s="388"/>
      <c r="M73" s="571">
        <v>-3</v>
      </c>
      <c r="N73" s="572">
        <v>29750.699999999997</v>
      </c>
      <c r="O73" s="572">
        <v>31020</v>
      </c>
      <c r="P73" s="572">
        <v>32314.300000000003</v>
      </c>
      <c r="Q73" s="569">
        <f t="shared" si="3"/>
        <v>2.2686494392979037</v>
      </c>
      <c r="R73" s="564">
        <f t="shared" si="10"/>
        <v>1399.6999999999971</v>
      </c>
      <c r="S73" s="570">
        <f t="shared" si="4"/>
        <v>0.21940516821062897</v>
      </c>
      <c r="T73" s="302">
        <f t="shared" si="8"/>
        <v>-4.0918762088974949</v>
      </c>
      <c r="U73" s="302">
        <f t="shared" si="9"/>
        <v>4.1724693745970436</v>
      </c>
      <c r="V73" s="298">
        <f t="shared" si="11"/>
        <v>2.4131980655561325E-2</v>
      </c>
      <c r="X73" s="13"/>
      <c r="Y73" s="13"/>
      <c r="Z73" s="13"/>
      <c r="AK73" s="21"/>
      <c r="AL73" s="21"/>
      <c r="AM73" s="21"/>
      <c r="AN73" s="21"/>
      <c r="AO73" s="79"/>
      <c r="AP73" s="21"/>
      <c r="AQ73" s="21"/>
      <c r="AR73" s="21"/>
    </row>
    <row r="74" spans="1:44" ht="15.6" x14ac:dyDescent="0.3">
      <c r="A74" s="562">
        <v>39</v>
      </c>
      <c r="B74" s="563">
        <v>-2</v>
      </c>
      <c r="C74" s="564">
        <f>IFERROR('Device Resistance Tables'!C62,NA())</f>
        <v>8224.8181271923695</v>
      </c>
      <c r="D74" s="565">
        <f>IFERROR('Device Resistance Tables'!D62,NA())</f>
        <v>8350.0691646623036</v>
      </c>
      <c r="E74" s="564">
        <f>IFERROR('Device Resistance Tables'!F62,NA())</f>
        <v>8475.3202021322377</v>
      </c>
      <c r="F74" s="566">
        <f t="shared" si="5"/>
        <v>1.1690096830527223</v>
      </c>
      <c r="G74" s="564">
        <f t="shared" si="6"/>
        <v>54.406784775268534</v>
      </c>
      <c r="H74" s="566">
        <f t="shared" si="0"/>
        <v>0.16366135562738113</v>
      </c>
      <c r="I74" s="302">
        <f t="shared" si="1"/>
        <v>-1.4999999999999944</v>
      </c>
      <c r="J74" s="302">
        <f t="shared" si="2"/>
        <v>1.4999999999999944</v>
      </c>
      <c r="K74" s="298">
        <f t="shared" si="7"/>
        <v>7.6169498685374482E-3</v>
      </c>
      <c r="L74" s="388"/>
      <c r="M74" s="571">
        <v>-2</v>
      </c>
      <c r="N74" s="572">
        <v>28486.7</v>
      </c>
      <c r="O74" s="572">
        <v>29689</v>
      </c>
      <c r="P74" s="572">
        <v>30914.3</v>
      </c>
      <c r="Q74" s="569">
        <f t="shared" si="3"/>
        <v>2.2441230567663584</v>
      </c>
      <c r="R74" s="564">
        <f t="shared" si="10"/>
        <v>1331</v>
      </c>
      <c r="S74" s="570">
        <f t="shared" si="4"/>
        <v>0.2267630829700924</v>
      </c>
      <c r="T74" s="302">
        <f t="shared" si="8"/>
        <v>-4.0496480177843619</v>
      </c>
      <c r="U74" s="302">
        <f t="shared" si="9"/>
        <v>4.1271177877328276</v>
      </c>
      <c r="V74" s="298">
        <f t="shared" si="11"/>
        <v>2.4526382531545377E-2</v>
      </c>
      <c r="X74" s="13"/>
      <c r="Y74" s="13"/>
      <c r="Z74" s="13"/>
      <c r="AK74" s="21"/>
      <c r="AL74" s="21"/>
      <c r="AM74" s="21"/>
      <c r="AN74" s="21"/>
      <c r="AO74" s="79"/>
      <c r="AP74" s="21"/>
      <c r="AQ74" s="21"/>
      <c r="AR74" s="21"/>
    </row>
    <row r="75" spans="1:44" ht="15.6" x14ac:dyDescent="0.3">
      <c r="A75" s="562">
        <v>40</v>
      </c>
      <c r="B75" s="563">
        <v>-1</v>
      </c>
      <c r="C75" s="564">
        <f>IFERROR('Device Resistance Tables'!C63,NA())</f>
        <v>8278.7142030003597</v>
      </c>
      <c r="D75" s="565">
        <f>IFERROR('Device Resistance Tables'!D63,NA())</f>
        <v>8404.7859928937669</v>
      </c>
      <c r="E75" s="564">
        <f>IFERROR('Device Resistance Tables'!F63,NA())</f>
        <v>8530.8577827871723</v>
      </c>
      <c r="F75" s="566">
        <f t="shared" si="5"/>
        <v>1.1766700390051272</v>
      </c>
      <c r="G75" s="564">
        <f t="shared" si="6"/>
        <v>54.716828231463296</v>
      </c>
      <c r="H75" s="566">
        <f t="shared" si="0"/>
        <v>0.16473380546071781</v>
      </c>
      <c r="I75" s="302">
        <f t="shared" si="1"/>
        <v>-1.500000000000008</v>
      </c>
      <c r="J75" s="302">
        <f t="shared" si="2"/>
        <v>1.4999999999999865</v>
      </c>
      <c r="K75" s="298">
        <f t="shared" si="7"/>
        <v>7.6603559524048848E-3</v>
      </c>
      <c r="L75" s="388"/>
      <c r="M75" s="571">
        <v>-1</v>
      </c>
      <c r="N75" s="572">
        <v>27283.899999999998</v>
      </c>
      <c r="O75" s="572">
        <v>28423.100000000002</v>
      </c>
      <c r="P75" s="572">
        <v>29583.200000000001</v>
      </c>
      <c r="Q75" s="569">
        <f t="shared" si="3"/>
        <v>2.2192196881563433</v>
      </c>
      <c r="R75" s="564">
        <f t="shared" si="10"/>
        <v>1265.8999999999978</v>
      </c>
      <c r="S75" s="570">
        <f t="shared" si="4"/>
        <v>0.23423409355309693</v>
      </c>
      <c r="T75" s="302">
        <f t="shared" si="8"/>
        <v>-4.008007571306452</v>
      </c>
      <c r="U75" s="302">
        <f t="shared" si="9"/>
        <v>4.0815393113347893</v>
      </c>
      <c r="V75" s="298">
        <f t="shared" si="11"/>
        <v>2.4903368610015075E-2</v>
      </c>
      <c r="X75" s="13"/>
      <c r="Y75" s="13"/>
      <c r="Z75" s="13"/>
      <c r="AK75" s="21"/>
      <c r="AL75" s="21"/>
      <c r="AM75" s="21"/>
      <c r="AN75" s="21"/>
      <c r="AO75" s="79"/>
      <c r="AP75" s="21"/>
      <c r="AQ75" s="21"/>
      <c r="AR75" s="21"/>
    </row>
    <row r="76" spans="1:44" ht="15.6" x14ac:dyDescent="0.3">
      <c r="A76" s="562">
        <v>41</v>
      </c>
      <c r="B76" s="563">
        <v>0</v>
      </c>
      <c r="C76" s="564">
        <f>IFERROR('Device Resistance Tables'!C64,NA())</f>
        <v>8375.2137051382797</v>
      </c>
      <c r="D76" s="565">
        <f>IFERROR('Device Resistance Tables'!D64,NA())</f>
        <v>8459.8118233719997</v>
      </c>
      <c r="E76" s="564">
        <f>IFERROR('Device Resistance Tables'!F64,NA())</f>
        <v>8544.4099416057197</v>
      </c>
      <c r="F76" s="566">
        <f t="shared" si="5"/>
        <v>1.1843736552720798</v>
      </c>
      <c r="G76" s="564">
        <f t="shared" si="6"/>
        <v>55.02583047823282</v>
      </c>
      <c r="H76" s="566">
        <f t="shared" si="0"/>
        <v>0.16581231173809116</v>
      </c>
      <c r="I76" s="302">
        <f t="shared" si="1"/>
        <v>-1.0000000000000002</v>
      </c>
      <c r="J76" s="302">
        <f t="shared" si="2"/>
        <v>1.0000000000000002</v>
      </c>
      <c r="K76" s="298">
        <f t="shared" si="7"/>
        <v>7.7036162669525954E-3</v>
      </c>
      <c r="L76" s="388"/>
      <c r="M76" s="571">
        <v>0</v>
      </c>
      <c r="N76" s="572">
        <v>26139</v>
      </c>
      <c r="O76" s="572">
        <v>27218.6</v>
      </c>
      <c r="P76" s="572">
        <v>28317.3</v>
      </c>
      <c r="Q76" s="569">
        <f t="shared" si="3"/>
        <v>2.1939514113910787</v>
      </c>
      <c r="R76" s="564">
        <f t="shared" si="10"/>
        <v>1204.5000000000036</v>
      </c>
      <c r="S76" s="570">
        <f t="shared" si="4"/>
        <v>0.24181457658267644</v>
      </c>
      <c r="T76" s="302">
        <f t="shared" si="8"/>
        <v>-3.9664053257698728</v>
      </c>
      <c r="U76" s="302">
        <f t="shared" si="9"/>
        <v>4.0365779283284251</v>
      </c>
      <c r="V76" s="298">
        <f t="shared" si="11"/>
        <v>2.5268276765264552E-2</v>
      </c>
      <c r="X76" s="13"/>
      <c r="Y76" s="13"/>
      <c r="Z76" s="13"/>
      <c r="AK76" s="21"/>
      <c r="AL76" s="21"/>
      <c r="AM76" s="21"/>
      <c r="AN76" s="21"/>
      <c r="AO76" s="79"/>
      <c r="AP76" s="21"/>
      <c r="AQ76" s="21"/>
      <c r="AR76" s="21"/>
    </row>
    <row r="77" spans="1:44" ht="15.6" x14ac:dyDescent="0.3">
      <c r="A77" s="562">
        <v>42</v>
      </c>
      <c r="B77" s="563">
        <v>1</v>
      </c>
      <c r="C77" s="564">
        <f>IFERROR('Device Resistance Tables'!C65,NA())</f>
        <v>8429.9942015576307</v>
      </c>
      <c r="D77" s="565">
        <f>IFERROR('Device Resistance Tables'!D65,NA())</f>
        <v>8515.1456581390212</v>
      </c>
      <c r="E77" s="564">
        <f>IFERROR('Device Resistance Tables'!F65,NA())</f>
        <v>8600.2971147204116</v>
      </c>
      <c r="F77" s="566">
        <f t="shared" si="5"/>
        <v>1.192120392139463</v>
      </c>
      <c r="G77" s="564">
        <f t="shared" si="6"/>
        <v>55.333834767021472</v>
      </c>
      <c r="H77" s="566">
        <f t="shared" si="0"/>
        <v>0.1668968548995248</v>
      </c>
      <c r="I77" s="302">
        <f t="shared" si="1"/>
        <v>-1.0000000000000029</v>
      </c>
      <c r="J77" s="302">
        <f t="shared" si="2"/>
        <v>1.0000000000000029</v>
      </c>
      <c r="K77" s="298">
        <f t="shared" si="7"/>
        <v>7.7467368673831416E-3</v>
      </c>
      <c r="L77" s="388"/>
      <c r="M77" s="571">
        <v>1</v>
      </c>
      <c r="N77" s="572">
        <v>25052.399999999998</v>
      </c>
      <c r="O77" s="572">
        <v>26076</v>
      </c>
      <c r="P77" s="572">
        <v>27116.9</v>
      </c>
      <c r="Q77" s="569">
        <f t="shared" si="3"/>
        <v>2.1684222197582881</v>
      </c>
      <c r="R77" s="564">
        <f t="shared" si="10"/>
        <v>1142.5999999999985</v>
      </c>
      <c r="S77" s="570">
        <f t="shared" si="4"/>
        <v>0.24947333407251357</v>
      </c>
      <c r="T77" s="302">
        <f t="shared" si="8"/>
        <v>-3.9254486884491566</v>
      </c>
      <c r="U77" s="302">
        <f t="shared" si="9"/>
        <v>3.9917932198189963</v>
      </c>
      <c r="V77" s="298">
        <f t="shared" si="11"/>
        <v>2.552919163279066E-2</v>
      </c>
      <c r="X77" s="13"/>
      <c r="Y77" s="13"/>
      <c r="Z77" s="13"/>
      <c r="AK77" s="21"/>
      <c r="AL77" s="21"/>
      <c r="AM77" s="21"/>
      <c r="AN77" s="21"/>
      <c r="AO77" s="79"/>
      <c r="AP77" s="21"/>
      <c r="AQ77" s="21"/>
      <c r="AR77" s="21"/>
    </row>
    <row r="78" spans="1:44" ht="15.6" x14ac:dyDescent="0.3">
      <c r="A78" s="562">
        <v>43</v>
      </c>
      <c r="B78" s="563">
        <v>2</v>
      </c>
      <c r="C78" s="564">
        <f>IFERROR('Device Resistance Tables'!C66,NA())</f>
        <v>8485.0786770634095</v>
      </c>
      <c r="D78" s="565">
        <f>IFERROR('Device Resistance Tables'!D66,NA())</f>
        <v>8570.786542488293</v>
      </c>
      <c r="E78" s="564">
        <f>IFERROR('Device Resistance Tables'!F66,NA())</f>
        <v>8656.4944079131765</v>
      </c>
      <c r="F78" s="566">
        <f t="shared" si="5"/>
        <v>1.1999101159483609</v>
      </c>
      <c r="G78" s="564">
        <f t="shared" si="6"/>
        <v>55.640884349271801</v>
      </c>
      <c r="H78" s="566">
        <f t="shared" si="0"/>
        <v>0.1679874162327705</v>
      </c>
      <c r="I78" s="302">
        <f t="shared" si="1"/>
        <v>-1.0000000000000067</v>
      </c>
      <c r="J78" s="302">
        <f t="shared" si="2"/>
        <v>1.0000000000000067</v>
      </c>
      <c r="K78" s="298">
        <f t="shared" si="7"/>
        <v>7.7897238088979748E-3</v>
      </c>
      <c r="L78" s="388"/>
      <c r="M78" s="571">
        <v>2</v>
      </c>
      <c r="N78" s="572">
        <v>24017.1</v>
      </c>
      <c r="O78" s="572">
        <v>24987.7</v>
      </c>
      <c r="P78" s="572">
        <v>25974.1</v>
      </c>
      <c r="Q78" s="569">
        <f t="shared" si="3"/>
        <v>2.1425558124712398</v>
      </c>
      <c r="R78" s="564">
        <f t="shared" si="10"/>
        <v>1088.2999999999993</v>
      </c>
      <c r="S78" s="570">
        <f t="shared" si="4"/>
        <v>0.25723325625862803</v>
      </c>
      <c r="T78" s="302">
        <f t="shared" si="8"/>
        <v>-3.8843110810518859</v>
      </c>
      <c r="U78" s="302">
        <f t="shared" si="9"/>
        <v>3.9475421907578441</v>
      </c>
      <c r="V78" s="298">
        <f t="shared" si="11"/>
        <v>2.5866407287048254E-2</v>
      </c>
      <c r="X78" s="13"/>
      <c r="Y78" s="13"/>
      <c r="Z78" s="13"/>
      <c r="AK78" s="21"/>
      <c r="AL78" s="21"/>
      <c r="AM78" s="21"/>
      <c r="AN78" s="21"/>
      <c r="AO78" s="79"/>
      <c r="AP78" s="21"/>
      <c r="AQ78" s="21"/>
      <c r="AR78" s="21"/>
    </row>
    <row r="79" spans="1:44" ht="15.6" x14ac:dyDescent="0.3">
      <c r="A79" s="562">
        <v>44</v>
      </c>
      <c r="B79" s="563">
        <v>3</v>
      </c>
      <c r="C79" s="564">
        <f>IFERROR('Device Resistance Tables'!C67,NA())</f>
        <v>8540.4662293150668</v>
      </c>
      <c r="D79" s="565">
        <f>IFERROR('Device Resistance Tables'!D67,NA())</f>
        <v>8626.7335649647139</v>
      </c>
      <c r="E79" s="564">
        <f>IFERROR('Device Resistance Tables'!F67,NA())</f>
        <v>8713.0009006143609</v>
      </c>
      <c r="F79" s="566">
        <f t="shared" si="5"/>
        <v>1.2077426990950599</v>
      </c>
      <c r="G79" s="564">
        <f t="shared" si="6"/>
        <v>55.947022476420898</v>
      </c>
      <c r="H79" s="566">
        <f t="shared" si="0"/>
        <v>0.16908397787330837</v>
      </c>
      <c r="I79" s="302">
        <f t="shared" si="1"/>
        <v>-0.99999999999999911</v>
      </c>
      <c r="J79" s="302">
        <f t="shared" si="2"/>
        <v>0.99999999999999911</v>
      </c>
      <c r="K79" s="298">
        <f t="shared" si="7"/>
        <v>7.8325831466989904E-3</v>
      </c>
      <c r="L79" s="388"/>
      <c r="M79" s="571">
        <v>3</v>
      </c>
      <c r="N79" s="572">
        <v>23030.3</v>
      </c>
      <c r="O79" s="572">
        <v>23950.9</v>
      </c>
      <c r="P79" s="572">
        <v>24885.8</v>
      </c>
      <c r="Q79" s="569">
        <f t="shared" si="3"/>
        <v>2.1163709945833542</v>
      </c>
      <c r="R79" s="564">
        <f t="shared" si="10"/>
        <v>1036.7999999999993</v>
      </c>
      <c r="S79" s="570">
        <f t="shared" si="4"/>
        <v>0.26508870162499371</v>
      </c>
      <c r="T79" s="302">
        <f t="shared" si="8"/>
        <v>-3.84369689656757</v>
      </c>
      <c r="U79" s="302">
        <f t="shared" si="9"/>
        <v>3.903402377363681</v>
      </c>
      <c r="V79" s="298">
        <f t="shared" si="11"/>
        <v>2.6184817887885625E-2</v>
      </c>
      <c r="X79" s="13"/>
      <c r="Y79" s="13"/>
      <c r="Z79" s="13"/>
      <c r="AK79" s="21"/>
      <c r="AL79" s="21"/>
      <c r="AM79" s="21"/>
      <c r="AN79" s="21"/>
      <c r="AO79" s="79"/>
      <c r="AP79" s="21"/>
      <c r="AQ79" s="21"/>
      <c r="AR79" s="21"/>
    </row>
    <row r="80" spans="1:44" ht="15.6" x14ac:dyDescent="0.3">
      <c r="A80" s="562">
        <v>45</v>
      </c>
      <c r="B80" s="563">
        <v>4</v>
      </c>
      <c r="C80" s="564">
        <f>IFERROR('Device Resistance Tables'!C68,NA())</f>
        <v>8596.1559987909768</v>
      </c>
      <c r="D80" s="565">
        <f>IFERROR('Device Resistance Tables'!D68,NA())</f>
        <v>8682.9858573646234</v>
      </c>
      <c r="E80" s="564">
        <f>IFERROR('Device Resistance Tables'!F68,NA())</f>
        <v>8769.8157159382699</v>
      </c>
      <c r="F80" s="566">
        <f t="shared" si="5"/>
        <v>1.2156180200310471</v>
      </c>
      <c r="G80" s="564">
        <f t="shared" si="6"/>
        <v>56.252292399909493</v>
      </c>
      <c r="H80" s="566">
        <f t="shared" si="0"/>
        <v>0.1701865228043466</v>
      </c>
      <c r="I80" s="302">
        <f t="shared" si="1"/>
        <v>-1.0000000000000038</v>
      </c>
      <c r="J80" s="302">
        <f t="shared" si="2"/>
        <v>1.0000000000000038</v>
      </c>
      <c r="K80" s="298">
        <f t="shared" si="7"/>
        <v>7.8753209359871956E-3</v>
      </c>
      <c r="L80" s="388"/>
      <c r="M80" s="571">
        <v>4</v>
      </c>
      <c r="N80" s="572">
        <v>22089.600000000002</v>
      </c>
      <c r="O80" s="572">
        <v>22962.9</v>
      </c>
      <c r="P80" s="572">
        <v>23849.200000000001</v>
      </c>
      <c r="Q80" s="569">
        <f t="shared" si="3"/>
        <v>2.0898859020292511</v>
      </c>
      <c r="R80" s="564">
        <f t="shared" si="10"/>
        <v>988</v>
      </c>
      <c r="S80" s="570">
        <f t="shared" si="4"/>
        <v>0.27303422939122474</v>
      </c>
      <c r="T80" s="302">
        <f t="shared" si="8"/>
        <v>-3.8030910729916481</v>
      </c>
      <c r="U80" s="302">
        <f t="shared" si="9"/>
        <v>3.8597041314468088</v>
      </c>
      <c r="V80" s="298">
        <f t="shared" si="11"/>
        <v>2.648509255410314E-2</v>
      </c>
      <c r="X80" s="13"/>
      <c r="Y80" s="13"/>
      <c r="Z80" s="13"/>
      <c r="AK80" s="21"/>
      <c r="AL80" s="21"/>
      <c r="AM80" s="21"/>
      <c r="AN80" s="21"/>
      <c r="AO80" s="79"/>
      <c r="AP80" s="21"/>
      <c r="AQ80" s="21"/>
      <c r="AR80" s="21"/>
    </row>
    <row r="81" spans="1:44" ht="15.6" x14ac:dyDescent="0.3">
      <c r="A81" s="562">
        <v>46</v>
      </c>
      <c r="B81" s="563">
        <v>5</v>
      </c>
      <c r="C81" s="564">
        <f>IFERROR('Device Resistance Tables'!C69,NA())</f>
        <v>8652.1471687884477</v>
      </c>
      <c r="D81" s="565">
        <f>IFERROR('Device Resistance Tables'!D69,NA())</f>
        <v>8739.5425947358053</v>
      </c>
      <c r="E81" s="564">
        <f>IFERROR('Device Resistance Tables'!F69,NA())</f>
        <v>8826.9380206831629</v>
      </c>
      <c r="F81" s="566">
        <f t="shared" si="5"/>
        <v>1.2235359632630127</v>
      </c>
      <c r="G81" s="564">
        <f t="shared" si="6"/>
        <v>56.556737371181953</v>
      </c>
      <c r="H81" s="566">
        <f t="shared" si="0"/>
        <v>0.17129503485682177</v>
      </c>
      <c r="I81" s="302">
        <f t="shared" si="1"/>
        <v>-0.99999999999999467</v>
      </c>
      <c r="J81" s="302">
        <f t="shared" si="2"/>
        <v>0.99999999999999467</v>
      </c>
      <c r="K81" s="298">
        <f t="shared" si="7"/>
        <v>7.9179432319655962E-3</v>
      </c>
      <c r="L81" s="388"/>
      <c r="M81" s="571">
        <v>5</v>
      </c>
      <c r="N81" s="572">
        <v>21192.5</v>
      </c>
      <c r="O81" s="572">
        <v>22021.100000000002</v>
      </c>
      <c r="P81" s="572">
        <v>22861.4</v>
      </c>
      <c r="Q81" s="569">
        <f t="shared" si="3"/>
        <v>2.0631177567291568</v>
      </c>
      <c r="R81" s="564">
        <f t="shared" si="10"/>
        <v>941.79999999999927</v>
      </c>
      <c r="S81" s="570">
        <f t="shared" si="4"/>
        <v>0.28106467298125293</v>
      </c>
      <c r="T81" s="302">
        <f t="shared" si="8"/>
        <v>-3.7627548124299062</v>
      </c>
      <c r="U81" s="302">
        <f t="shared" si="9"/>
        <v>3.815885673286072</v>
      </c>
      <c r="V81" s="298">
        <f t="shared" si="11"/>
        <v>2.6768145300094304E-2</v>
      </c>
      <c r="X81" s="13"/>
      <c r="Y81" s="13"/>
      <c r="Z81" s="13"/>
      <c r="AK81" s="21"/>
      <c r="AL81" s="21"/>
      <c r="AM81" s="21"/>
      <c r="AN81" s="21"/>
      <c r="AO81" s="79"/>
      <c r="AP81" s="21"/>
      <c r="AQ81" s="21"/>
      <c r="AR81" s="21"/>
    </row>
    <row r="82" spans="1:44" ht="15.6" x14ac:dyDescent="0.3">
      <c r="A82" s="562">
        <v>47</v>
      </c>
      <c r="B82" s="563">
        <v>6</v>
      </c>
      <c r="C82" s="564">
        <f>IFERROR('Device Resistance Tables'!C70,NA())</f>
        <v>8708.4389654237111</v>
      </c>
      <c r="D82" s="565">
        <f>IFERROR('Device Resistance Tables'!D70,NA())</f>
        <v>8796.4029953774861</v>
      </c>
      <c r="E82" s="564">
        <f>IFERROR('Device Resistance Tables'!F70,NA())</f>
        <v>8884.3670253312612</v>
      </c>
      <c r="F82" s="566">
        <f t="shared" si="5"/>
        <v>1.2314964193528479</v>
      </c>
      <c r="G82" s="564">
        <f t="shared" si="6"/>
        <v>56.860400641680826</v>
      </c>
      <c r="H82" s="566">
        <f t="shared" si="0"/>
        <v>0.1724094987093987</v>
      </c>
      <c r="I82" s="302">
        <f t="shared" si="1"/>
        <v>-1.000000000000002</v>
      </c>
      <c r="J82" s="302">
        <f t="shared" si="2"/>
        <v>1.000000000000002</v>
      </c>
      <c r="K82" s="298">
        <f t="shared" si="7"/>
        <v>7.9604560898351995E-3</v>
      </c>
      <c r="L82" s="388"/>
      <c r="M82" s="571">
        <v>6</v>
      </c>
      <c r="N82" s="572">
        <v>20336.7</v>
      </c>
      <c r="O82" s="572">
        <v>21123</v>
      </c>
      <c r="P82" s="572">
        <v>21920</v>
      </c>
      <c r="Q82" s="569">
        <f t="shared" si="3"/>
        <v>2.0360826398483436</v>
      </c>
      <c r="R82" s="564">
        <f t="shared" si="10"/>
        <v>898.10000000000218</v>
      </c>
      <c r="S82" s="570">
        <f t="shared" si="4"/>
        <v>0.2891752080454969</v>
      </c>
      <c r="T82" s="302">
        <f t="shared" si="8"/>
        <v>-3.7224826019031356</v>
      </c>
      <c r="U82" s="302">
        <f t="shared" si="9"/>
        <v>3.7731382852814468</v>
      </c>
      <c r="V82" s="298">
        <f t="shared" si="11"/>
        <v>2.703511688081317E-2</v>
      </c>
      <c r="X82" s="13"/>
      <c r="Y82" s="13"/>
      <c r="Z82" s="13"/>
      <c r="AK82" s="21"/>
      <c r="AL82" s="21"/>
      <c r="AM82" s="21"/>
      <c r="AN82" s="21"/>
      <c r="AO82" s="79"/>
      <c r="AP82" s="21"/>
      <c r="AQ82" s="21"/>
      <c r="AR82" s="21"/>
    </row>
    <row r="83" spans="1:44" ht="15.6" x14ac:dyDescent="0.3">
      <c r="A83" s="562">
        <v>48</v>
      </c>
      <c r="B83" s="563">
        <v>7</v>
      </c>
      <c r="C83" s="564">
        <f>IFERROR('Device Resistance Tables'!C71,NA())</f>
        <v>8765.0306576319272</v>
      </c>
      <c r="D83" s="565">
        <f>IFERROR('Device Resistance Tables'!D71,NA())</f>
        <v>8853.5663208403312</v>
      </c>
      <c r="E83" s="564">
        <f>IFERROR('Device Resistance Tables'!F71,NA())</f>
        <v>8942.1019840487352</v>
      </c>
      <c r="F83" s="566">
        <f t="shared" si="5"/>
        <v>1.2394992849176463</v>
      </c>
      <c r="G83" s="564">
        <f t="shared" si="6"/>
        <v>57.163325462845023</v>
      </c>
      <c r="H83" s="566">
        <f t="shared" si="0"/>
        <v>0.17352989988847048</v>
      </c>
      <c r="I83" s="302">
        <f t="shared" si="1"/>
        <v>-1.0000000000000078</v>
      </c>
      <c r="J83" s="302">
        <f t="shared" si="2"/>
        <v>1.0000000000000078</v>
      </c>
      <c r="K83" s="298">
        <f t="shared" si="7"/>
        <v>8.0028655647983449E-3</v>
      </c>
      <c r="L83" s="388"/>
      <c r="M83" s="571">
        <v>7</v>
      </c>
      <c r="N83" s="572">
        <v>19520.2</v>
      </c>
      <c r="O83" s="572">
        <v>20266.600000000002</v>
      </c>
      <c r="P83" s="572">
        <v>21022.5</v>
      </c>
      <c r="Q83" s="569">
        <f t="shared" si="3"/>
        <v>2.0088083894457918</v>
      </c>
      <c r="R83" s="564">
        <f t="shared" si="10"/>
        <v>856.39999999999782</v>
      </c>
      <c r="S83" s="570">
        <f t="shared" si="4"/>
        <v>0.29735748316626243</v>
      </c>
      <c r="T83" s="302">
        <f t="shared" si="8"/>
        <v>-3.682906851667282</v>
      </c>
      <c r="U83" s="302">
        <f t="shared" si="9"/>
        <v>3.7297820058618503</v>
      </c>
      <c r="V83" s="298">
        <f t="shared" si="11"/>
        <v>2.7274250402551825E-2</v>
      </c>
      <c r="X83" s="13"/>
      <c r="Y83" s="13"/>
      <c r="Z83" s="13"/>
      <c r="AK83" s="21"/>
      <c r="AL83" s="21"/>
      <c r="AM83" s="21"/>
      <c r="AN83" s="21"/>
      <c r="AO83" s="79"/>
      <c r="AP83" s="21"/>
      <c r="AQ83" s="21"/>
      <c r="AR83" s="21"/>
    </row>
    <row r="84" spans="1:44" ht="15.6" x14ac:dyDescent="0.3">
      <c r="A84" s="562">
        <v>49</v>
      </c>
      <c r="B84" s="563">
        <v>8</v>
      </c>
      <c r="C84" s="564">
        <f>IFERROR('Device Resistance Tables'!C72,NA())</f>
        <v>8821.9215571671793</v>
      </c>
      <c r="D84" s="565">
        <f>IFERROR('Device Resistance Tables'!D72,NA())</f>
        <v>8911.0318759264446</v>
      </c>
      <c r="E84" s="564">
        <f>IFERROR('Device Resistance Tables'!F72,NA())</f>
        <v>9000.1421946857099</v>
      </c>
      <c r="F84" s="566">
        <f t="shared" si="5"/>
        <v>1.2475444626297021</v>
      </c>
      <c r="G84" s="564">
        <f t="shared" si="6"/>
        <v>57.465555086113454</v>
      </c>
      <c r="H84" s="566">
        <f t="shared" si="0"/>
        <v>0.17465622476815829</v>
      </c>
      <c r="I84" s="302">
        <f t="shared" si="1"/>
        <v>-1.0000000000000093</v>
      </c>
      <c r="J84" s="302">
        <f t="shared" si="2"/>
        <v>1.0000000000000093</v>
      </c>
      <c r="K84" s="298">
        <f t="shared" si="7"/>
        <v>8.0451777120558177E-3</v>
      </c>
      <c r="L84" s="388"/>
      <c r="M84" s="571">
        <v>8</v>
      </c>
      <c r="N84" s="572">
        <v>18740.900000000001</v>
      </c>
      <c r="O84" s="572">
        <v>19449.5</v>
      </c>
      <c r="P84" s="572">
        <v>20166.699999999997</v>
      </c>
      <c r="Q84" s="569">
        <f t="shared" si="3"/>
        <v>1.9813069831406307</v>
      </c>
      <c r="R84" s="564">
        <f t="shared" si="10"/>
        <v>817.10000000000218</v>
      </c>
      <c r="S84" s="570">
        <f t="shared" si="4"/>
        <v>0.30560790505781088</v>
      </c>
      <c r="T84" s="302">
        <f t="shared" si="8"/>
        <v>-3.6432813182858097</v>
      </c>
      <c r="U84" s="302">
        <f t="shared" si="9"/>
        <v>3.6874983932748768</v>
      </c>
      <c r="V84" s="298">
        <f t="shared" si="11"/>
        <v>2.7501406305161069E-2</v>
      </c>
      <c r="X84" s="13"/>
      <c r="Y84" s="13"/>
      <c r="Z84" s="13"/>
      <c r="AK84" s="21"/>
      <c r="AL84" s="21"/>
      <c r="AM84" s="21"/>
      <c r="AN84" s="21"/>
      <c r="AO84" s="79"/>
      <c r="AP84" s="21"/>
      <c r="AQ84" s="21"/>
      <c r="AR84" s="21"/>
    </row>
    <row r="85" spans="1:44" ht="15.6" x14ac:dyDescent="0.3">
      <c r="A85" s="562">
        <v>50</v>
      </c>
      <c r="B85" s="563">
        <v>9</v>
      </c>
      <c r="C85" s="564">
        <f>IFERROR('Device Resistance Tables'!C73,NA())</f>
        <v>8879.1110186024816</v>
      </c>
      <c r="D85" s="565">
        <f>IFERROR('Device Resistance Tables'!D73,NA())</f>
        <v>8968.7990086893751</v>
      </c>
      <c r="E85" s="564">
        <f>IFERROR('Device Resistance Tables'!F73,NA())</f>
        <v>9058.4869987762686</v>
      </c>
      <c r="F85" s="566">
        <f t="shared" si="5"/>
        <v>1.2556318612165125</v>
      </c>
      <c r="G85" s="564">
        <f t="shared" si="6"/>
        <v>57.767132762930487</v>
      </c>
      <c r="H85" s="566">
        <f t="shared" si="0"/>
        <v>0.17578846057031172</v>
      </c>
      <c r="I85" s="302">
        <f t="shared" si="1"/>
        <v>-0.99999999999999689</v>
      </c>
      <c r="J85" s="302">
        <f t="shared" si="2"/>
        <v>0.99999999999999689</v>
      </c>
      <c r="K85" s="298">
        <f t="shared" si="7"/>
        <v>8.0873985868104015E-3</v>
      </c>
      <c r="L85" s="388"/>
      <c r="M85" s="571">
        <v>9</v>
      </c>
      <c r="N85" s="572">
        <v>17997</v>
      </c>
      <c r="O85" s="572">
        <v>18669.8</v>
      </c>
      <c r="P85" s="572">
        <v>19350.3</v>
      </c>
      <c r="Q85" s="569">
        <f t="shared" si="3"/>
        <v>1.9536027457463951</v>
      </c>
      <c r="R85" s="564">
        <f t="shared" si="10"/>
        <v>779.70000000000073</v>
      </c>
      <c r="S85" s="570">
        <f t="shared" si="4"/>
        <v>0.31391917627608146</v>
      </c>
      <c r="T85" s="302">
        <f t="shared" si="8"/>
        <v>-3.6036808107210536</v>
      </c>
      <c r="U85" s="302">
        <f t="shared" si="9"/>
        <v>3.6449238877759802</v>
      </c>
      <c r="V85" s="298">
        <f t="shared" si="11"/>
        <v>2.7704237394235554E-2</v>
      </c>
      <c r="X85" s="13"/>
      <c r="Y85" s="13"/>
      <c r="Z85" s="13"/>
      <c r="AK85" s="21"/>
      <c r="AL85" s="21"/>
      <c r="AM85" s="21"/>
      <c r="AN85" s="21"/>
      <c r="AO85" s="79"/>
      <c r="AP85" s="21"/>
      <c r="AQ85" s="21"/>
      <c r="AR85" s="21"/>
    </row>
    <row r="86" spans="1:44" ht="15.6" x14ac:dyDescent="0.3">
      <c r="A86" s="562">
        <v>51</v>
      </c>
      <c r="B86" s="563">
        <v>10</v>
      </c>
      <c r="C86" s="564">
        <f>IFERROR('Device Resistance Tables'!C74,NA())</f>
        <v>8936.5984393297749</v>
      </c>
      <c r="D86" s="565">
        <f>IFERROR('Device Resistance Tables'!D74,NA())</f>
        <v>9026.8671104341156</v>
      </c>
      <c r="E86" s="564">
        <f>IFERROR('Device Resistance Tables'!F74,NA())</f>
        <v>9117.1357815384563</v>
      </c>
      <c r="F86" s="566">
        <f t="shared" si="5"/>
        <v>1.263761395460776</v>
      </c>
      <c r="G86" s="564">
        <f t="shared" si="6"/>
        <v>58.068101744740488</v>
      </c>
      <c r="H86" s="566">
        <f t="shared" si="0"/>
        <v>0.17692659536450864</v>
      </c>
      <c r="I86" s="302">
        <f t="shared" si="1"/>
        <v>-0.99999999999999478</v>
      </c>
      <c r="J86" s="302">
        <f t="shared" si="2"/>
        <v>0.99999999999999478</v>
      </c>
      <c r="K86" s="298">
        <f t="shared" si="7"/>
        <v>8.1295342442635476E-3</v>
      </c>
      <c r="L86" s="388"/>
      <c r="M86" s="571">
        <v>10</v>
      </c>
      <c r="N86" s="572">
        <v>17286.599999999999</v>
      </c>
      <c r="O86" s="572">
        <v>17925.5</v>
      </c>
      <c r="P86" s="572">
        <v>18571.3</v>
      </c>
      <c r="Q86" s="569">
        <f t="shared" si="3"/>
        <v>1.9257130579577804</v>
      </c>
      <c r="R86" s="564">
        <f t="shared" si="10"/>
        <v>744.29999999999927</v>
      </c>
      <c r="S86" s="570">
        <f t="shared" si="4"/>
        <v>0.32228608261266584</v>
      </c>
      <c r="T86" s="302">
        <f t="shared" si="8"/>
        <v>-3.5641962567292484</v>
      </c>
      <c r="U86" s="302">
        <f t="shared" si="9"/>
        <v>3.6026889068645187</v>
      </c>
      <c r="V86" s="298">
        <f t="shared" si="11"/>
        <v>2.7889687788614781E-2</v>
      </c>
      <c r="X86" s="13"/>
      <c r="Y86" s="13"/>
      <c r="Z86" s="13"/>
      <c r="AK86" s="21"/>
      <c r="AL86" s="21"/>
      <c r="AM86" s="21"/>
      <c r="AN86" s="21"/>
      <c r="AO86" s="79"/>
      <c r="AP86" s="21"/>
      <c r="AQ86" s="21"/>
      <c r="AR86" s="21"/>
    </row>
    <row r="87" spans="1:44" ht="15.6" x14ac:dyDescent="0.3">
      <c r="A87" s="562">
        <v>52</v>
      </c>
      <c r="B87" s="563">
        <v>11</v>
      </c>
      <c r="C87" s="564">
        <f>IFERROR('Device Resistance Tables'!C75,NA())</f>
        <v>8994.3832595599215</v>
      </c>
      <c r="D87" s="565">
        <f>IFERROR('Device Resistance Tables'!D75,NA())</f>
        <v>9085.2356157170925</v>
      </c>
      <c r="E87" s="564">
        <f>IFERROR('Device Resistance Tables'!F75,NA())</f>
        <v>9176.0879718742635</v>
      </c>
      <c r="F87" s="566">
        <f t="shared" si="5"/>
        <v>1.2719329862003927</v>
      </c>
      <c r="G87" s="564">
        <f t="shared" si="6"/>
        <v>58.368505282976912</v>
      </c>
      <c r="H87" s="566">
        <f t="shared" si="0"/>
        <v>0.17807061806805499</v>
      </c>
      <c r="I87" s="302">
        <f t="shared" si="1"/>
        <v>-1.0000000000000011</v>
      </c>
      <c r="J87" s="302">
        <f t="shared" si="2"/>
        <v>1.0000000000000011</v>
      </c>
      <c r="K87" s="298">
        <f t="shared" si="7"/>
        <v>8.1715907396167076E-3</v>
      </c>
      <c r="L87" s="388"/>
      <c r="M87" s="571">
        <v>11</v>
      </c>
      <c r="N87" s="572">
        <v>16607</v>
      </c>
      <c r="O87" s="572">
        <v>17213.899999999998</v>
      </c>
      <c r="P87" s="572">
        <v>17826.899999999998</v>
      </c>
      <c r="Q87" s="569">
        <f t="shared" si="3"/>
        <v>1.8976221710228964</v>
      </c>
      <c r="R87" s="564">
        <f t="shared" si="10"/>
        <v>711.60000000000218</v>
      </c>
      <c r="S87" s="570">
        <f t="shared" si="4"/>
        <v>0.33071334869313113</v>
      </c>
      <c r="T87" s="302">
        <f t="shared" si="8"/>
        <v>-3.5256391636990916</v>
      </c>
      <c r="U87" s="302">
        <f t="shared" si="9"/>
        <v>3.5610756423587921</v>
      </c>
      <c r="V87" s="298">
        <f t="shared" si="11"/>
        <v>2.809088693488393E-2</v>
      </c>
      <c r="X87" s="13"/>
      <c r="Y87" s="13"/>
      <c r="Z87" s="13"/>
      <c r="AK87" s="21"/>
      <c r="AL87" s="21"/>
      <c r="AM87" s="21"/>
      <c r="AN87" s="21"/>
      <c r="AO87" s="79"/>
      <c r="AP87" s="21"/>
      <c r="AQ87" s="21"/>
      <c r="AR87" s="21"/>
    </row>
    <row r="88" spans="1:44" ht="15.6" x14ac:dyDescent="0.3">
      <c r="A88" s="562">
        <v>53</v>
      </c>
      <c r="B88" s="563">
        <v>12</v>
      </c>
      <c r="C88" s="564">
        <f>IFERROR('Device Resistance Tables'!C76,NA())</f>
        <v>9052.4649623227197</v>
      </c>
      <c r="D88" s="565">
        <f>IFERROR('Device Resistance Tables'!D76,NA())</f>
        <v>9143.9040023461821</v>
      </c>
      <c r="E88" s="564">
        <f>IFERROR('Device Resistance Tables'!F76,NA())</f>
        <v>9235.3430423696445</v>
      </c>
      <c r="F88" s="566">
        <f t="shared" si="5"/>
        <v>1.2801465603284654</v>
      </c>
      <c r="G88" s="564">
        <f t="shared" si="6"/>
        <v>58.668386629089582</v>
      </c>
      <c r="H88" s="566">
        <f t="shared" si="0"/>
        <v>0.17922051844598516</v>
      </c>
      <c r="I88" s="302">
        <f t="shared" si="1"/>
        <v>-1.0000000000000069</v>
      </c>
      <c r="J88" s="302">
        <f t="shared" si="2"/>
        <v>1.0000000000000069</v>
      </c>
      <c r="K88" s="298">
        <f t="shared" si="7"/>
        <v>8.2135741280726648E-3</v>
      </c>
      <c r="L88" s="388"/>
      <c r="M88" s="571">
        <v>12</v>
      </c>
      <c r="N88" s="572">
        <v>15958</v>
      </c>
      <c r="O88" s="572">
        <v>16534.400000000001</v>
      </c>
      <c r="P88" s="572">
        <v>17116.3</v>
      </c>
      <c r="Q88" s="569">
        <f t="shared" si="3"/>
        <v>1.8693921852387845</v>
      </c>
      <c r="R88" s="564">
        <f t="shared" si="10"/>
        <v>679.49999999999636</v>
      </c>
      <c r="S88" s="570">
        <f t="shared" si="4"/>
        <v>0.3391823444283647</v>
      </c>
      <c r="T88" s="302">
        <f t="shared" si="8"/>
        <v>-3.4860654151345156</v>
      </c>
      <c r="U88" s="302">
        <f t="shared" si="9"/>
        <v>3.5193293981033347</v>
      </c>
      <c r="V88" s="298">
        <f t="shared" si="11"/>
        <v>2.8229985784111955E-2</v>
      </c>
      <c r="X88" s="13"/>
      <c r="Y88" s="13"/>
      <c r="Z88" s="13"/>
      <c r="AK88" s="21"/>
      <c r="AL88" s="21"/>
      <c r="AM88" s="21"/>
      <c r="AN88" s="21"/>
      <c r="AO88" s="79"/>
      <c r="AP88" s="21"/>
      <c r="AQ88" s="21"/>
      <c r="AR88" s="21"/>
    </row>
    <row r="89" spans="1:44" ht="15.6" x14ac:dyDescent="0.3">
      <c r="A89" s="562">
        <v>54</v>
      </c>
      <c r="B89" s="563">
        <v>13</v>
      </c>
      <c r="C89" s="564">
        <f>IFERROR('Device Resistance Tables'!C77,NA())</f>
        <v>9110.8430734668855</v>
      </c>
      <c r="D89" s="565">
        <f>IFERROR('Device Resistance Tables'!D77,NA())</f>
        <v>9202.8717913806922</v>
      </c>
      <c r="E89" s="564">
        <f>IFERROR('Device Resistance Tables'!F77,NA())</f>
        <v>9294.900509294499</v>
      </c>
      <c r="F89" s="566">
        <f t="shared" si="5"/>
        <v>1.2884020507932967</v>
      </c>
      <c r="G89" s="564">
        <f t="shared" si="6"/>
        <v>58.967789034510133</v>
      </c>
      <c r="H89" s="566">
        <f t="shared" si="0"/>
        <v>0.18037628711106155</v>
      </c>
      <c r="I89" s="302">
        <f t="shared" si="1"/>
        <v>-0.99999999999999833</v>
      </c>
      <c r="J89" s="302">
        <f t="shared" si="2"/>
        <v>0.99999999999999833</v>
      </c>
      <c r="K89" s="298">
        <f t="shared" si="7"/>
        <v>8.2554904648313165E-3</v>
      </c>
      <c r="L89" s="388"/>
      <c r="M89" s="571">
        <v>13</v>
      </c>
      <c r="N89" s="572">
        <v>15337.9</v>
      </c>
      <c r="O89" s="572">
        <v>15885.6</v>
      </c>
      <c r="P89" s="572">
        <v>16438.099999999999</v>
      </c>
      <c r="Q89" s="569">
        <f t="shared" si="3"/>
        <v>1.8410544858917699</v>
      </c>
      <c r="R89" s="564">
        <f t="shared" si="10"/>
        <v>648.80000000000109</v>
      </c>
      <c r="S89" s="570">
        <f t="shared" si="4"/>
        <v>0.34768365423246905</v>
      </c>
      <c r="T89" s="302">
        <f t="shared" si="8"/>
        <v>-3.4477766027093764</v>
      </c>
      <c r="U89" s="302">
        <f t="shared" si="9"/>
        <v>3.4779926474291067</v>
      </c>
      <c r="V89" s="298">
        <f t="shared" si="11"/>
        <v>2.8337699347014578E-2</v>
      </c>
      <c r="X89" s="13"/>
      <c r="Y89" s="13"/>
      <c r="Z89" s="13"/>
      <c r="AK89" s="21"/>
      <c r="AL89" s="21"/>
      <c r="AM89" s="21"/>
      <c r="AN89" s="21"/>
      <c r="AO89" s="79"/>
      <c r="AP89" s="21"/>
      <c r="AQ89" s="21"/>
      <c r="AR89" s="21"/>
    </row>
    <row r="90" spans="1:44" ht="15.6" x14ac:dyDescent="0.3">
      <c r="A90" s="562">
        <v>55</v>
      </c>
      <c r="B90" s="563">
        <v>14</v>
      </c>
      <c r="C90" s="564">
        <f>IFERROR('Device Resistance Tables'!C78,NA())</f>
        <v>9169.5171616600674</v>
      </c>
      <c r="D90" s="565">
        <f>IFERROR('Device Resistance Tables'!D78,NA())</f>
        <v>9262.1385471313806</v>
      </c>
      <c r="E90" s="564">
        <f>IFERROR('Device Resistance Tables'!F78,NA())</f>
        <v>9354.7599326026939</v>
      </c>
      <c r="F90" s="566">
        <f t="shared" si="5"/>
        <v>1.2966993965983933</v>
      </c>
      <c r="G90" s="564">
        <f t="shared" si="6"/>
        <v>59.26675575068839</v>
      </c>
      <c r="H90" s="566">
        <f t="shared" si="0"/>
        <v>0.18153791552377505</v>
      </c>
      <c r="I90" s="302">
        <f t="shared" si="1"/>
        <v>-0.99999999999999412</v>
      </c>
      <c r="J90" s="302">
        <f t="shared" si="2"/>
        <v>0.99999999999999412</v>
      </c>
      <c r="K90" s="298">
        <f t="shared" si="7"/>
        <v>8.2973458050965565E-3</v>
      </c>
      <c r="L90" s="388"/>
      <c r="M90" s="571">
        <v>14</v>
      </c>
      <c r="N90" s="572">
        <v>14745.300000000001</v>
      </c>
      <c r="O90" s="572">
        <v>15265.800000000001</v>
      </c>
      <c r="P90" s="572">
        <v>15790.4</v>
      </c>
      <c r="Q90" s="569">
        <f t="shared" si="3"/>
        <v>1.8126241797212042</v>
      </c>
      <c r="R90" s="564">
        <f t="shared" si="10"/>
        <v>619.79999999999927</v>
      </c>
      <c r="S90" s="570">
        <f t="shared" si="4"/>
        <v>0.35621274608363873</v>
      </c>
      <c r="T90" s="302">
        <f t="shared" si="8"/>
        <v>-3.4095822033565226</v>
      </c>
      <c r="U90" s="302">
        <f t="shared" si="9"/>
        <v>3.4364396232100414</v>
      </c>
      <c r="V90" s="298">
        <f t="shared" si="11"/>
        <v>2.8430306170565744E-2</v>
      </c>
      <c r="X90" s="13"/>
      <c r="Y90" s="13"/>
      <c r="Z90" s="13"/>
      <c r="AK90" s="21"/>
      <c r="AL90" s="21"/>
      <c r="AM90" s="21"/>
      <c r="AN90" s="21"/>
      <c r="AO90" s="79"/>
      <c r="AP90" s="21"/>
      <c r="AQ90" s="21"/>
      <c r="AR90" s="21"/>
    </row>
    <row r="91" spans="1:44" ht="15.6" x14ac:dyDescent="0.3">
      <c r="A91" s="562">
        <v>56</v>
      </c>
      <c r="B91" s="563">
        <v>15</v>
      </c>
      <c r="C91" s="564">
        <f>IFERROR('Device Resistance Tables'!C79,NA())</f>
        <v>9228.4868383888406</v>
      </c>
      <c r="D91" s="565">
        <f>IFERROR('Device Resistance Tables'!D79,NA())</f>
        <v>9321.7038771604457</v>
      </c>
      <c r="E91" s="564">
        <f>IFERROR('Device Resistance Tables'!F79,NA())</f>
        <v>9414.9209159320508</v>
      </c>
      <c r="F91" s="566">
        <f t="shared" si="5"/>
        <v>1.3050385428024622</v>
      </c>
      <c r="G91" s="564">
        <f t="shared" si="6"/>
        <v>59.56533002906508</v>
      </c>
      <c r="H91" s="566">
        <f t="shared" si="0"/>
        <v>0.1827053959923447</v>
      </c>
      <c r="I91" s="302">
        <f t="shared" si="1"/>
        <v>-1.0000000000000067</v>
      </c>
      <c r="J91" s="302">
        <f t="shared" si="2"/>
        <v>1.0000000000000067</v>
      </c>
      <c r="K91" s="298">
        <f t="shared" si="7"/>
        <v>8.3391462040689479E-3</v>
      </c>
      <c r="L91" s="388"/>
      <c r="M91" s="571">
        <v>15</v>
      </c>
      <c r="N91" s="572">
        <v>14178.800000000001</v>
      </c>
      <c r="O91" s="572">
        <v>14673.5</v>
      </c>
      <c r="P91" s="572">
        <v>15171.8</v>
      </c>
      <c r="Q91" s="569">
        <f t="shared" si="3"/>
        <v>1.7841206152349687</v>
      </c>
      <c r="R91" s="564">
        <f t="shared" si="10"/>
        <v>592.30000000000109</v>
      </c>
      <c r="S91" s="570">
        <f t="shared" si="4"/>
        <v>0.36476381542950936</v>
      </c>
      <c r="T91" s="302">
        <f t="shared" si="8"/>
        <v>-3.3713837870991852</v>
      </c>
      <c r="U91" s="302">
        <f t="shared" si="9"/>
        <v>3.3959178110198609</v>
      </c>
      <c r="V91" s="298">
        <f t="shared" si="11"/>
        <v>2.8503564486235478E-2</v>
      </c>
      <c r="X91" s="13"/>
      <c r="Y91" s="13"/>
      <c r="Z91" s="13"/>
      <c r="AK91" s="21"/>
      <c r="AL91" s="21"/>
      <c r="AM91" s="21"/>
      <c r="AN91" s="21"/>
      <c r="AO91" s="79"/>
      <c r="AP91" s="21"/>
      <c r="AQ91" s="21"/>
      <c r="AR91" s="21"/>
    </row>
    <row r="92" spans="1:44" ht="15.6" x14ac:dyDescent="0.3">
      <c r="A92" s="562">
        <v>57</v>
      </c>
      <c r="B92" s="563">
        <v>16</v>
      </c>
      <c r="C92" s="564">
        <f>IFERROR('Device Resistance Tables'!C80,NA())</f>
        <v>9287.7517579587056</v>
      </c>
      <c r="D92" s="565">
        <f>IFERROR('Device Resistance Tables'!D80,NA())</f>
        <v>9381.5674322815212</v>
      </c>
      <c r="E92" s="564">
        <f>IFERROR('Device Resistance Tables'!F80,NA())</f>
        <v>9475.3831066043367</v>
      </c>
      <c r="F92" s="566">
        <f t="shared" si="5"/>
        <v>1.3134194405194128</v>
      </c>
      <c r="G92" s="564">
        <f t="shared" si="6"/>
        <v>59.863555121075478</v>
      </c>
      <c r="H92" s="566">
        <f t="shared" si="0"/>
        <v>0.18387872167271779</v>
      </c>
      <c r="I92" s="302">
        <f t="shared" si="1"/>
        <v>-1.0000000000000036</v>
      </c>
      <c r="J92" s="302">
        <f t="shared" si="2"/>
        <v>1.0000000000000036</v>
      </c>
      <c r="K92" s="298">
        <f t="shared" si="7"/>
        <v>8.3808977169506083E-3</v>
      </c>
      <c r="L92" s="388"/>
      <c r="M92" s="571">
        <v>16</v>
      </c>
      <c r="N92" s="572">
        <v>13637.3</v>
      </c>
      <c r="O92" s="572">
        <v>14107.5</v>
      </c>
      <c r="P92" s="572">
        <v>14580.8</v>
      </c>
      <c r="Q92" s="569">
        <f t="shared" si="3"/>
        <v>1.7555739914964223</v>
      </c>
      <c r="R92" s="564">
        <f t="shared" si="10"/>
        <v>566</v>
      </c>
      <c r="S92" s="570">
        <f t="shared" si="4"/>
        <v>0.37332780255107328</v>
      </c>
      <c r="T92" s="302">
        <f t="shared" si="8"/>
        <v>-3.3329789119262854</v>
      </c>
      <c r="U92" s="302">
        <f t="shared" si="9"/>
        <v>3.35495303916356</v>
      </c>
      <c r="V92" s="298">
        <f t="shared" si="11"/>
        <v>2.8546623738546328E-2</v>
      </c>
      <c r="X92" s="13"/>
      <c r="Y92" s="13"/>
      <c r="Z92" s="13"/>
      <c r="AK92" s="21"/>
      <c r="AL92" s="21"/>
      <c r="AM92" s="21"/>
      <c r="AN92" s="21"/>
      <c r="AO92" s="79"/>
      <c r="AP92" s="21"/>
      <c r="AQ92" s="21"/>
      <c r="AR92" s="21"/>
    </row>
    <row r="93" spans="1:44" ht="15.6" x14ac:dyDescent="0.3">
      <c r="A93" s="562">
        <v>58</v>
      </c>
      <c r="B93" s="563">
        <v>17</v>
      </c>
      <c r="C93" s="564">
        <f>IFERROR('Device Resistance Tables'!C81,NA())</f>
        <v>9347.3116174940915</v>
      </c>
      <c r="D93" s="565">
        <f>IFERROR('Device Resistance Tables'!D81,NA())</f>
        <v>9441.7289065596888</v>
      </c>
      <c r="E93" s="564">
        <f>IFERROR('Device Resistance Tables'!F81,NA())</f>
        <v>9536.1461956252861</v>
      </c>
      <c r="F93" s="566">
        <f t="shared" si="5"/>
        <v>1.3218420469183563</v>
      </c>
      <c r="G93" s="564">
        <f t="shared" si="6"/>
        <v>60.161474278167589</v>
      </c>
      <c r="H93" s="566">
        <f t="shared" si="0"/>
        <v>0.18505788656856986</v>
      </c>
      <c r="I93" s="302">
        <f t="shared" si="1"/>
        <v>-1.0000000000000042</v>
      </c>
      <c r="J93" s="302">
        <f t="shared" si="2"/>
        <v>1.0000000000000042</v>
      </c>
      <c r="K93" s="298">
        <f t="shared" si="7"/>
        <v>8.422606398943433E-3</v>
      </c>
      <c r="L93" s="388"/>
      <c r="M93" s="571">
        <v>17</v>
      </c>
      <c r="N93" s="572">
        <v>13119.300000000001</v>
      </c>
      <c r="O93" s="572">
        <v>13566.4</v>
      </c>
      <c r="P93" s="572">
        <v>14016</v>
      </c>
      <c r="Q93" s="569">
        <f t="shared" si="3"/>
        <v>1.7270011541856203</v>
      </c>
      <c r="R93" s="564">
        <f t="shared" si="10"/>
        <v>541.10000000000036</v>
      </c>
      <c r="S93" s="570">
        <f t="shared" si="4"/>
        <v>0.381899653744314</v>
      </c>
      <c r="T93" s="302">
        <f t="shared" si="8"/>
        <v>-3.295642174784752</v>
      </c>
      <c r="U93" s="302">
        <f t="shared" si="9"/>
        <v>3.3140700554310678</v>
      </c>
      <c r="V93" s="298">
        <f t="shared" si="11"/>
        <v>2.8572837310802068E-2</v>
      </c>
      <c r="X93" s="13"/>
      <c r="Y93" s="13"/>
      <c r="Z93" s="13"/>
      <c r="AK93" s="21"/>
      <c r="AL93" s="21"/>
      <c r="AM93" s="21"/>
      <c r="AN93" s="21"/>
      <c r="AO93" s="79"/>
      <c r="AP93" s="21"/>
      <c r="AQ93" s="21"/>
      <c r="AR93" s="21"/>
    </row>
    <row r="94" spans="1:44" ht="15.6" x14ac:dyDescent="0.3">
      <c r="A94" s="562">
        <v>59</v>
      </c>
      <c r="B94" s="563">
        <v>18</v>
      </c>
      <c r="C94" s="564">
        <f>IFERROR('Device Resistance Tables'!C82,NA())</f>
        <v>9407.1661569383486</v>
      </c>
      <c r="D94" s="565">
        <f>IFERROR('Device Resistance Tables'!D82,NA())</f>
        <v>9502.1880373114636</v>
      </c>
      <c r="E94" s="564">
        <f>IFERROR('Device Resistance Tables'!F82,NA())</f>
        <v>9597.2099176845786</v>
      </c>
      <c r="F94" s="566">
        <f t="shared" si="5"/>
        <v>1.3303063252236047</v>
      </c>
      <c r="G94" s="564">
        <f t="shared" si="6"/>
        <v>60.459130751774865</v>
      </c>
      <c r="H94" s="566">
        <f t="shared" si="0"/>
        <v>0.18624288553130466</v>
      </c>
      <c r="I94" s="302">
        <f t="shared" si="1"/>
        <v>-1.0000000000000036</v>
      </c>
      <c r="J94" s="302">
        <f t="shared" si="2"/>
        <v>1.0000000000000036</v>
      </c>
      <c r="K94" s="298">
        <f t="shared" si="7"/>
        <v>8.4642783052484294E-3</v>
      </c>
      <c r="L94" s="388"/>
      <c r="M94" s="571">
        <v>18</v>
      </c>
      <c r="N94" s="572">
        <v>12623.8</v>
      </c>
      <c r="O94" s="572">
        <v>13048.9</v>
      </c>
      <c r="P94" s="572">
        <v>13476.2</v>
      </c>
      <c r="Q94" s="569">
        <f t="shared" si="3"/>
        <v>1.6984194473488972</v>
      </c>
      <c r="R94" s="564">
        <f t="shared" si="10"/>
        <v>517.5</v>
      </c>
      <c r="S94" s="570">
        <f t="shared" si="4"/>
        <v>0.39047416579533084</v>
      </c>
      <c r="T94" s="302">
        <f t="shared" si="8"/>
        <v>-3.2577458636360181</v>
      </c>
      <c r="U94" s="302">
        <f t="shared" si="9"/>
        <v>3.2746055223045705</v>
      </c>
      <c r="V94" s="298">
        <f t="shared" si="11"/>
        <v>2.858170683672312E-2</v>
      </c>
      <c r="X94" s="13"/>
      <c r="Y94" s="13"/>
      <c r="Z94" s="13"/>
      <c r="AK94" s="21"/>
      <c r="AL94" s="21"/>
      <c r="AM94" s="21"/>
      <c r="AN94" s="21"/>
      <c r="AO94" s="79"/>
      <c r="AP94" s="21"/>
      <c r="AQ94" s="21"/>
      <c r="AR94" s="21"/>
    </row>
    <row r="95" spans="1:44" ht="15.6" x14ac:dyDescent="0.3">
      <c r="A95" s="562">
        <v>60</v>
      </c>
      <c r="B95" s="563">
        <v>19</v>
      </c>
      <c r="C95" s="564">
        <f>IFERROR('Device Resistance Tables'!C83,NA())</f>
        <v>9467.31515905376</v>
      </c>
      <c r="D95" s="565">
        <f>IFERROR('Device Resistance Tables'!D83,NA())</f>
        <v>9562.9446051048089</v>
      </c>
      <c r="E95" s="564">
        <f>IFERROR('Device Resistance Tables'!F83,NA())</f>
        <v>9658.5740511558579</v>
      </c>
      <c r="F95" s="566">
        <f t="shared" si="5"/>
        <v>1.3388122447146731</v>
      </c>
      <c r="G95" s="564">
        <f t="shared" si="6"/>
        <v>60.756567793345312</v>
      </c>
      <c r="H95" s="566">
        <f t="shared" si="0"/>
        <v>0.18743371426005423</v>
      </c>
      <c r="I95" s="302">
        <f t="shared" si="1"/>
        <v>-1.0000000000000089</v>
      </c>
      <c r="J95" s="302">
        <f t="shared" si="2"/>
        <v>1.0000000000000089</v>
      </c>
      <c r="K95" s="298">
        <f t="shared" si="7"/>
        <v>8.5059194910683811E-3</v>
      </c>
      <c r="L95" s="388"/>
      <c r="M95" s="571">
        <v>19</v>
      </c>
      <c r="N95" s="572">
        <v>12149.699999999999</v>
      </c>
      <c r="O95" s="572">
        <v>12554</v>
      </c>
      <c r="P95" s="572">
        <v>12960.1</v>
      </c>
      <c r="Q95" s="569">
        <f t="shared" si="3"/>
        <v>1.6698590050545359</v>
      </c>
      <c r="R95" s="564">
        <f t="shared" si="10"/>
        <v>494.89999999999964</v>
      </c>
      <c r="S95" s="570">
        <f t="shared" si="4"/>
        <v>0.39904229848363937</v>
      </c>
      <c r="T95" s="302">
        <f t="shared" si="8"/>
        <v>-3.220487494025817</v>
      </c>
      <c r="U95" s="302">
        <f t="shared" si="9"/>
        <v>3.2348255536084149</v>
      </c>
      <c r="V95" s="298">
        <f t="shared" si="11"/>
        <v>2.8560442294361277E-2</v>
      </c>
      <c r="X95" s="13"/>
      <c r="Y95" s="13"/>
      <c r="Z95" s="13"/>
      <c r="AK95" s="21"/>
      <c r="AL95" s="21"/>
      <c r="AM95" s="21"/>
      <c r="AN95" s="21"/>
      <c r="AO95" s="79"/>
      <c r="AP95" s="21"/>
      <c r="AQ95" s="21"/>
      <c r="AR95" s="21"/>
    </row>
    <row r="96" spans="1:44" ht="15.6" x14ac:dyDescent="0.3">
      <c r="A96" s="562">
        <v>61</v>
      </c>
      <c r="B96" s="563">
        <v>20</v>
      </c>
      <c r="C96" s="564">
        <f>IFERROR('Device Resistance Tables'!C84,NA())</f>
        <v>9527.7584494215389</v>
      </c>
      <c r="D96" s="565">
        <f>IFERROR('Device Resistance Tables'!D84,NA())</f>
        <v>9623.9984337591304</v>
      </c>
      <c r="E96" s="564">
        <f>IFERROR('Device Resistance Tables'!F84,NA())</f>
        <v>9720.2384180967219</v>
      </c>
      <c r="F96" s="566">
        <f t="shared" si="5"/>
        <v>1.347359780726278</v>
      </c>
      <c r="G96" s="564">
        <f t="shared" si="6"/>
        <v>61.053828654321478</v>
      </c>
      <c r="H96" s="566">
        <f t="shared" si="0"/>
        <v>0.18863036930167892</v>
      </c>
      <c r="I96" s="302">
        <f t="shared" si="1"/>
        <v>-1.0000000000000022</v>
      </c>
      <c r="J96" s="302">
        <f t="shared" si="2"/>
        <v>1.0000000000000022</v>
      </c>
      <c r="K96" s="298">
        <f t="shared" si="7"/>
        <v>8.5475360116049615E-3</v>
      </c>
      <c r="L96" s="388"/>
      <c r="M96" s="571">
        <v>20</v>
      </c>
      <c r="N96" s="572">
        <v>11696</v>
      </c>
      <c r="O96" s="572">
        <v>12080.5</v>
      </c>
      <c r="P96" s="572">
        <v>12466.5</v>
      </c>
      <c r="Q96" s="569">
        <f t="shared" si="3"/>
        <v>1.6413351146939605</v>
      </c>
      <c r="R96" s="564">
        <f t="shared" si="10"/>
        <v>473.5</v>
      </c>
      <c r="S96" s="570">
        <f t="shared" si="4"/>
        <v>0.40759946559181165</v>
      </c>
      <c r="T96" s="302">
        <f t="shared" si="8"/>
        <v>-3.1828152808244692</v>
      </c>
      <c r="U96" s="302">
        <f t="shared" si="9"/>
        <v>3.1952319854310662</v>
      </c>
      <c r="V96" s="298">
        <f t="shared" si="11"/>
        <v>2.8523890360575344E-2</v>
      </c>
      <c r="X96" s="13"/>
      <c r="Y96" s="13"/>
      <c r="Z96" s="13"/>
      <c r="AK96" s="21"/>
      <c r="AL96" s="21"/>
      <c r="AM96" s="21"/>
      <c r="AN96" s="21"/>
      <c r="AO96" s="79"/>
      <c r="AP96" s="21"/>
      <c r="AQ96" s="21"/>
      <c r="AR96" s="21"/>
    </row>
    <row r="97" spans="1:44" ht="15.6" x14ac:dyDescent="0.3">
      <c r="A97" s="562">
        <v>62</v>
      </c>
      <c r="B97" s="563">
        <v>21</v>
      </c>
      <c r="C97" s="564">
        <f>IFERROR('Device Resistance Tables'!C85,NA())</f>
        <v>9588.4958964418183</v>
      </c>
      <c r="D97" s="565">
        <f>IFERROR('Device Resistance Tables'!D85,NA())</f>
        <v>9685.3493903452709</v>
      </c>
      <c r="E97" s="564">
        <f>IFERROR('Device Resistance Tables'!F85,NA())</f>
        <v>9782.2028842487234</v>
      </c>
      <c r="F97" s="566">
        <f t="shared" si="5"/>
        <v>1.3559489146483379</v>
      </c>
      <c r="G97" s="564">
        <f t="shared" si="6"/>
        <v>61.350956586140455</v>
      </c>
      <c r="H97" s="566">
        <f t="shared" si="0"/>
        <v>0.18983284805076728</v>
      </c>
      <c r="I97" s="302">
        <f t="shared" si="1"/>
        <v>-0.99999999999999833</v>
      </c>
      <c r="J97" s="302">
        <f t="shared" si="2"/>
        <v>0.99999999999999833</v>
      </c>
      <c r="K97" s="298">
        <f t="shared" si="7"/>
        <v>8.5891339220598439E-3</v>
      </c>
      <c r="L97" s="388"/>
      <c r="M97" s="571">
        <v>21</v>
      </c>
      <c r="N97" s="572">
        <v>11262.3</v>
      </c>
      <c r="O97" s="572">
        <v>11628.1</v>
      </c>
      <c r="P97" s="572">
        <v>11995.1</v>
      </c>
      <c r="Q97" s="569">
        <f t="shared" si="3"/>
        <v>1.6129156051618037</v>
      </c>
      <c r="R97" s="564">
        <f t="shared" si="10"/>
        <v>452.39999999999964</v>
      </c>
      <c r="S97" s="570">
        <f t="shared" si="4"/>
        <v>0.41612531845145906</v>
      </c>
      <c r="T97" s="302">
        <f t="shared" si="8"/>
        <v>-3.1458277792588736</v>
      </c>
      <c r="U97" s="302">
        <f t="shared" si="9"/>
        <v>3.1561476079497082</v>
      </c>
      <c r="V97" s="298">
        <f t="shared" si="11"/>
        <v>2.8419509532156884E-2</v>
      </c>
      <c r="X97" s="13"/>
      <c r="Y97" s="13"/>
      <c r="Z97" s="13"/>
      <c r="AK97" s="21"/>
      <c r="AL97" s="21"/>
      <c r="AM97" s="21"/>
      <c r="AN97" s="21"/>
      <c r="AO97" s="79"/>
      <c r="AP97" s="21"/>
      <c r="AQ97" s="21"/>
      <c r="AR97" s="21"/>
    </row>
    <row r="98" spans="1:44" ht="15.6" x14ac:dyDescent="0.3">
      <c r="A98" s="562">
        <v>63</v>
      </c>
      <c r="B98" s="563">
        <v>22</v>
      </c>
      <c r="C98" s="564">
        <f>IFERROR('Device Resistance Tables'!C86,NA())</f>
        <v>9649.5274113336545</v>
      </c>
      <c r="D98" s="565">
        <f>IFERROR('Device Resistance Tables'!D86,NA())</f>
        <v>9746.9973851855102</v>
      </c>
      <c r="E98" s="564">
        <f>IFERROR('Device Resistance Tables'!F86,NA())</f>
        <v>9844.4673590373659</v>
      </c>
      <c r="F98" s="566">
        <f t="shared" si="5"/>
        <v>1.3645796339259713</v>
      </c>
      <c r="G98" s="564">
        <f t="shared" si="6"/>
        <v>61.647994840239335</v>
      </c>
      <c r="H98" s="566">
        <f t="shared" si="0"/>
        <v>0.19104114874963596</v>
      </c>
      <c r="I98" s="302">
        <f t="shared" si="1"/>
        <v>-1.000000000000006</v>
      </c>
      <c r="J98" s="302">
        <f t="shared" si="2"/>
        <v>1.000000000000006</v>
      </c>
      <c r="K98" s="298">
        <f t="shared" si="7"/>
        <v>8.6307192776333697E-3</v>
      </c>
      <c r="L98" s="388"/>
      <c r="M98" s="571">
        <v>22</v>
      </c>
      <c r="N98" s="572">
        <v>10846.7</v>
      </c>
      <c r="O98" s="572">
        <v>11194.699999999999</v>
      </c>
      <c r="P98" s="572">
        <v>11543.6</v>
      </c>
      <c r="Q98" s="569">
        <f t="shared" si="3"/>
        <v>1.5845517983269402</v>
      </c>
      <c r="R98" s="564">
        <f t="shared" si="10"/>
        <v>433.40000000000146</v>
      </c>
      <c r="S98" s="570">
        <f t="shared" si="4"/>
        <v>0.424634460501918</v>
      </c>
      <c r="T98" s="302">
        <f t="shared" si="8"/>
        <v>-3.1086138976479782</v>
      </c>
      <c r="U98" s="302">
        <f t="shared" si="9"/>
        <v>3.1166534163488211</v>
      </c>
      <c r="V98" s="298">
        <f t="shared" si="11"/>
        <v>2.8363806834863503E-2</v>
      </c>
      <c r="X98" s="13"/>
      <c r="Y98" s="13"/>
      <c r="Z98" s="13"/>
      <c r="AK98" s="21"/>
      <c r="AL98" s="21"/>
      <c r="AM98" s="21"/>
      <c r="AN98" s="21"/>
      <c r="AO98" s="79"/>
      <c r="AP98" s="21"/>
      <c r="AQ98" s="21"/>
      <c r="AR98" s="21"/>
    </row>
    <row r="99" spans="1:44" ht="15.6" x14ac:dyDescent="0.3">
      <c r="A99" s="562">
        <v>64</v>
      </c>
      <c r="B99" s="563">
        <v>23</v>
      </c>
      <c r="C99" s="564">
        <f>IFERROR('Device Resistance Tables'!C87,NA())</f>
        <v>9710.8529481350433</v>
      </c>
      <c r="D99" s="565">
        <f>IFERROR('Device Resistance Tables'!D87,NA())</f>
        <v>9808.94237185358</v>
      </c>
      <c r="E99" s="564">
        <f>IFERROR('Device Resistance Tables'!F87,NA())</f>
        <v>9907.0317955721166</v>
      </c>
      <c r="F99" s="566">
        <f t="shared" si="5"/>
        <v>1.3732519320595011</v>
      </c>
      <c r="G99" s="564">
        <f t="shared" si="6"/>
        <v>61.94498666806976</v>
      </c>
      <c r="H99" s="566">
        <f t="shared" si="0"/>
        <v>0.19225527048833016</v>
      </c>
      <c r="I99" s="302">
        <f t="shared" si="1"/>
        <v>-1.0000000000000084</v>
      </c>
      <c r="J99" s="302">
        <f t="shared" si="2"/>
        <v>1.0000000000000084</v>
      </c>
      <c r="K99" s="298">
        <f t="shared" si="7"/>
        <v>8.6722981335298766E-3</v>
      </c>
      <c r="L99" s="388"/>
      <c r="M99" s="571">
        <v>23</v>
      </c>
      <c r="N99" s="572">
        <v>10448.299999999999</v>
      </c>
      <c r="O99" s="572">
        <v>10779.5</v>
      </c>
      <c r="P99" s="572">
        <v>11111.2</v>
      </c>
      <c r="Q99" s="569">
        <f t="shared" si="3"/>
        <v>1.5562694001299358</v>
      </c>
      <c r="R99" s="564">
        <f t="shared" si="10"/>
        <v>415.19999999999891</v>
      </c>
      <c r="S99" s="570">
        <f t="shared" si="4"/>
        <v>0.43311917996101928</v>
      </c>
      <c r="T99" s="302">
        <f t="shared" si="8"/>
        <v>-3.072498724430639</v>
      </c>
      <c r="U99" s="302">
        <f t="shared" si="9"/>
        <v>3.0771371584952987</v>
      </c>
      <c r="V99" s="298">
        <f t="shared" si="11"/>
        <v>2.8282398197004399E-2</v>
      </c>
      <c r="X99" s="13"/>
      <c r="Y99" s="13"/>
      <c r="Z99" s="13"/>
      <c r="AK99" s="21"/>
      <c r="AL99" s="21"/>
      <c r="AM99" s="21"/>
      <c r="AN99" s="21"/>
      <c r="AO99" s="79"/>
      <c r="AP99" s="21"/>
      <c r="AQ99" s="21"/>
      <c r="AR99" s="21"/>
    </row>
    <row r="100" spans="1:44" ht="15.6" x14ac:dyDescent="0.3">
      <c r="A100" s="562">
        <v>65</v>
      </c>
      <c r="B100" s="563">
        <v>24</v>
      </c>
      <c r="C100" s="564">
        <f>IFERROR('Device Resistance Tables'!C88,NA())</f>
        <v>9772.4725037028984</v>
      </c>
      <c r="D100" s="565">
        <f>IFERROR('Device Resistance Tables'!D88,NA())</f>
        <v>9871.1843471746452</v>
      </c>
      <c r="E100" s="564">
        <f>IFERROR('Device Resistance Tables'!F88,NA())</f>
        <v>9969.8961906463919</v>
      </c>
      <c r="F100" s="566">
        <f t="shared" si="5"/>
        <v>1.3819658086044502</v>
      </c>
      <c r="G100" s="564">
        <f t="shared" si="6"/>
        <v>62.241975321065183</v>
      </c>
      <c r="H100" s="566">
        <f t="shared" ref="H100:H163" si="12">IFERROR(($B$19/1000000)^2*(D100)*1000,NA())</f>
        <v>0.19347521320462302</v>
      </c>
      <c r="I100" s="302">
        <f t="shared" ref="I100:I163" si="13">IFERROR(((D100-C100)/D100)*-100,NA())</f>
        <v>-1.0000000000000031</v>
      </c>
      <c r="J100" s="302">
        <f t="shared" ref="J100:J163" si="14">IFERROR(((E100-D100)/D100)*100,NA())</f>
        <v>1.0000000000000031</v>
      </c>
      <c r="K100" s="298">
        <f t="shared" si="7"/>
        <v>8.7138765449490396E-3</v>
      </c>
      <c r="L100" s="388"/>
      <c r="M100" s="571">
        <v>24</v>
      </c>
      <c r="N100" s="572">
        <v>10066.299999999999</v>
      </c>
      <c r="O100" s="572">
        <v>10381.5</v>
      </c>
      <c r="P100" s="572">
        <v>10697</v>
      </c>
      <c r="Q100" s="569">
        <f t="shared" ref="Q100:Q163" si="15">IFERROR((($B$26/(O100+$M$26))*O100),NA())</f>
        <v>1.5280769325123273</v>
      </c>
      <c r="R100" s="564">
        <f t="shared" si="10"/>
        <v>398</v>
      </c>
      <c r="S100" s="570">
        <f t="shared" ref="S100:S163" si="16">IFERROR((($B$26/(O100+$M$26))^2*($M$26+O100))*1000,NA())</f>
        <v>0.4415769202463018</v>
      </c>
      <c r="T100" s="302">
        <f t="shared" si="8"/>
        <v>-3.0361701102923537</v>
      </c>
      <c r="U100" s="302">
        <f t="shared" si="9"/>
        <v>3.0390598661079808</v>
      </c>
      <c r="V100" s="298">
        <f t="shared" si="11"/>
        <v>2.8192467617608408E-2</v>
      </c>
      <c r="X100" s="13"/>
      <c r="Y100" s="13"/>
      <c r="Z100" s="13"/>
      <c r="AK100" s="21"/>
      <c r="AL100" s="21"/>
      <c r="AM100" s="21"/>
      <c r="AN100" s="21"/>
      <c r="AO100" s="79"/>
      <c r="AP100" s="21"/>
      <c r="AQ100" s="21"/>
      <c r="AR100" s="21"/>
    </row>
    <row r="101" spans="1:44" ht="15.6" x14ac:dyDescent="0.3">
      <c r="A101" s="562">
        <v>66</v>
      </c>
      <c r="B101" s="573">
        <v>25</v>
      </c>
      <c r="C101" s="564">
        <f>IFERROR('Device Resistance Tables'!C89,NA())</f>
        <v>9834.3861177130639</v>
      </c>
      <c r="D101" s="565">
        <f>IFERROR('Device Resistance Tables'!D89,NA())</f>
        <v>9933.7233512253169</v>
      </c>
      <c r="E101" s="564">
        <f>IFERROR('Device Resistance Tables'!F89,NA())</f>
        <v>10033.06058473757</v>
      </c>
      <c r="F101" s="566">
        <f t="shared" ref="F101:F164" si="17">IFERROR(D101*(($B$19/1000000)),NA())</f>
        <v>1.3907212691715443</v>
      </c>
      <c r="G101" s="564">
        <f t="shared" ref="G101:G164" si="18">IFERROR(D101-D100,NA())</f>
        <v>62.539004050671792</v>
      </c>
      <c r="H101" s="566">
        <f t="shared" si="12"/>
        <v>0.19470097768401617</v>
      </c>
      <c r="I101" s="302">
        <f t="shared" si="13"/>
        <v>-0.99999999999999911</v>
      </c>
      <c r="J101" s="302">
        <f t="shared" si="14"/>
        <v>0.99999999999999911</v>
      </c>
      <c r="K101" s="298">
        <f t="shared" ref="K101:K164" si="19">IFERROR(F101-F100,NA())</f>
        <v>8.7554605670940866E-3</v>
      </c>
      <c r="L101" s="388"/>
      <c r="M101" s="574">
        <v>25</v>
      </c>
      <c r="N101" s="572">
        <v>9700</v>
      </c>
      <c r="O101" s="572">
        <v>10000</v>
      </c>
      <c r="P101" s="572">
        <v>10300</v>
      </c>
      <c r="Q101" s="569">
        <f t="shared" si="15"/>
        <v>1.4999999999999998</v>
      </c>
      <c r="R101" s="564">
        <f t="shared" si="10"/>
        <v>381.5</v>
      </c>
      <c r="S101" s="570">
        <f t="shared" si="16"/>
        <v>0.44999999999999996</v>
      </c>
      <c r="T101" s="302">
        <f t="shared" ref="T101:T164" si="20">IFERROR(((O101-N101)/O101)*-100,NA())</f>
        <v>-3</v>
      </c>
      <c r="U101" s="302">
        <f t="shared" ref="U101:U164" si="21">IFERROR(((P101-O101)/O101)*100,NA())</f>
        <v>3</v>
      </c>
      <c r="V101" s="298">
        <f t="shared" si="11"/>
        <v>2.8076932512327568E-2</v>
      </c>
      <c r="X101" s="13"/>
      <c r="Y101" s="13"/>
      <c r="Z101" s="13"/>
      <c r="AK101" s="21"/>
      <c r="AL101" s="21"/>
      <c r="AM101" s="21"/>
      <c r="AN101" s="21"/>
      <c r="AO101" s="79"/>
      <c r="AP101" s="21"/>
      <c r="AQ101" s="21"/>
      <c r="AR101" s="21"/>
    </row>
    <row r="102" spans="1:44" ht="15.6" x14ac:dyDescent="0.3">
      <c r="A102" s="562">
        <v>67</v>
      </c>
      <c r="B102" s="563">
        <v>26</v>
      </c>
      <c r="C102" s="564">
        <f>IFERROR('Device Resistance Tables'!C90,NA())</f>
        <v>9896.593872660309</v>
      </c>
      <c r="D102" s="565">
        <f>IFERROR('Device Resistance Tables'!D90,NA())</f>
        <v>9996.5594673336454</v>
      </c>
      <c r="E102" s="564">
        <f>IFERROR('Device Resistance Tables'!F90,NA())</f>
        <v>10096.525062006982</v>
      </c>
      <c r="F102" s="566">
        <f t="shared" si="17"/>
        <v>1.3995183254267103</v>
      </c>
      <c r="G102" s="564">
        <f t="shared" si="18"/>
        <v>62.836116108328497</v>
      </c>
      <c r="H102" s="566">
        <f t="shared" si="12"/>
        <v>0.19593256555973942</v>
      </c>
      <c r="I102" s="302">
        <f t="shared" si="13"/>
        <v>-1</v>
      </c>
      <c r="J102" s="302">
        <f t="shared" si="14"/>
        <v>1</v>
      </c>
      <c r="K102" s="298">
        <f t="shared" si="19"/>
        <v>8.7970562551660247E-3</v>
      </c>
      <c r="L102" s="388"/>
      <c r="M102" s="571">
        <v>26</v>
      </c>
      <c r="N102" s="572">
        <v>9341.6999999999989</v>
      </c>
      <c r="O102" s="572">
        <v>9634.2000000000007</v>
      </c>
      <c r="P102" s="572">
        <v>9927</v>
      </c>
      <c r="Q102" s="569">
        <f t="shared" si="15"/>
        <v>1.4720538651944057</v>
      </c>
      <c r="R102" s="564">
        <f t="shared" ref="R102:R165" si="22">IFERROR(O101-O102,NA())</f>
        <v>365.79999999999927</v>
      </c>
      <c r="S102" s="570">
        <f t="shared" si="16"/>
        <v>0.45838384044167824</v>
      </c>
      <c r="T102" s="302">
        <f t="shared" si="20"/>
        <v>-3.0360590396711902</v>
      </c>
      <c r="U102" s="302">
        <f t="shared" si="21"/>
        <v>3.0391729463785189</v>
      </c>
      <c r="V102" s="298">
        <f t="shared" ref="V102:V165" si="23">IFERROR(Q101-Q102,NA())</f>
        <v>2.7946134805594047E-2</v>
      </c>
      <c r="X102" s="13"/>
      <c r="Y102" s="13"/>
      <c r="Z102" s="13"/>
      <c r="AK102" s="21"/>
      <c r="AL102" s="21"/>
      <c r="AM102" s="21"/>
      <c r="AN102" s="21"/>
      <c r="AO102" s="79"/>
      <c r="AP102" s="21"/>
      <c r="AQ102" s="21"/>
      <c r="AR102" s="21"/>
    </row>
    <row r="103" spans="1:44" ht="15.6" x14ac:dyDescent="0.3">
      <c r="A103" s="562">
        <v>68</v>
      </c>
      <c r="B103" s="563">
        <v>27</v>
      </c>
      <c r="C103" s="564">
        <f>IFERROR('Device Resistance Tables'!C91,NA())</f>
        <v>9959.0958938583317</v>
      </c>
      <c r="D103" s="565">
        <f>IFERROR('Device Resistance Tables'!D91,NA())</f>
        <v>10059.692822079123</v>
      </c>
      <c r="E103" s="564">
        <f>IFERROR('Device Resistance Tables'!F91,NA())</f>
        <v>10160.289750299915</v>
      </c>
      <c r="F103" s="566">
        <f t="shared" si="17"/>
        <v>1.408356995091077</v>
      </c>
      <c r="G103" s="564">
        <f t="shared" si="18"/>
        <v>63.133354745477845</v>
      </c>
      <c r="H103" s="566">
        <f t="shared" si="12"/>
        <v>0.19716997931275079</v>
      </c>
      <c r="I103" s="302">
        <f t="shared" si="13"/>
        <v>-1.0000000000000036</v>
      </c>
      <c r="J103" s="302">
        <f t="shared" si="14"/>
        <v>1.0000000000000036</v>
      </c>
      <c r="K103" s="298">
        <f t="shared" si="19"/>
        <v>8.8386696643667495E-3</v>
      </c>
      <c r="L103" s="388"/>
      <c r="M103" s="571">
        <v>27</v>
      </c>
      <c r="N103" s="572">
        <v>8998.3000000000011</v>
      </c>
      <c r="O103" s="572">
        <v>9283.5</v>
      </c>
      <c r="P103" s="572">
        <v>9569.1</v>
      </c>
      <c r="Q103" s="569">
        <f t="shared" si="15"/>
        <v>1.4442658231130241</v>
      </c>
      <c r="R103" s="564">
        <f t="shared" si="22"/>
        <v>350.70000000000073</v>
      </c>
      <c r="S103" s="570">
        <f t="shared" si="16"/>
        <v>0.46672025306609277</v>
      </c>
      <c r="T103" s="302">
        <f t="shared" si="20"/>
        <v>-3.0721171971777768</v>
      </c>
      <c r="U103" s="302">
        <f t="shared" si="21"/>
        <v>3.0764259169494301</v>
      </c>
      <c r="V103" s="298">
        <f t="shared" si="23"/>
        <v>2.7788042081381636E-2</v>
      </c>
      <c r="X103" s="13"/>
      <c r="Y103" s="13"/>
      <c r="Z103" s="13"/>
      <c r="AK103" s="21"/>
      <c r="AL103" s="21"/>
      <c r="AM103" s="21"/>
      <c r="AN103" s="21"/>
      <c r="AO103" s="79"/>
      <c r="AP103" s="21"/>
      <c r="AQ103" s="21"/>
      <c r="AR103" s="21"/>
    </row>
    <row r="104" spans="1:44" ht="15.6" x14ac:dyDescent="0.3">
      <c r="A104" s="562">
        <v>69</v>
      </c>
      <c r="B104" s="563">
        <v>28</v>
      </c>
      <c r="C104" s="564">
        <f>IFERROR('Device Resistance Tables'!C92,NA())</f>
        <v>10021.892349439751</v>
      </c>
      <c r="D104" s="565">
        <f>IFERROR('Device Resistance Tables'!D92,NA())</f>
        <v>10123.123585292678</v>
      </c>
      <c r="E104" s="564">
        <f>IFERROR('Device Resistance Tables'!F92,NA())</f>
        <v>10224.354821145605</v>
      </c>
      <c r="F104" s="566">
        <f t="shared" si="17"/>
        <v>1.4172373019409747</v>
      </c>
      <c r="G104" s="564">
        <f t="shared" si="18"/>
        <v>63.43076321355511</v>
      </c>
      <c r="H104" s="566">
        <f t="shared" si="12"/>
        <v>0.19841322227173647</v>
      </c>
      <c r="I104" s="302">
        <f t="shared" si="13"/>
        <v>-1.0000000000000027</v>
      </c>
      <c r="J104" s="302">
        <f t="shared" si="14"/>
        <v>1.0000000000000027</v>
      </c>
      <c r="K104" s="298">
        <f t="shared" si="19"/>
        <v>8.8803068498977122E-3</v>
      </c>
      <c r="L104" s="388"/>
      <c r="M104" s="571">
        <v>28</v>
      </c>
      <c r="N104" s="572">
        <v>8669</v>
      </c>
      <c r="O104" s="572">
        <v>8947</v>
      </c>
      <c r="P104" s="572">
        <v>9225.6999999999989</v>
      </c>
      <c r="Q104" s="569">
        <f t="shared" si="15"/>
        <v>1.416635879030981</v>
      </c>
      <c r="R104" s="564">
        <f t="shared" si="22"/>
        <v>336.5</v>
      </c>
      <c r="S104" s="570">
        <f t="shared" si="16"/>
        <v>0.47500923629070557</v>
      </c>
      <c r="T104" s="302">
        <f t="shared" si="20"/>
        <v>-3.107186766513915</v>
      </c>
      <c r="U104" s="302">
        <f t="shared" si="21"/>
        <v>3.1150106180842618</v>
      </c>
      <c r="V104" s="298">
        <f t="shared" si="23"/>
        <v>2.7629944082043112E-2</v>
      </c>
      <c r="X104" s="13"/>
      <c r="Y104" s="13"/>
      <c r="Z104" s="13"/>
      <c r="AK104" s="21"/>
      <c r="AL104" s="21"/>
      <c r="AM104" s="21"/>
      <c r="AN104" s="21"/>
      <c r="AO104" s="79"/>
      <c r="AP104" s="21"/>
      <c r="AQ104" s="21"/>
      <c r="AR104" s="21"/>
    </row>
    <row r="105" spans="1:44" ht="15.6" x14ac:dyDescent="0.3">
      <c r="A105" s="562">
        <v>70</v>
      </c>
      <c r="B105" s="563">
        <v>29</v>
      </c>
      <c r="C105" s="564">
        <f>IFERROR('Device Resistance Tables'!C93,NA())</f>
        <v>10084.983450356121</v>
      </c>
      <c r="D105" s="565">
        <f>IFERROR('Device Resistance Tables'!D93,NA())</f>
        <v>10186.851970056689</v>
      </c>
      <c r="E105" s="564">
        <f>IFERROR('Device Resistance Tables'!F93,NA())</f>
        <v>10288.720489757256</v>
      </c>
      <c r="F105" s="566">
        <f t="shared" si="17"/>
        <v>1.4261592758079362</v>
      </c>
      <c r="G105" s="564">
        <f t="shared" si="18"/>
        <v>63.728384764010116</v>
      </c>
      <c r="H105" s="566">
        <f t="shared" si="12"/>
        <v>0.19966229861311108</v>
      </c>
      <c r="I105" s="302">
        <f t="shared" si="13"/>
        <v>-1.0000000000000016</v>
      </c>
      <c r="J105" s="302">
        <f t="shared" si="14"/>
        <v>1.0000000000000016</v>
      </c>
      <c r="K105" s="298">
        <f t="shared" si="19"/>
        <v>8.9219738669614745E-3</v>
      </c>
      <c r="L105" s="388"/>
      <c r="M105" s="571">
        <v>29</v>
      </c>
      <c r="N105" s="572">
        <v>8353.1</v>
      </c>
      <c r="O105" s="572">
        <v>8624.2000000000007</v>
      </c>
      <c r="P105" s="572">
        <v>8896.1</v>
      </c>
      <c r="Q105" s="569">
        <f t="shared" si="15"/>
        <v>1.3891925559218652</v>
      </c>
      <c r="R105" s="564">
        <f t="shared" si="22"/>
        <v>322.79999999999927</v>
      </c>
      <c r="S105" s="570">
        <f t="shared" si="16"/>
        <v>0.48324223322344051</v>
      </c>
      <c r="T105" s="302">
        <f t="shared" si="20"/>
        <v>-3.1434799749542024</v>
      </c>
      <c r="U105" s="302">
        <f t="shared" si="21"/>
        <v>3.1527561976763021</v>
      </c>
      <c r="V105" s="298">
        <f t="shared" si="23"/>
        <v>2.7443323109115791E-2</v>
      </c>
      <c r="X105" s="13"/>
      <c r="Y105" s="13"/>
      <c r="Z105" s="13"/>
      <c r="AK105" s="21"/>
      <c r="AL105" s="21"/>
      <c r="AM105" s="21"/>
      <c r="AN105" s="21"/>
      <c r="AO105" s="79"/>
      <c r="AP105" s="21"/>
      <c r="AQ105" s="21"/>
      <c r="AR105" s="21"/>
    </row>
    <row r="106" spans="1:44" ht="15.6" x14ac:dyDescent="0.3">
      <c r="A106" s="562">
        <v>71</v>
      </c>
      <c r="B106" s="563">
        <v>30</v>
      </c>
      <c r="C106" s="564">
        <f>IFERROR('Device Resistance Tables'!C94,NA())</f>
        <v>10148.369450377919</v>
      </c>
      <c r="D106" s="565">
        <f>IFERROR('Device Resistance Tables'!D94,NA())</f>
        <v>10250.878232704968</v>
      </c>
      <c r="E106" s="564">
        <f>IFERROR('Device Resistance Tables'!F94,NA())</f>
        <v>10353.387015032018</v>
      </c>
      <c r="F106" s="566">
        <f t="shared" si="17"/>
        <v>1.4351229525786955</v>
      </c>
      <c r="G106" s="564">
        <f t="shared" si="18"/>
        <v>64.026262648279953</v>
      </c>
      <c r="H106" s="566">
        <f t="shared" si="12"/>
        <v>0.20091721336101737</v>
      </c>
      <c r="I106" s="302">
        <f t="shared" si="13"/>
        <v>-0.99999999999999956</v>
      </c>
      <c r="J106" s="302">
        <f t="shared" si="14"/>
        <v>0.99999999999999956</v>
      </c>
      <c r="K106" s="298">
        <f t="shared" si="19"/>
        <v>8.9636767707592657E-3</v>
      </c>
      <c r="L106" s="388"/>
      <c r="M106" s="571">
        <v>30</v>
      </c>
      <c r="N106" s="572">
        <v>8050.2</v>
      </c>
      <c r="O106" s="572">
        <v>8314.5</v>
      </c>
      <c r="P106" s="572">
        <v>8579.8000000000011</v>
      </c>
      <c r="Q106" s="569">
        <f t="shared" si="15"/>
        <v>1.361953643288105</v>
      </c>
      <c r="R106" s="564">
        <f t="shared" si="22"/>
        <v>309.70000000000073</v>
      </c>
      <c r="S106" s="570">
        <f t="shared" si="16"/>
        <v>0.49141390701356852</v>
      </c>
      <c r="T106" s="302">
        <f t="shared" si="20"/>
        <v>-3.1787840519574257</v>
      </c>
      <c r="U106" s="302">
        <f t="shared" si="21"/>
        <v>3.1908112333874685</v>
      </c>
      <c r="V106" s="298">
        <f t="shared" si="23"/>
        <v>2.7238912633760215E-2</v>
      </c>
      <c r="X106" s="13"/>
      <c r="Y106" s="13"/>
      <c r="Z106" s="13"/>
      <c r="AK106" s="21"/>
      <c r="AL106" s="21"/>
      <c r="AM106" s="21"/>
      <c r="AN106" s="21"/>
      <c r="AO106" s="79"/>
      <c r="AP106" s="21"/>
      <c r="AQ106" s="21"/>
      <c r="AR106" s="21"/>
    </row>
    <row r="107" spans="1:44" ht="15.6" x14ac:dyDescent="0.3">
      <c r="A107" s="562">
        <v>72</v>
      </c>
      <c r="B107" s="563">
        <v>31</v>
      </c>
      <c r="C107" s="564">
        <f>IFERROR('Device Resistance Tables'!C95,NA())</f>
        <v>10212.050646094551</v>
      </c>
      <c r="D107" s="565">
        <f>IFERROR('Device Resistance Tables'!D95,NA())</f>
        <v>10315.202672822779</v>
      </c>
      <c r="E107" s="564">
        <f>IFERROR('Device Resistance Tables'!F95,NA())</f>
        <v>10418.354699551008</v>
      </c>
      <c r="F107" s="566">
        <f t="shared" si="17"/>
        <v>1.4441283741951889</v>
      </c>
      <c r="G107" s="564">
        <f t="shared" si="18"/>
        <v>64.324440117810809</v>
      </c>
      <c r="H107" s="566">
        <f t="shared" si="12"/>
        <v>0.20217797238732646</v>
      </c>
      <c r="I107" s="302">
        <f t="shared" si="13"/>
        <v>-1.0000000000000071</v>
      </c>
      <c r="J107" s="302">
        <f t="shared" si="14"/>
        <v>1.0000000000000071</v>
      </c>
      <c r="K107" s="298">
        <f t="shared" si="19"/>
        <v>9.0054216164934253E-3</v>
      </c>
      <c r="L107" s="388"/>
      <c r="M107" s="571">
        <v>31</v>
      </c>
      <c r="N107" s="572">
        <v>7760.4</v>
      </c>
      <c r="O107" s="572">
        <v>8018.1</v>
      </c>
      <c r="P107" s="572">
        <v>8276.9</v>
      </c>
      <c r="Q107" s="569">
        <f t="shared" si="15"/>
        <v>1.3350075757155306</v>
      </c>
      <c r="R107" s="564">
        <f t="shared" si="22"/>
        <v>296.39999999999964</v>
      </c>
      <c r="S107" s="570">
        <f t="shared" si="16"/>
        <v>0.49949772728534092</v>
      </c>
      <c r="T107" s="302">
        <f t="shared" si="20"/>
        <v>-3.2139783739289949</v>
      </c>
      <c r="U107" s="302">
        <f t="shared" si="21"/>
        <v>3.2276973347800513</v>
      </c>
      <c r="V107" s="298">
        <f t="shared" si="23"/>
        <v>2.6946067572574339E-2</v>
      </c>
      <c r="X107" s="13"/>
      <c r="Y107" s="13"/>
      <c r="Z107" s="13"/>
      <c r="AK107" s="21"/>
      <c r="AL107" s="21"/>
      <c r="AM107" s="21"/>
      <c r="AN107" s="21"/>
      <c r="AO107" s="79"/>
      <c r="AP107" s="21"/>
      <c r="AQ107" s="21"/>
      <c r="AR107" s="21"/>
    </row>
    <row r="108" spans="1:44" ht="15.6" x14ac:dyDescent="0.3">
      <c r="A108" s="562">
        <v>73</v>
      </c>
      <c r="B108" s="563">
        <v>32</v>
      </c>
      <c r="C108" s="564">
        <f>IFERROR('Device Resistance Tables'!C96,NA())</f>
        <v>10276.027376914342</v>
      </c>
      <c r="D108" s="565">
        <f>IFERROR('Device Resistance Tables'!D96,NA())</f>
        <v>10379.82563324681</v>
      </c>
      <c r="E108" s="564">
        <f>IFERROR('Device Resistance Tables'!F96,NA())</f>
        <v>10483.623889579278</v>
      </c>
      <c r="F108" s="566">
        <f t="shared" si="17"/>
        <v>1.4531755886545532</v>
      </c>
      <c r="G108" s="564">
        <f t="shared" si="18"/>
        <v>64.62296042403068</v>
      </c>
      <c r="H108" s="566">
        <f t="shared" si="12"/>
        <v>0.20344458241163743</v>
      </c>
      <c r="I108" s="302">
        <f t="shared" si="13"/>
        <v>-0.99999999999999567</v>
      </c>
      <c r="J108" s="302">
        <f t="shared" si="14"/>
        <v>0.99999999999999567</v>
      </c>
      <c r="K108" s="298">
        <f t="shared" si="19"/>
        <v>9.0472144593642945E-3</v>
      </c>
      <c r="L108" s="388"/>
      <c r="M108" s="571">
        <v>32</v>
      </c>
      <c r="N108" s="572">
        <v>7482.5</v>
      </c>
      <c r="O108" s="572">
        <v>7733.7</v>
      </c>
      <c r="P108" s="572">
        <v>7986.2</v>
      </c>
      <c r="Q108" s="569">
        <f t="shared" si="15"/>
        <v>1.3083056553341941</v>
      </c>
      <c r="R108" s="564">
        <f t="shared" si="22"/>
        <v>284.40000000000055</v>
      </c>
      <c r="S108" s="570">
        <f t="shared" si="16"/>
        <v>0.50750830339974173</v>
      </c>
      <c r="T108" s="302">
        <f t="shared" si="20"/>
        <v>-3.2481218562912946</v>
      </c>
      <c r="U108" s="302">
        <f t="shared" si="21"/>
        <v>3.2649314041144599</v>
      </c>
      <c r="V108" s="298">
        <f t="shared" si="23"/>
        <v>2.6701920381336564E-2</v>
      </c>
      <c r="X108" s="13"/>
      <c r="Y108" s="13"/>
      <c r="Z108" s="13"/>
      <c r="AK108" s="21"/>
      <c r="AL108" s="21"/>
      <c r="AM108" s="21"/>
      <c r="AN108" s="21"/>
      <c r="AO108" s="79"/>
      <c r="AP108" s="21"/>
      <c r="AQ108" s="21"/>
      <c r="AR108" s="21"/>
    </row>
    <row r="109" spans="1:44" ht="15.6" x14ac:dyDescent="0.3">
      <c r="A109" s="562">
        <v>74</v>
      </c>
      <c r="B109" s="563">
        <v>33</v>
      </c>
      <c r="C109" s="564">
        <f>IFERROR('Device Resistance Tables'!C97,NA())</f>
        <v>10340.300025064555</v>
      </c>
      <c r="D109" s="565">
        <f>IFERROR('Device Resistance Tables'!D97,NA())</f>
        <v>10444.747500065207</v>
      </c>
      <c r="E109" s="564">
        <f>IFERROR('Device Resistance Tables'!F97,NA())</f>
        <v>10549.194975065859</v>
      </c>
      <c r="F109" s="566">
        <f t="shared" si="17"/>
        <v>1.4622646500091288</v>
      </c>
      <c r="G109" s="564">
        <f t="shared" si="18"/>
        <v>64.921866818396666</v>
      </c>
      <c r="H109" s="566">
        <f t="shared" si="12"/>
        <v>0.20471705100127802</v>
      </c>
      <c r="I109" s="302">
        <f t="shared" si="13"/>
        <v>-0.99999999999999989</v>
      </c>
      <c r="J109" s="302">
        <f t="shared" si="14"/>
        <v>0.99999999999999989</v>
      </c>
      <c r="K109" s="298">
        <f t="shared" si="19"/>
        <v>9.089061354575545E-3</v>
      </c>
      <c r="L109" s="388"/>
      <c r="M109" s="571">
        <v>33</v>
      </c>
      <c r="N109" s="572">
        <v>7215.9000000000005</v>
      </c>
      <c r="O109" s="572">
        <v>7460.9</v>
      </c>
      <c r="P109" s="572">
        <v>7707.3</v>
      </c>
      <c r="Q109" s="569">
        <f t="shared" si="15"/>
        <v>1.2818755046990704</v>
      </c>
      <c r="R109" s="564">
        <f t="shared" si="22"/>
        <v>272.80000000000018</v>
      </c>
      <c r="S109" s="570">
        <f t="shared" si="16"/>
        <v>0.5154373485902789</v>
      </c>
      <c r="T109" s="302">
        <f t="shared" si="20"/>
        <v>-3.283786138401521</v>
      </c>
      <c r="U109" s="302">
        <f t="shared" si="21"/>
        <v>3.3025506306209782</v>
      </c>
      <c r="V109" s="298">
        <f t="shared" si="23"/>
        <v>2.6430150635123661E-2</v>
      </c>
      <c r="X109" s="13"/>
      <c r="Y109" s="13"/>
      <c r="Z109" s="13"/>
      <c r="AK109" s="21"/>
      <c r="AL109" s="21"/>
      <c r="AM109" s="21"/>
      <c r="AN109" s="21"/>
      <c r="AO109" s="79"/>
      <c r="AP109" s="21"/>
      <c r="AQ109" s="21"/>
      <c r="AR109" s="21"/>
    </row>
    <row r="110" spans="1:44" ht="15.6" x14ac:dyDescent="0.3">
      <c r="A110" s="562">
        <v>75</v>
      </c>
      <c r="B110" s="563">
        <v>34</v>
      </c>
      <c r="C110" s="564">
        <f>IFERROR('Device Resistance Tables'!C98,NA())</f>
        <v>10404.869015591374</v>
      </c>
      <c r="D110" s="565">
        <f>IFERROR('Device Resistance Tables'!D98,NA())</f>
        <v>10509.968702617549</v>
      </c>
      <c r="E110" s="564">
        <f>IFERROR('Device Resistance Tables'!F98,NA())</f>
        <v>10615.068389643724</v>
      </c>
      <c r="F110" s="566">
        <f t="shared" si="17"/>
        <v>1.4713956183664567</v>
      </c>
      <c r="G110" s="564">
        <f t="shared" si="18"/>
        <v>65.22120255234222</v>
      </c>
      <c r="H110" s="566">
        <f t="shared" si="12"/>
        <v>0.20599538657130392</v>
      </c>
      <c r="I110" s="302">
        <f t="shared" si="13"/>
        <v>-0.99999999999999689</v>
      </c>
      <c r="J110" s="302">
        <f t="shared" si="14"/>
        <v>0.99999999999999689</v>
      </c>
      <c r="K110" s="298">
        <f t="shared" si="19"/>
        <v>9.1309683573279621E-3</v>
      </c>
      <c r="L110" s="388"/>
      <c r="M110" s="571">
        <v>34</v>
      </c>
      <c r="N110" s="572">
        <v>6960.3</v>
      </c>
      <c r="O110" s="572">
        <v>7199.0999999999995</v>
      </c>
      <c r="P110" s="572">
        <v>7439.5</v>
      </c>
      <c r="Q110" s="569">
        <f t="shared" si="15"/>
        <v>1.2557226831636541</v>
      </c>
      <c r="R110" s="564">
        <f t="shared" si="22"/>
        <v>261.80000000000018</v>
      </c>
      <c r="S110" s="570">
        <f t="shared" si="16"/>
        <v>0.52328319505090393</v>
      </c>
      <c r="T110" s="302">
        <f t="shared" si="20"/>
        <v>-3.3170813018293854</v>
      </c>
      <c r="U110" s="302">
        <f t="shared" si="21"/>
        <v>3.3393063021766687</v>
      </c>
      <c r="V110" s="298">
        <f t="shared" si="23"/>
        <v>2.6152821535416315E-2</v>
      </c>
      <c r="X110" s="13"/>
      <c r="Y110" s="13"/>
      <c r="Z110" s="13"/>
      <c r="AK110" s="21"/>
      <c r="AL110" s="21"/>
      <c r="AM110" s="21"/>
      <c r="AN110" s="21"/>
      <c r="AO110" s="79"/>
      <c r="AP110" s="21"/>
      <c r="AQ110" s="21"/>
      <c r="AR110" s="21"/>
    </row>
    <row r="111" spans="1:44" ht="15.6" x14ac:dyDescent="0.3">
      <c r="A111" s="562">
        <v>76</v>
      </c>
      <c r="B111" s="563">
        <v>35</v>
      </c>
      <c r="C111" s="564">
        <f>IFERROR('Device Resistance Tables'!C99,NA())</f>
        <v>10469.734816359911</v>
      </c>
      <c r="D111" s="565">
        <f>IFERROR('Device Resistance Tables'!D99,NA())</f>
        <v>10575.489713494859</v>
      </c>
      <c r="E111" s="564">
        <f>IFERROR('Device Resistance Tables'!F99,NA())</f>
        <v>10681.244610629807</v>
      </c>
      <c r="F111" s="566">
        <f t="shared" si="17"/>
        <v>1.4805685598892802</v>
      </c>
      <c r="G111" s="564">
        <f t="shared" si="18"/>
        <v>65.521010877309891</v>
      </c>
      <c r="H111" s="566">
        <f t="shared" si="12"/>
        <v>0.20727959838449919</v>
      </c>
      <c r="I111" s="302">
        <f t="shared" si="13"/>
        <v>-0.99999999999999345</v>
      </c>
      <c r="J111" s="302">
        <f t="shared" si="14"/>
        <v>0.99999999999999345</v>
      </c>
      <c r="K111" s="298">
        <f t="shared" si="19"/>
        <v>9.1729415228234412E-3</v>
      </c>
      <c r="L111" s="388"/>
      <c r="M111" s="571">
        <v>35</v>
      </c>
      <c r="N111" s="572">
        <v>6715</v>
      </c>
      <c r="O111" s="572">
        <v>6947.9</v>
      </c>
      <c r="P111" s="572">
        <v>7182.4000000000005</v>
      </c>
      <c r="Q111" s="569">
        <f t="shared" si="15"/>
        <v>1.2298691873329437</v>
      </c>
      <c r="R111" s="564">
        <f t="shared" si="22"/>
        <v>251.19999999999982</v>
      </c>
      <c r="S111" s="570">
        <f t="shared" si="16"/>
        <v>0.53103924380011669</v>
      </c>
      <c r="T111" s="302">
        <f t="shared" si="20"/>
        <v>-3.3520919990212819</v>
      </c>
      <c r="U111" s="302">
        <f t="shared" si="21"/>
        <v>3.3751205400192994</v>
      </c>
      <c r="V111" s="298">
        <f t="shared" si="23"/>
        <v>2.5853495830710393E-2</v>
      </c>
      <c r="X111" s="13"/>
      <c r="Y111" s="13"/>
      <c r="Z111" s="13"/>
      <c r="AK111" s="21"/>
      <c r="AL111" s="21"/>
      <c r="AM111" s="21"/>
      <c r="AN111" s="21"/>
      <c r="AO111" s="79"/>
      <c r="AP111" s="21"/>
      <c r="AQ111" s="21"/>
      <c r="AR111" s="21"/>
    </row>
    <row r="112" spans="1:44" ht="15.6" x14ac:dyDescent="0.3">
      <c r="A112" s="562">
        <v>77</v>
      </c>
      <c r="B112" s="563">
        <v>36</v>
      </c>
      <c r="C112" s="564">
        <f>IFERROR('Device Resistance Tables'!C100,NA())</f>
        <v>10534.897938054202</v>
      </c>
      <c r="D112" s="565">
        <f>IFERROR('Device Resistance Tables'!D100,NA())</f>
        <v>10641.311048539599</v>
      </c>
      <c r="E112" s="564">
        <f>IFERROR('Device Resistance Tables'!F100,NA())</f>
        <v>10747.724159024996</v>
      </c>
      <c r="F112" s="566">
        <f t="shared" si="17"/>
        <v>1.4897835467955438</v>
      </c>
      <c r="G112" s="564">
        <f t="shared" si="18"/>
        <v>65.821335044740408</v>
      </c>
      <c r="H112" s="566">
        <f t="shared" si="12"/>
        <v>0.20856969655137611</v>
      </c>
      <c r="I112" s="302">
        <f t="shared" si="13"/>
        <v>-1.0000000000000078</v>
      </c>
      <c r="J112" s="302">
        <f t="shared" si="14"/>
        <v>1.0000000000000078</v>
      </c>
      <c r="K112" s="298">
        <f t="shared" si="19"/>
        <v>9.2149869062636558E-3</v>
      </c>
      <c r="L112" s="388"/>
      <c r="M112" s="571">
        <v>36</v>
      </c>
      <c r="N112" s="572">
        <v>6479.5</v>
      </c>
      <c r="O112" s="572">
        <v>6706.7</v>
      </c>
      <c r="P112" s="572">
        <v>6935.5</v>
      </c>
      <c r="Q112" s="569">
        <f t="shared" si="15"/>
        <v>1.2043132395984844</v>
      </c>
      <c r="R112" s="564">
        <f t="shared" si="22"/>
        <v>241.19999999999982</v>
      </c>
      <c r="S112" s="570">
        <f t="shared" si="16"/>
        <v>0.53870602812045465</v>
      </c>
      <c r="T112" s="302">
        <f t="shared" si="20"/>
        <v>-3.3876571190004001</v>
      </c>
      <c r="U112" s="302">
        <f t="shared" si="21"/>
        <v>3.4115138592750558</v>
      </c>
      <c r="V112" s="298">
        <f t="shared" si="23"/>
        <v>2.555594773445935E-2</v>
      </c>
      <c r="X112" s="13"/>
      <c r="Y112" s="13"/>
      <c r="Z112" s="13"/>
      <c r="AK112" s="21"/>
      <c r="AL112" s="21"/>
      <c r="AM112" s="21"/>
      <c r="AN112" s="21"/>
      <c r="AO112" s="79"/>
      <c r="AP112" s="21"/>
      <c r="AQ112" s="21"/>
      <c r="AR112" s="21"/>
    </row>
    <row r="113" spans="1:44" ht="15.6" x14ac:dyDescent="0.3">
      <c r="A113" s="562">
        <v>78</v>
      </c>
      <c r="B113" s="563">
        <v>37</v>
      </c>
      <c r="C113" s="564">
        <f>IFERROR('Device Resistance Tables'!C101,NA())</f>
        <v>10600.358934177219</v>
      </c>
      <c r="D113" s="565">
        <f>IFERROR('Device Resistance Tables'!D101,NA())</f>
        <v>10707.433266845675</v>
      </c>
      <c r="E113" s="564">
        <f>IFERROR('Device Resistance Tables'!F101,NA())</f>
        <v>10814.507599514132</v>
      </c>
      <c r="F113" s="566">
        <f t="shared" si="17"/>
        <v>1.4990406573583945</v>
      </c>
      <c r="G113" s="564">
        <f t="shared" si="18"/>
        <v>66.12221830607632</v>
      </c>
      <c r="H113" s="566">
        <f t="shared" si="12"/>
        <v>0.20986569203017522</v>
      </c>
      <c r="I113" s="302">
        <f t="shared" si="13"/>
        <v>-1.0000000000000016</v>
      </c>
      <c r="J113" s="302">
        <f t="shared" si="14"/>
        <v>1.0000000000000016</v>
      </c>
      <c r="K113" s="298">
        <f t="shared" si="19"/>
        <v>9.2571105628507233E-3</v>
      </c>
      <c r="L113" s="388"/>
      <c r="M113" s="571">
        <v>37</v>
      </c>
      <c r="N113" s="572">
        <v>6253.5999999999995</v>
      </c>
      <c r="O113" s="572">
        <v>6475.1</v>
      </c>
      <c r="P113" s="572">
        <v>6698.4000000000005</v>
      </c>
      <c r="Q113" s="569">
        <f t="shared" si="15"/>
        <v>1.1790702332611034</v>
      </c>
      <c r="R113" s="564">
        <f t="shared" si="22"/>
        <v>231.59999999999945</v>
      </c>
      <c r="S113" s="570">
        <f t="shared" si="16"/>
        <v>0.54627893002166916</v>
      </c>
      <c r="T113" s="302">
        <f t="shared" si="20"/>
        <v>-3.4207965900140676</v>
      </c>
      <c r="U113" s="302">
        <f t="shared" si="21"/>
        <v>3.448595388488211</v>
      </c>
      <c r="V113" s="298">
        <f t="shared" si="23"/>
        <v>2.5243006337380969E-2</v>
      </c>
      <c r="X113" s="13"/>
      <c r="Y113" s="13"/>
      <c r="Z113" s="13"/>
      <c r="AK113" s="21"/>
      <c r="AL113" s="21"/>
      <c r="AM113" s="21"/>
      <c r="AN113" s="21"/>
      <c r="AO113" s="79"/>
      <c r="AP113" s="21"/>
      <c r="AQ113" s="21"/>
      <c r="AR113" s="21"/>
    </row>
    <row r="114" spans="1:44" ht="15.6" x14ac:dyDescent="0.3">
      <c r="A114" s="562">
        <v>79</v>
      </c>
      <c r="B114" s="563">
        <v>38</v>
      </c>
      <c r="C114" s="564">
        <f>IFERROR('Device Resistance Tables'!C102,NA())</f>
        <v>10666.118401050846</v>
      </c>
      <c r="D114" s="565">
        <f>IFERROR('Device Resistance Tables'!D102,NA())</f>
        <v>10773.85697075843</v>
      </c>
      <c r="E114" s="564">
        <f>IFERROR('Device Resistance Tables'!F102,NA())</f>
        <v>10881.595540466014</v>
      </c>
      <c r="F114" s="566">
        <f t="shared" si="17"/>
        <v>1.5083399759061802</v>
      </c>
      <c r="G114" s="564">
        <f t="shared" si="18"/>
        <v>66.423703912754718</v>
      </c>
      <c r="H114" s="566">
        <f t="shared" si="12"/>
        <v>0.21116759662686518</v>
      </c>
      <c r="I114" s="302">
        <f t="shared" si="13"/>
        <v>-0.99999999999999956</v>
      </c>
      <c r="J114" s="302">
        <f t="shared" si="14"/>
        <v>0.99999999999999956</v>
      </c>
      <c r="K114" s="298">
        <f t="shared" si="19"/>
        <v>9.299318547785651E-3</v>
      </c>
      <c r="L114" s="388"/>
      <c r="M114" s="571">
        <v>38</v>
      </c>
      <c r="N114" s="572">
        <v>6036.6</v>
      </c>
      <c r="O114" s="572">
        <v>6252.6</v>
      </c>
      <c r="P114" s="572">
        <v>6470.5</v>
      </c>
      <c r="Q114" s="569">
        <f t="shared" si="15"/>
        <v>1.1541414912075607</v>
      </c>
      <c r="R114" s="564">
        <f t="shared" si="22"/>
        <v>222.5</v>
      </c>
      <c r="S114" s="570">
        <f t="shared" si="16"/>
        <v>0.55375755263773174</v>
      </c>
      <c r="T114" s="302">
        <f t="shared" si="20"/>
        <v>-3.4545629018328374</v>
      </c>
      <c r="U114" s="302">
        <f t="shared" si="21"/>
        <v>3.4849502606915461</v>
      </c>
      <c r="V114" s="298">
        <f t="shared" si="23"/>
        <v>2.4928742053542674E-2</v>
      </c>
      <c r="X114" s="13"/>
      <c r="Y114" s="13"/>
      <c r="Z114" s="13"/>
      <c r="AK114" s="21"/>
      <c r="AL114" s="21"/>
      <c r="AM114" s="21"/>
      <c r="AN114" s="21"/>
      <c r="AO114" s="79"/>
      <c r="AP114" s="21"/>
      <c r="AQ114" s="21"/>
      <c r="AR114" s="21"/>
    </row>
    <row r="115" spans="1:44" ht="15.6" x14ac:dyDescent="0.3">
      <c r="A115" s="562">
        <v>80</v>
      </c>
      <c r="B115" s="563">
        <v>39</v>
      </c>
      <c r="C115" s="564">
        <f>IFERROR('Device Resistance Tables'!C103,NA())</f>
        <v>10732.176977815907</v>
      </c>
      <c r="D115" s="565">
        <f>IFERROR('Device Resistance Tables'!D103,NA())</f>
        <v>10840.582805874654</v>
      </c>
      <c r="E115" s="564">
        <f>IFERROR('Device Resistance Tables'!F103,NA())</f>
        <v>10948.988633933401</v>
      </c>
      <c r="F115" s="566">
        <f t="shared" si="17"/>
        <v>1.5176815928224514</v>
      </c>
      <c r="G115" s="564">
        <f t="shared" si="18"/>
        <v>66.725835116223607</v>
      </c>
      <c r="H115" s="566">
        <f t="shared" si="12"/>
        <v>0.21247542299514316</v>
      </c>
      <c r="I115" s="302">
        <f t="shared" si="13"/>
        <v>-1.0000000000000036</v>
      </c>
      <c r="J115" s="302">
        <f t="shared" si="14"/>
        <v>1.0000000000000036</v>
      </c>
      <c r="K115" s="298">
        <f t="shared" si="19"/>
        <v>9.3416169162712226E-3</v>
      </c>
      <c r="L115" s="388"/>
      <c r="M115" s="571">
        <v>39</v>
      </c>
      <c r="N115" s="572">
        <v>5828.2999999999993</v>
      </c>
      <c r="O115" s="572">
        <v>6039</v>
      </c>
      <c r="P115" s="572">
        <v>6251.5999999999995</v>
      </c>
      <c r="Q115" s="569">
        <f t="shared" si="15"/>
        <v>1.1295591994513372</v>
      </c>
      <c r="R115" s="564">
        <f t="shared" si="22"/>
        <v>213.60000000000036</v>
      </c>
      <c r="S115" s="570">
        <f t="shared" si="16"/>
        <v>0.56113224016459873</v>
      </c>
      <c r="T115" s="302">
        <f t="shared" si="20"/>
        <v>-3.4889882430866157</v>
      </c>
      <c r="U115" s="302">
        <f t="shared" si="21"/>
        <v>3.5204504056962982</v>
      </c>
      <c r="V115" s="298">
        <f t="shared" si="23"/>
        <v>2.4582291756223507E-2</v>
      </c>
      <c r="X115" s="13"/>
      <c r="Y115" s="13"/>
      <c r="Z115" s="13"/>
      <c r="AK115" s="21"/>
      <c r="AL115" s="21"/>
      <c r="AM115" s="21"/>
      <c r="AN115" s="21"/>
      <c r="AO115" s="79"/>
      <c r="AP115" s="21"/>
      <c r="AQ115" s="21"/>
      <c r="AR115" s="21"/>
    </row>
    <row r="116" spans="1:44" ht="15.6" x14ac:dyDescent="0.3">
      <c r="A116" s="562">
        <v>81</v>
      </c>
      <c r="B116" s="563">
        <v>40</v>
      </c>
      <c r="C116" s="564">
        <f>IFERROR('Device Resistance Tables'!C104,NA())</f>
        <v>10798.535346432149</v>
      </c>
      <c r="D116" s="565">
        <f>IFERROR('Device Resistance Tables'!D104,NA())</f>
        <v>10907.611461042574</v>
      </c>
      <c r="E116" s="564">
        <f>IFERROR('Device Resistance Tables'!F104,NA())</f>
        <v>11016.687575652999</v>
      </c>
      <c r="F116" s="566">
        <f t="shared" si="17"/>
        <v>1.5270656045459603</v>
      </c>
      <c r="G116" s="564">
        <f t="shared" si="18"/>
        <v>67.028655167920078</v>
      </c>
      <c r="H116" s="566">
        <f t="shared" si="12"/>
        <v>0.2137891846364344</v>
      </c>
      <c r="I116" s="302">
        <f t="shared" si="13"/>
        <v>-0.99999999999999378</v>
      </c>
      <c r="J116" s="302">
        <f t="shared" si="14"/>
        <v>0.99999999999999378</v>
      </c>
      <c r="K116" s="298">
        <f t="shared" si="19"/>
        <v>9.3840117235088893E-3</v>
      </c>
      <c r="L116" s="388"/>
      <c r="M116" s="571">
        <v>40</v>
      </c>
      <c r="N116" s="572">
        <v>5628.2</v>
      </c>
      <c r="O116" s="572">
        <v>5833.5999999999995</v>
      </c>
      <c r="P116" s="572">
        <v>6041.1</v>
      </c>
      <c r="Q116" s="569">
        <f t="shared" si="15"/>
        <v>1.1052950687146321</v>
      </c>
      <c r="R116" s="564">
        <f t="shared" si="22"/>
        <v>205.40000000000055</v>
      </c>
      <c r="S116" s="570">
        <f t="shared" si="16"/>
        <v>0.56841147938561032</v>
      </c>
      <c r="T116" s="302">
        <f t="shared" si="20"/>
        <v>-3.5209818979703726</v>
      </c>
      <c r="U116" s="302">
        <f t="shared" si="21"/>
        <v>3.5569802523313374</v>
      </c>
      <c r="V116" s="298">
        <f t="shared" si="23"/>
        <v>2.4264130736705081E-2</v>
      </c>
      <c r="X116" s="13"/>
      <c r="Y116" s="13"/>
      <c r="Z116" s="13"/>
      <c r="AK116" s="21"/>
      <c r="AL116" s="21"/>
      <c r="AM116" s="21"/>
      <c r="AN116" s="21"/>
      <c r="AO116" s="79"/>
      <c r="AP116" s="21"/>
      <c r="AQ116" s="21"/>
      <c r="AR116" s="21"/>
    </row>
    <row r="117" spans="1:44" ht="15.6" x14ac:dyDescent="0.3">
      <c r="A117" s="562">
        <v>82</v>
      </c>
      <c r="B117" s="563">
        <v>41</v>
      </c>
      <c r="C117" s="564">
        <f>IFERROR('Device Resistance Tables'!C105,NA())</f>
        <v>10865.194231678244</v>
      </c>
      <c r="D117" s="565">
        <f>IFERROR('Device Resistance Tables'!D105,NA())</f>
        <v>10974.943668361862</v>
      </c>
      <c r="E117" s="564">
        <f>IFERROR('Device Resistance Tables'!F105,NA())</f>
        <v>11084.69310504548</v>
      </c>
      <c r="F117" s="566">
        <f t="shared" si="17"/>
        <v>1.5364921135706606</v>
      </c>
      <c r="G117" s="564">
        <f t="shared" si="18"/>
        <v>67.3322073192885</v>
      </c>
      <c r="H117" s="566">
        <f t="shared" si="12"/>
        <v>0.21510889589989246</v>
      </c>
      <c r="I117" s="302">
        <f t="shared" si="13"/>
        <v>-0.99999999999999534</v>
      </c>
      <c r="J117" s="302">
        <f t="shared" si="14"/>
        <v>0.99999999999999534</v>
      </c>
      <c r="K117" s="298">
        <f t="shared" si="19"/>
        <v>9.4265090247003247E-3</v>
      </c>
      <c r="L117" s="388"/>
      <c r="M117" s="571">
        <v>41</v>
      </c>
      <c r="N117" s="572">
        <v>5435.4</v>
      </c>
      <c r="O117" s="572">
        <v>5635.7</v>
      </c>
      <c r="P117" s="572">
        <v>5838.0999999999995</v>
      </c>
      <c r="Q117" s="569">
        <f t="shared" si="15"/>
        <v>1.0813139162301655</v>
      </c>
      <c r="R117" s="564">
        <f t="shared" si="22"/>
        <v>197.89999999999964</v>
      </c>
      <c r="S117" s="570">
        <f t="shared" si="16"/>
        <v>0.57560582513095027</v>
      </c>
      <c r="T117" s="302">
        <f t="shared" si="20"/>
        <v>-3.5541281473463844</v>
      </c>
      <c r="U117" s="302">
        <f t="shared" si="21"/>
        <v>3.5913905992157074</v>
      </c>
      <c r="V117" s="298">
        <f t="shared" si="23"/>
        <v>2.3981152484466639E-2</v>
      </c>
      <c r="X117" s="13"/>
      <c r="Y117" s="13"/>
      <c r="Z117" s="13"/>
      <c r="AK117" s="21"/>
      <c r="AL117" s="21"/>
      <c r="AM117" s="21"/>
      <c r="AN117" s="21"/>
      <c r="AO117" s="79"/>
      <c r="AP117" s="21"/>
      <c r="AQ117" s="21"/>
      <c r="AR117" s="21"/>
    </row>
    <row r="118" spans="1:44" ht="15.6" x14ac:dyDescent="0.3">
      <c r="A118" s="562">
        <v>83</v>
      </c>
      <c r="B118" s="563">
        <v>42</v>
      </c>
      <c r="C118" s="564">
        <f>IFERROR('Device Resistance Tables'!C106,NA())</f>
        <v>10932.154401151791</v>
      </c>
      <c r="D118" s="565">
        <f>IFERROR('Device Resistance Tables'!D106,NA())</f>
        <v>11042.580203183627</v>
      </c>
      <c r="E118" s="564">
        <f>IFERROR('Device Resistance Tables'!F106,NA())</f>
        <v>11153.006005215462</v>
      </c>
      <c r="F118" s="566">
        <f t="shared" si="17"/>
        <v>1.5459612284457076</v>
      </c>
      <c r="G118" s="564">
        <f t="shared" si="18"/>
        <v>67.636534821764144</v>
      </c>
      <c r="H118" s="566">
        <f t="shared" si="12"/>
        <v>0.21643457198239904</v>
      </c>
      <c r="I118" s="302">
        <f t="shared" si="13"/>
        <v>-0.99999999999999478</v>
      </c>
      <c r="J118" s="302">
        <f t="shared" si="14"/>
        <v>0.99999999999999478</v>
      </c>
      <c r="K118" s="298">
        <f t="shared" si="19"/>
        <v>9.46911487504698E-3</v>
      </c>
      <c r="L118" s="388"/>
      <c r="M118" s="571">
        <v>42</v>
      </c>
      <c r="N118" s="572">
        <v>5250</v>
      </c>
      <c r="O118" s="572">
        <v>5445.4000000000005</v>
      </c>
      <c r="P118" s="572">
        <v>5642.9</v>
      </c>
      <c r="Q118" s="569">
        <f t="shared" si="15"/>
        <v>1.0576741295142891</v>
      </c>
      <c r="R118" s="564">
        <f t="shared" si="22"/>
        <v>190.29999999999927</v>
      </c>
      <c r="S118" s="570">
        <f t="shared" si="16"/>
        <v>0.58269776114571314</v>
      </c>
      <c r="T118" s="302">
        <f t="shared" si="20"/>
        <v>-3.5883497998310596</v>
      </c>
      <c r="U118" s="302">
        <f t="shared" si="21"/>
        <v>3.6269144599111005</v>
      </c>
      <c r="V118" s="298">
        <f t="shared" si="23"/>
        <v>2.363978671587641E-2</v>
      </c>
      <c r="X118" s="13"/>
      <c r="Y118" s="13"/>
      <c r="Z118" s="13"/>
      <c r="AK118" s="21"/>
      <c r="AL118" s="21"/>
      <c r="AM118" s="21"/>
      <c r="AN118" s="21"/>
      <c r="AO118" s="79"/>
      <c r="AP118" s="21"/>
      <c r="AQ118" s="21"/>
      <c r="AR118" s="21"/>
    </row>
    <row r="119" spans="1:44" ht="15.6" x14ac:dyDescent="0.3">
      <c r="A119" s="562">
        <v>84</v>
      </c>
      <c r="B119" s="563">
        <v>43</v>
      </c>
      <c r="C119" s="564">
        <f>IFERROR('Device Resistance Tables'!C107,NA())</f>
        <v>10999.416665269317</v>
      </c>
      <c r="D119" s="565">
        <f>IFERROR('Device Resistance Tables'!D107,NA())</f>
        <v>11110.521884110422</v>
      </c>
      <c r="E119" s="564">
        <f>IFERROR('Device Resistance Tables'!F107,NA())</f>
        <v>11221.627102951526</v>
      </c>
      <c r="F119" s="566">
        <f t="shared" si="17"/>
        <v>1.5554730637754588</v>
      </c>
      <c r="G119" s="564">
        <f t="shared" si="18"/>
        <v>67.941680926795016</v>
      </c>
      <c r="H119" s="566">
        <f t="shared" si="12"/>
        <v>0.2177662289285642</v>
      </c>
      <c r="I119" s="302">
        <f t="shared" si="13"/>
        <v>-1.0000000000000067</v>
      </c>
      <c r="J119" s="302">
        <f t="shared" si="14"/>
        <v>1.0000000000000067</v>
      </c>
      <c r="K119" s="298">
        <f t="shared" si="19"/>
        <v>9.5118353297511948E-3</v>
      </c>
      <c r="L119" s="388"/>
      <c r="M119" s="571">
        <v>43</v>
      </c>
      <c r="N119" s="572">
        <v>5071.7999999999993</v>
      </c>
      <c r="O119" s="572">
        <v>5262.3</v>
      </c>
      <c r="P119" s="572">
        <v>5455.0999999999995</v>
      </c>
      <c r="Q119" s="569">
        <f t="shared" si="15"/>
        <v>1.0343722767865919</v>
      </c>
      <c r="R119" s="564">
        <f t="shared" si="22"/>
        <v>183.10000000000036</v>
      </c>
      <c r="S119" s="570">
        <f t="shared" si="16"/>
        <v>0.58968831696402246</v>
      </c>
      <c r="T119" s="302">
        <f t="shared" si="20"/>
        <v>-3.6200900746821905</v>
      </c>
      <c r="U119" s="302">
        <f t="shared" si="21"/>
        <v>3.6637971989434135</v>
      </c>
      <c r="V119" s="298">
        <f t="shared" si="23"/>
        <v>2.3301852727697137E-2</v>
      </c>
      <c r="X119" s="13"/>
      <c r="Y119" s="13"/>
      <c r="Z119" s="13"/>
      <c r="AK119" s="21"/>
      <c r="AL119" s="21"/>
      <c r="AM119" s="21"/>
      <c r="AN119" s="21"/>
      <c r="AO119" s="79"/>
      <c r="AP119" s="21"/>
      <c r="AQ119" s="21"/>
      <c r="AR119" s="21"/>
    </row>
    <row r="120" spans="1:44" ht="15.6" x14ac:dyDescent="0.3">
      <c r="A120" s="562">
        <v>85</v>
      </c>
      <c r="B120" s="563">
        <v>44</v>
      </c>
      <c r="C120" s="564">
        <f>IFERROR('Device Resistance Tables'!C108,NA())</f>
        <v>11066.981877266275</v>
      </c>
      <c r="D120" s="565">
        <f>IFERROR('Device Resistance Tables'!D108,NA())</f>
        <v>11178.769572996238</v>
      </c>
      <c r="E120" s="564">
        <f>IFERROR('Device Resistance Tables'!F108,NA())</f>
        <v>11290.557268726201</v>
      </c>
      <c r="F120" s="566">
        <f t="shared" si="17"/>
        <v>1.5650277402194732</v>
      </c>
      <c r="G120" s="564">
        <f t="shared" si="18"/>
        <v>68.247688885816387</v>
      </c>
      <c r="H120" s="566">
        <f t="shared" si="12"/>
        <v>0.21910388363072625</v>
      </c>
      <c r="I120" s="302">
        <f t="shared" si="13"/>
        <v>-1.0000000000000069</v>
      </c>
      <c r="J120" s="302">
        <f t="shared" si="14"/>
        <v>1.0000000000000069</v>
      </c>
      <c r="K120" s="298">
        <f t="shared" si="19"/>
        <v>9.5546764440144205E-3</v>
      </c>
      <c r="L120" s="388"/>
      <c r="M120" s="571">
        <v>44</v>
      </c>
      <c r="N120" s="572">
        <v>4900.4000000000005</v>
      </c>
      <c r="O120" s="572">
        <v>5086.2999999999993</v>
      </c>
      <c r="P120" s="572">
        <v>5274.4</v>
      </c>
      <c r="Q120" s="569">
        <f t="shared" si="15"/>
        <v>1.0114408436793645</v>
      </c>
      <c r="R120" s="564">
        <f t="shared" si="22"/>
        <v>176.00000000000091</v>
      </c>
      <c r="S120" s="570">
        <f t="shared" si="16"/>
        <v>0.59656774689619063</v>
      </c>
      <c r="T120" s="302">
        <f t="shared" si="20"/>
        <v>-3.6549161472976182</v>
      </c>
      <c r="U120" s="302">
        <f t="shared" si="21"/>
        <v>3.6981695928277998</v>
      </c>
      <c r="V120" s="298">
        <f t="shared" si="23"/>
        <v>2.293143310722745E-2</v>
      </c>
      <c r="X120" s="13"/>
      <c r="Y120" s="13"/>
      <c r="Z120" s="13"/>
      <c r="AK120" s="21"/>
      <c r="AL120" s="21"/>
      <c r="AM120" s="21"/>
      <c r="AN120" s="21"/>
      <c r="AO120" s="79"/>
      <c r="AP120" s="21"/>
      <c r="AQ120" s="21"/>
      <c r="AR120" s="21"/>
    </row>
    <row r="121" spans="1:44" ht="15.6" x14ac:dyDescent="0.3">
      <c r="A121" s="562">
        <v>86</v>
      </c>
      <c r="B121" s="563">
        <v>45</v>
      </c>
      <c r="C121" s="564">
        <f>IFERROR('Device Resistance Tables'!C109,NA())</f>
        <v>11134.850933197051</v>
      </c>
      <c r="D121" s="565">
        <f>IFERROR('Device Resistance Tables'!D109,NA())</f>
        <v>11247.324174946516</v>
      </c>
      <c r="E121" s="564">
        <f>IFERROR('Device Resistance Tables'!F109,NA())</f>
        <v>11359.797416695981</v>
      </c>
      <c r="F121" s="566">
        <f t="shared" si="17"/>
        <v>1.574625384492512</v>
      </c>
      <c r="G121" s="564">
        <f t="shared" si="18"/>
        <v>68.554601950278084</v>
      </c>
      <c r="H121" s="566">
        <f t="shared" si="12"/>
        <v>0.22044755382895168</v>
      </c>
      <c r="I121" s="302">
        <f t="shared" si="13"/>
        <v>-1</v>
      </c>
      <c r="J121" s="302">
        <f t="shared" si="14"/>
        <v>1</v>
      </c>
      <c r="K121" s="298">
        <f t="shared" si="19"/>
        <v>9.5976442730387745E-3</v>
      </c>
      <c r="L121" s="388"/>
      <c r="M121" s="571">
        <v>45</v>
      </c>
      <c r="N121" s="572">
        <v>4735.7</v>
      </c>
      <c r="O121" s="572">
        <v>4916.8999999999996</v>
      </c>
      <c r="P121" s="572">
        <v>5100.5</v>
      </c>
      <c r="Q121" s="569">
        <f t="shared" si="15"/>
        <v>0.98885827484262812</v>
      </c>
      <c r="R121" s="564">
        <f t="shared" si="22"/>
        <v>169.39999999999964</v>
      </c>
      <c r="S121" s="570">
        <f t="shared" si="16"/>
        <v>0.60334251754721158</v>
      </c>
      <c r="T121" s="302">
        <f t="shared" si="20"/>
        <v>-3.6852488356484741</v>
      </c>
      <c r="U121" s="302">
        <f t="shared" si="21"/>
        <v>3.7340600785047564</v>
      </c>
      <c r="V121" s="298">
        <f t="shared" si="23"/>
        <v>2.2582568836736372E-2</v>
      </c>
      <c r="X121" s="13"/>
      <c r="Y121" s="13"/>
      <c r="Z121" s="13"/>
      <c r="AK121" s="21"/>
      <c r="AL121" s="21"/>
      <c r="AM121" s="21"/>
      <c r="AN121" s="21"/>
      <c r="AO121" s="79"/>
      <c r="AP121" s="21"/>
      <c r="AQ121" s="21"/>
      <c r="AR121" s="21"/>
    </row>
    <row r="122" spans="1:44" ht="15.6" x14ac:dyDescent="0.3">
      <c r="A122" s="562">
        <v>87</v>
      </c>
      <c r="B122" s="563">
        <v>46</v>
      </c>
      <c r="C122" s="564">
        <f>IFERROR('Device Resistance Tables'!C110,NA())</f>
        <v>11203.024771934946</v>
      </c>
      <c r="D122" s="565">
        <f>IFERROR('Device Resistance Tables'!D110,NA())</f>
        <v>11316.186638318128</v>
      </c>
      <c r="E122" s="564">
        <f>IFERROR('Device Resistance Tables'!F110,NA())</f>
        <v>11429.348504701309</v>
      </c>
      <c r="F122" s="566">
        <f t="shared" si="17"/>
        <v>1.5842661293645377</v>
      </c>
      <c r="G122" s="564">
        <f t="shared" si="18"/>
        <v>68.862463371611739</v>
      </c>
      <c r="H122" s="566">
        <f t="shared" si="12"/>
        <v>0.22179725811103526</v>
      </c>
      <c r="I122" s="302">
        <f t="shared" si="13"/>
        <v>-1.0000000000000011</v>
      </c>
      <c r="J122" s="302">
        <f t="shared" si="14"/>
        <v>1.0000000000000011</v>
      </c>
      <c r="K122" s="298">
        <f t="shared" si="19"/>
        <v>9.6407448720257083E-3</v>
      </c>
      <c r="L122" s="388"/>
      <c r="M122" s="571">
        <v>46</v>
      </c>
      <c r="N122" s="572">
        <v>4577.2000000000007</v>
      </c>
      <c r="O122" s="572">
        <v>4753.8999999999996</v>
      </c>
      <c r="P122" s="572">
        <v>4933.0999999999995</v>
      </c>
      <c r="Q122" s="569">
        <f t="shared" si="15"/>
        <v>0.96663932926209339</v>
      </c>
      <c r="R122" s="564">
        <f t="shared" si="22"/>
        <v>163</v>
      </c>
      <c r="S122" s="570">
        <f t="shared" si="16"/>
        <v>0.610008201221372</v>
      </c>
      <c r="T122" s="302">
        <f t="shared" si="20"/>
        <v>-3.7169481899072112</v>
      </c>
      <c r="U122" s="302">
        <f t="shared" si="21"/>
        <v>3.7695365910094836</v>
      </c>
      <c r="V122" s="298">
        <f t="shared" si="23"/>
        <v>2.2218945580534721E-2</v>
      </c>
      <c r="X122" s="13"/>
      <c r="Y122" s="13"/>
      <c r="Z122" s="13"/>
      <c r="AK122" s="21"/>
      <c r="AL122" s="21"/>
      <c r="AM122" s="21"/>
      <c r="AN122" s="21"/>
      <c r="AO122" s="79"/>
      <c r="AP122" s="21"/>
      <c r="AQ122" s="21"/>
      <c r="AR122" s="21"/>
    </row>
    <row r="123" spans="1:44" ht="15.6" x14ac:dyDescent="0.3">
      <c r="A123" s="562">
        <v>88</v>
      </c>
      <c r="B123" s="563">
        <v>47</v>
      </c>
      <c r="C123" s="564">
        <f>IFERROR('Device Resistance Tables'!C111,NA())</f>
        <v>11271.504375172199</v>
      </c>
      <c r="D123" s="565">
        <f>IFERROR('Device Resistance Tables'!D111,NA())</f>
        <v>11385.357954719393</v>
      </c>
      <c r="E123" s="564">
        <f>IFERROR('Device Resistance Tables'!F111,NA())</f>
        <v>11499.211534266587</v>
      </c>
      <c r="F123" s="566">
        <f t="shared" si="17"/>
        <v>1.5939501136607148</v>
      </c>
      <c r="G123" s="564">
        <f t="shared" si="18"/>
        <v>69.171316401265358</v>
      </c>
      <c r="H123" s="566">
        <f t="shared" si="12"/>
        <v>0.22315301591250009</v>
      </c>
      <c r="I123" s="302">
        <f t="shared" si="13"/>
        <v>-1.000000000000004</v>
      </c>
      <c r="J123" s="302">
        <f t="shared" si="14"/>
        <v>1.000000000000004</v>
      </c>
      <c r="K123" s="298">
        <f t="shared" si="19"/>
        <v>9.6839842961771172E-3</v>
      </c>
      <c r="L123" s="388"/>
      <c r="M123" s="571">
        <v>47</v>
      </c>
      <c r="N123" s="572">
        <v>4424.7</v>
      </c>
      <c r="O123" s="572">
        <v>4597.1000000000004</v>
      </c>
      <c r="P123" s="572">
        <v>4772</v>
      </c>
      <c r="Q123" s="569">
        <f t="shared" si="15"/>
        <v>0.94479725424913175</v>
      </c>
      <c r="R123" s="564">
        <f t="shared" si="22"/>
        <v>156.79999999999927</v>
      </c>
      <c r="S123" s="570">
        <f t="shared" si="16"/>
        <v>0.61656082372526055</v>
      </c>
      <c r="T123" s="302">
        <f t="shared" si="20"/>
        <v>-3.7501903373866248</v>
      </c>
      <c r="U123" s="302">
        <f t="shared" si="21"/>
        <v>3.8045724478475478</v>
      </c>
      <c r="V123" s="298">
        <f t="shared" si="23"/>
        <v>2.1842075012961648E-2</v>
      </c>
      <c r="X123" s="13"/>
      <c r="Y123" s="13"/>
      <c r="Z123" s="13"/>
      <c r="AK123" s="21"/>
      <c r="AL123" s="21"/>
      <c r="AM123" s="21"/>
      <c r="AN123" s="21"/>
      <c r="AO123" s="79"/>
      <c r="AP123" s="21"/>
      <c r="AQ123" s="21"/>
      <c r="AR123" s="21"/>
    </row>
    <row r="124" spans="1:44" ht="15.6" x14ac:dyDescent="0.3">
      <c r="A124" s="562">
        <v>89</v>
      </c>
      <c r="B124" s="563">
        <v>48</v>
      </c>
      <c r="C124" s="564">
        <f>IFERROR('Device Resistance Tables'!C112,NA())</f>
        <v>11340.290767419969</v>
      </c>
      <c r="D124" s="565">
        <f>IFERROR('Device Resistance Tables'!D112,NA())</f>
        <v>11454.839159010069</v>
      </c>
      <c r="E124" s="564">
        <f>IFERROR('Device Resistance Tables'!F112,NA())</f>
        <v>11569.38755060017</v>
      </c>
      <c r="F124" s="566">
        <f t="shared" si="17"/>
        <v>1.6036774822614095</v>
      </c>
      <c r="G124" s="564">
        <f t="shared" si="18"/>
        <v>69.481204290676033</v>
      </c>
      <c r="H124" s="566">
        <f t="shared" si="12"/>
        <v>0.22451484751659731</v>
      </c>
      <c r="I124" s="302">
        <f t="shared" si="13"/>
        <v>-0.99999999999999778</v>
      </c>
      <c r="J124" s="302">
        <f t="shared" si="14"/>
        <v>0.99999999999999778</v>
      </c>
      <c r="K124" s="298">
        <f t="shared" si="19"/>
        <v>9.7273686006946747E-3</v>
      </c>
      <c r="L124" s="388"/>
      <c r="M124" s="571">
        <v>48</v>
      </c>
      <c r="N124" s="572">
        <v>4277.8999999999996</v>
      </c>
      <c r="O124" s="572">
        <v>4446.1000000000004</v>
      </c>
      <c r="P124" s="572">
        <v>4616.7999999999993</v>
      </c>
      <c r="Q124" s="569">
        <f t="shared" si="15"/>
        <v>0.92331494313344087</v>
      </c>
      <c r="R124" s="564">
        <f t="shared" si="22"/>
        <v>151</v>
      </c>
      <c r="S124" s="570">
        <f t="shared" si="16"/>
        <v>0.62300551705996754</v>
      </c>
      <c r="T124" s="302">
        <f t="shared" si="20"/>
        <v>-3.7830907986775091</v>
      </c>
      <c r="U124" s="302">
        <f t="shared" si="21"/>
        <v>3.8393198533546</v>
      </c>
      <c r="V124" s="298">
        <f t="shared" si="23"/>
        <v>2.1482311115690877E-2</v>
      </c>
      <c r="X124" s="13"/>
      <c r="Y124" s="13"/>
      <c r="Z124" s="13"/>
      <c r="AK124" s="21"/>
      <c r="AL124" s="21"/>
      <c r="AM124" s="21"/>
      <c r="AN124" s="21"/>
      <c r="AO124" s="79"/>
      <c r="AP124" s="21"/>
      <c r="AQ124" s="21"/>
      <c r="AR124" s="21"/>
    </row>
    <row r="125" spans="1:44" ht="15.6" x14ac:dyDescent="0.3">
      <c r="A125" s="562">
        <v>90</v>
      </c>
      <c r="B125" s="563">
        <v>49</v>
      </c>
      <c r="C125" s="564">
        <f>IFERROR('Device Resistance Tables'!C113,NA())</f>
        <v>11409.385016008346</v>
      </c>
      <c r="D125" s="565">
        <f>IFERROR('Device Resistance Tables'!D113,NA())</f>
        <v>11524.631329301359</v>
      </c>
      <c r="E125" s="564">
        <f>IFERROR('Device Resistance Tables'!F113,NA())</f>
        <v>11639.877642594372</v>
      </c>
      <c r="F125" s="566">
        <f t="shared" si="17"/>
        <v>1.6134483861021902</v>
      </c>
      <c r="G125" s="564">
        <f t="shared" si="18"/>
        <v>69.792170291289949</v>
      </c>
      <c r="H125" s="566">
        <f t="shared" si="12"/>
        <v>0.2258827740543066</v>
      </c>
      <c r="I125" s="302">
        <f t="shared" si="13"/>
        <v>-0.99999999999999811</v>
      </c>
      <c r="J125" s="302">
        <f t="shared" si="14"/>
        <v>0.99999999999999811</v>
      </c>
      <c r="K125" s="298">
        <f t="shared" si="19"/>
        <v>9.7709038407807203E-3</v>
      </c>
      <c r="L125" s="388"/>
      <c r="M125" s="571">
        <v>49</v>
      </c>
      <c r="N125" s="572">
        <v>4136.7</v>
      </c>
      <c r="O125" s="572">
        <v>4300.8</v>
      </c>
      <c r="P125" s="572">
        <v>4467.3999999999996</v>
      </c>
      <c r="Q125" s="569">
        <f t="shared" si="15"/>
        <v>0.90221526068471702</v>
      </c>
      <c r="R125" s="564">
        <f t="shared" si="22"/>
        <v>145.30000000000018</v>
      </c>
      <c r="S125" s="570">
        <f t="shared" si="16"/>
        <v>0.6293354217945849</v>
      </c>
      <c r="T125" s="302">
        <f t="shared" si="20"/>
        <v>-3.8155691964285796</v>
      </c>
      <c r="U125" s="302">
        <f t="shared" si="21"/>
        <v>3.8736979166666541</v>
      </c>
      <c r="V125" s="298">
        <f t="shared" si="23"/>
        <v>2.1099682448723844E-2</v>
      </c>
      <c r="X125" s="13"/>
      <c r="Y125" s="13"/>
      <c r="Z125" s="13"/>
      <c r="AK125" s="21"/>
      <c r="AL125" s="21"/>
      <c r="AM125" s="21"/>
      <c r="AN125" s="21"/>
      <c r="AO125" s="79"/>
      <c r="AP125" s="21"/>
      <c r="AQ125" s="21"/>
      <c r="AR125" s="21"/>
    </row>
    <row r="126" spans="1:44" ht="15.6" x14ac:dyDescent="0.3">
      <c r="A126" s="562">
        <v>91</v>
      </c>
      <c r="B126" s="563">
        <v>50</v>
      </c>
      <c r="C126" s="564">
        <f>IFERROR('Device Resistance Tables'!C114,NA())</f>
        <v>11478.788231086342</v>
      </c>
      <c r="D126" s="565">
        <f>IFERROR('Device Resistance Tables'!D114,NA())</f>
        <v>11594.735586955901</v>
      </c>
      <c r="E126" s="564">
        <f>IFERROR('Device Resistance Tables'!F114,NA())</f>
        <v>11710.68294282546</v>
      </c>
      <c r="F126" s="566">
        <f t="shared" si="17"/>
        <v>1.623262982173826</v>
      </c>
      <c r="G126" s="564">
        <f t="shared" si="18"/>
        <v>70.10425765454238</v>
      </c>
      <c r="H126" s="566">
        <f t="shared" si="12"/>
        <v>0.22725681750433563</v>
      </c>
      <c r="I126" s="302">
        <f t="shared" si="13"/>
        <v>-1.0000000000000002</v>
      </c>
      <c r="J126" s="302">
        <f t="shared" si="14"/>
        <v>1.0000000000000002</v>
      </c>
      <c r="K126" s="298">
        <f t="shared" si="19"/>
        <v>9.8145960716358172E-3</v>
      </c>
      <c r="L126" s="388"/>
      <c r="M126" s="571">
        <v>50</v>
      </c>
      <c r="N126" s="572">
        <v>4000.7999999999997</v>
      </c>
      <c r="O126" s="572">
        <v>4160.8999999999996</v>
      </c>
      <c r="P126" s="572">
        <v>4323.4000000000005</v>
      </c>
      <c r="Q126" s="569">
        <f t="shared" si="15"/>
        <v>0.88149058322564233</v>
      </c>
      <c r="R126" s="564">
        <f t="shared" si="22"/>
        <v>139.90000000000055</v>
      </c>
      <c r="S126" s="570">
        <f t="shared" si="16"/>
        <v>0.63555282503230726</v>
      </c>
      <c r="T126" s="302">
        <f t="shared" si="20"/>
        <v>-3.8477252517484177</v>
      </c>
      <c r="U126" s="302">
        <f t="shared" si="21"/>
        <v>3.9054050806316165</v>
      </c>
      <c r="V126" s="298">
        <f t="shared" si="23"/>
        <v>2.0724677459074692E-2</v>
      </c>
      <c r="X126" s="13"/>
      <c r="Y126" s="13"/>
      <c r="Z126" s="13"/>
      <c r="AK126" s="21"/>
      <c r="AL126" s="21"/>
      <c r="AM126" s="21"/>
      <c r="AN126" s="21"/>
      <c r="AO126" s="79"/>
      <c r="AP126" s="21"/>
      <c r="AQ126" s="21"/>
      <c r="AR126" s="21"/>
    </row>
    <row r="127" spans="1:44" ht="15.6" x14ac:dyDescent="0.3">
      <c r="A127" s="562">
        <v>92</v>
      </c>
      <c r="B127" s="563">
        <v>51</v>
      </c>
      <c r="C127" s="564">
        <f>IFERROR('Device Resistance Tables'!C115,NA())</f>
        <v>11548.501565621902</v>
      </c>
      <c r="D127" s="565">
        <f>IFERROR('Device Resistance Tables'!D115,NA())</f>
        <v>11665.153096587779</v>
      </c>
      <c r="E127" s="564">
        <f>IFERROR('Device Resistance Tables'!F115,NA())</f>
        <v>11781.804627553656</v>
      </c>
      <c r="F127" s="566">
        <f t="shared" si="17"/>
        <v>1.633121433522289</v>
      </c>
      <c r="G127" s="564">
        <f t="shared" si="18"/>
        <v>70.417509631877692</v>
      </c>
      <c r="H127" s="566">
        <f t="shared" si="12"/>
        <v>0.22863700069312043</v>
      </c>
      <c r="I127" s="302">
        <f t="shared" si="13"/>
        <v>-0.99999999999999412</v>
      </c>
      <c r="J127" s="302">
        <f t="shared" si="14"/>
        <v>0.99999999999999412</v>
      </c>
      <c r="K127" s="298">
        <f t="shared" si="19"/>
        <v>9.858451348462971E-3</v>
      </c>
      <c r="L127" s="388"/>
      <c r="M127" s="571">
        <v>51</v>
      </c>
      <c r="N127" s="572">
        <v>3870</v>
      </c>
      <c r="O127" s="572">
        <v>4026.2000000000003</v>
      </c>
      <c r="P127" s="572">
        <v>4184.8999999999996</v>
      </c>
      <c r="Q127" s="569">
        <f t="shared" si="15"/>
        <v>0.86114557043247641</v>
      </c>
      <c r="R127" s="564">
        <f t="shared" si="22"/>
        <v>134.69999999999936</v>
      </c>
      <c r="S127" s="570">
        <f t="shared" si="16"/>
        <v>0.64165632887025714</v>
      </c>
      <c r="T127" s="302">
        <f t="shared" si="20"/>
        <v>-3.879588694053953</v>
      </c>
      <c r="U127" s="302">
        <f t="shared" si="21"/>
        <v>3.9416819830112604</v>
      </c>
      <c r="V127" s="298">
        <f t="shared" si="23"/>
        <v>2.0345012793165917E-2</v>
      </c>
      <c r="X127" s="13"/>
      <c r="Y127" s="13"/>
      <c r="Z127" s="13"/>
      <c r="AK127" s="21"/>
      <c r="AL127" s="21"/>
      <c r="AM127" s="21"/>
      <c r="AN127" s="21"/>
      <c r="AO127" s="79"/>
      <c r="AP127" s="21"/>
      <c r="AQ127" s="21"/>
      <c r="AR127" s="21"/>
    </row>
    <row r="128" spans="1:44" ht="15.6" x14ac:dyDescent="0.3">
      <c r="A128" s="562">
        <v>93</v>
      </c>
      <c r="B128" s="563">
        <v>52</v>
      </c>
      <c r="C128" s="564">
        <f>IFERROR('Device Resistance Tables'!C116,NA())</f>
        <v>11618.526215401893</v>
      </c>
      <c r="D128" s="565">
        <f>IFERROR('Device Resistance Tables'!D116,NA())</f>
        <v>11735.885066062518</v>
      </c>
      <c r="E128" s="564">
        <f>IFERROR('Device Resistance Tables'!F116,NA())</f>
        <v>11853.243916723142</v>
      </c>
      <c r="F128" s="566">
        <f t="shared" si="17"/>
        <v>1.6430239092487524</v>
      </c>
      <c r="G128" s="564">
        <f t="shared" si="18"/>
        <v>70.731969474738435</v>
      </c>
      <c r="H128" s="566">
        <f t="shared" si="12"/>
        <v>0.23002334729482532</v>
      </c>
      <c r="I128" s="302">
        <f t="shared" si="13"/>
        <v>-0.99999999999999623</v>
      </c>
      <c r="J128" s="302">
        <f t="shared" si="14"/>
        <v>0.99999999999999623</v>
      </c>
      <c r="K128" s="298">
        <f t="shared" si="19"/>
        <v>9.9024757264634111E-3</v>
      </c>
      <c r="L128" s="388"/>
      <c r="M128" s="571">
        <v>52</v>
      </c>
      <c r="N128" s="572">
        <v>3744.1</v>
      </c>
      <c r="O128" s="572">
        <v>3896.3999999999996</v>
      </c>
      <c r="P128" s="572">
        <v>4051.3</v>
      </c>
      <c r="Q128" s="569">
        <f t="shared" si="15"/>
        <v>0.84116749661782908</v>
      </c>
      <c r="R128" s="564">
        <f t="shared" si="22"/>
        <v>129.80000000000064</v>
      </c>
      <c r="S128" s="570">
        <f t="shared" si="16"/>
        <v>0.64764975101465128</v>
      </c>
      <c r="T128" s="302">
        <f t="shared" si="20"/>
        <v>-3.9087362693768544</v>
      </c>
      <c r="U128" s="302">
        <f t="shared" si="21"/>
        <v>3.9754645313622974</v>
      </c>
      <c r="V128" s="298">
        <f t="shared" si="23"/>
        <v>1.9978073814647335E-2</v>
      </c>
      <c r="X128" s="13"/>
      <c r="Y128" s="13"/>
      <c r="Z128" s="13"/>
      <c r="AK128" s="21"/>
      <c r="AL128" s="21"/>
      <c r="AM128" s="21"/>
      <c r="AN128" s="21"/>
      <c r="AO128" s="79"/>
      <c r="AP128" s="21"/>
      <c r="AQ128" s="21"/>
      <c r="AR128" s="21"/>
    </row>
    <row r="129" spans="1:44" ht="15.6" x14ac:dyDescent="0.3">
      <c r="A129" s="562">
        <v>94</v>
      </c>
      <c r="B129" s="563">
        <v>53</v>
      </c>
      <c r="C129" s="564">
        <f>IFERROR('Device Resistance Tables'!C117,NA())</f>
        <v>11688.863419032108</v>
      </c>
      <c r="D129" s="565">
        <f>IFERROR('Device Resistance Tables'!D117,NA())</f>
        <v>11806.932746497079</v>
      </c>
      <c r="E129" s="564">
        <f>IFERROR('Device Resistance Tables'!F117,NA())</f>
        <v>11925.00207396205</v>
      </c>
      <c r="F129" s="566">
        <f t="shared" si="17"/>
        <v>1.652970584509591</v>
      </c>
      <c r="G129" s="564">
        <f t="shared" si="18"/>
        <v>71.047680434561698</v>
      </c>
      <c r="H129" s="566">
        <f t="shared" si="12"/>
        <v>0.23141588183134271</v>
      </c>
      <c r="I129" s="302">
        <f t="shared" si="13"/>
        <v>-1.0000000000000029</v>
      </c>
      <c r="J129" s="302">
        <f t="shared" si="14"/>
        <v>1.0000000000000029</v>
      </c>
      <c r="K129" s="298">
        <f t="shared" si="19"/>
        <v>9.9466752608385889E-3</v>
      </c>
      <c r="L129" s="388"/>
      <c r="M129" s="571">
        <v>53</v>
      </c>
      <c r="N129" s="572">
        <v>3622.7999999999997</v>
      </c>
      <c r="O129" s="572">
        <v>3771.3999999999996</v>
      </c>
      <c r="P129" s="572">
        <v>3922.7</v>
      </c>
      <c r="Q129" s="569">
        <f t="shared" si="15"/>
        <v>0.82157224392581729</v>
      </c>
      <c r="R129" s="564">
        <f t="shared" si="22"/>
        <v>125</v>
      </c>
      <c r="S129" s="570">
        <f t="shared" si="16"/>
        <v>0.65352832682225492</v>
      </c>
      <c r="T129" s="302">
        <f t="shared" si="20"/>
        <v>-3.9401813650103388</v>
      </c>
      <c r="U129" s="302">
        <f t="shared" si="21"/>
        <v>4.011772816460736</v>
      </c>
      <c r="V129" s="298">
        <f t="shared" si="23"/>
        <v>1.9595252692011789E-2</v>
      </c>
      <c r="X129" s="13"/>
      <c r="Y129" s="13"/>
      <c r="Z129" s="13"/>
      <c r="AK129" s="21"/>
      <c r="AL129" s="21"/>
      <c r="AM129" s="21"/>
      <c r="AN129" s="21"/>
      <c r="AO129" s="79"/>
      <c r="AP129" s="21"/>
      <c r="AQ129" s="21"/>
      <c r="AR129" s="21"/>
    </row>
    <row r="130" spans="1:44" ht="15.6" x14ac:dyDescent="0.3">
      <c r="A130" s="562">
        <v>95</v>
      </c>
      <c r="B130" s="563">
        <v>54</v>
      </c>
      <c r="C130" s="564">
        <f>IFERROR('Device Resistance Tables'!C118,NA())</f>
        <v>11759.514457937279</v>
      </c>
      <c r="D130" s="565">
        <f>IFERROR('Device Resistance Tables'!D118,NA())</f>
        <v>11878.297432259878</v>
      </c>
      <c r="E130" s="564">
        <f>IFERROR('Device Resistance Tables'!F118,NA())</f>
        <v>11997.080406582478</v>
      </c>
      <c r="F130" s="566">
        <f t="shared" si="17"/>
        <v>1.6629616405163827</v>
      </c>
      <c r="G130" s="564">
        <f t="shared" si="18"/>
        <v>71.364685762799127</v>
      </c>
      <c r="H130" s="566">
        <f t="shared" si="12"/>
        <v>0.23281462967229358</v>
      </c>
      <c r="I130" s="302">
        <f t="shared" si="13"/>
        <v>-1.0000000000000044</v>
      </c>
      <c r="J130" s="302">
        <f t="shared" si="14"/>
        <v>1.0000000000000044</v>
      </c>
      <c r="K130" s="298">
        <f t="shared" si="19"/>
        <v>9.991056006791732E-3</v>
      </c>
      <c r="L130" s="388"/>
      <c r="M130" s="571">
        <v>54</v>
      </c>
      <c r="N130" s="572">
        <v>3506</v>
      </c>
      <c r="O130" s="572">
        <v>3651</v>
      </c>
      <c r="P130" s="572">
        <v>3798.6</v>
      </c>
      <c r="Q130" s="569">
        <f t="shared" si="15"/>
        <v>0.80235880155299977</v>
      </c>
      <c r="R130" s="564">
        <f t="shared" si="22"/>
        <v>120.39999999999964</v>
      </c>
      <c r="S130" s="570">
        <f t="shared" si="16"/>
        <v>0.65929235953410015</v>
      </c>
      <c r="T130" s="302">
        <f t="shared" si="20"/>
        <v>-3.9715146535195838</v>
      </c>
      <c r="U130" s="302">
        <f t="shared" si="21"/>
        <v>4.0427280197206219</v>
      </c>
      <c r="V130" s="298">
        <f t="shared" si="23"/>
        <v>1.9213442372817524E-2</v>
      </c>
      <c r="X130" s="13"/>
      <c r="Y130" s="13"/>
      <c r="Z130" s="13"/>
      <c r="AK130" s="21"/>
      <c r="AL130" s="21"/>
      <c r="AM130" s="21"/>
      <c r="AN130" s="21"/>
      <c r="AO130" s="79"/>
      <c r="AP130" s="21"/>
      <c r="AQ130" s="21"/>
      <c r="AR130" s="21"/>
    </row>
    <row r="131" spans="1:44" ht="15.6" x14ac:dyDescent="0.3">
      <c r="A131" s="562">
        <v>96</v>
      </c>
      <c r="B131" s="563">
        <v>55</v>
      </c>
      <c r="C131" s="564">
        <f>IFERROR('Device Resistance Tables'!C119,NA())</f>
        <v>11830.480656361045</v>
      </c>
      <c r="D131" s="565">
        <f>IFERROR('Device Resistance Tables'!D119,NA())</f>
        <v>11949.980460970753</v>
      </c>
      <c r="E131" s="564">
        <f>IFERROR('Device Resistance Tables'!F119,NA())</f>
        <v>12069.480265580461</v>
      </c>
      <c r="F131" s="566">
        <f t="shared" si="17"/>
        <v>1.6729972645359052</v>
      </c>
      <c r="G131" s="564">
        <f t="shared" si="18"/>
        <v>71.683028710875078</v>
      </c>
      <c r="H131" s="566">
        <f t="shared" si="12"/>
        <v>0.23421961703502672</v>
      </c>
      <c r="I131" s="302">
        <f t="shared" si="13"/>
        <v>-1.000000000000004</v>
      </c>
      <c r="J131" s="302">
        <f t="shared" si="14"/>
        <v>1.000000000000004</v>
      </c>
      <c r="K131" s="298">
        <f t="shared" si="19"/>
        <v>1.0035624019522515E-2</v>
      </c>
      <c r="L131" s="388"/>
      <c r="M131" s="571">
        <v>55</v>
      </c>
      <c r="N131" s="572">
        <v>3393.4</v>
      </c>
      <c r="O131" s="572">
        <v>3535</v>
      </c>
      <c r="P131" s="572">
        <v>3679.1</v>
      </c>
      <c r="Q131" s="569">
        <f t="shared" si="15"/>
        <v>0.78352419652752126</v>
      </c>
      <c r="R131" s="564">
        <f t="shared" si="22"/>
        <v>116</v>
      </c>
      <c r="S131" s="570">
        <f t="shared" si="16"/>
        <v>0.66494274104174367</v>
      </c>
      <c r="T131" s="302">
        <f t="shared" si="20"/>
        <v>-4.0056577086280027</v>
      </c>
      <c r="U131" s="302">
        <f t="shared" si="21"/>
        <v>4.0763790664780739</v>
      </c>
      <c r="V131" s="298">
        <f t="shared" si="23"/>
        <v>1.8834605025478512E-2</v>
      </c>
      <c r="X131" s="13"/>
      <c r="Y131" s="13"/>
      <c r="Z131" s="13"/>
      <c r="AK131" s="21"/>
      <c r="AL131" s="21"/>
      <c r="AM131" s="21"/>
      <c r="AN131" s="21"/>
      <c r="AO131" s="79"/>
      <c r="AP131" s="21"/>
      <c r="AQ131" s="21"/>
      <c r="AR131" s="21"/>
    </row>
    <row r="132" spans="1:44" ht="15.6" x14ac:dyDescent="0.3">
      <c r="A132" s="562">
        <v>97</v>
      </c>
      <c r="B132" s="563">
        <v>56</v>
      </c>
      <c r="C132" s="564">
        <f>IFERROR('Device Resistance Tables'!C120,NA())</f>
        <v>11901.763381365992</v>
      </c>
      <c r="D132" s="565">
        <f>IFERROR('Device Resistance Tables'!D120,NA())</f>
        <v>12021.983213501002</v>
      </c>
      <c r="E132" s="564">
        <f>IFERROR('Device Resistance Tables'!F120,NA())</f>
        <v>12142.203045636012</v>
      </c>
      <c r="F132" s="566">
        <f t="shared" si="17"/>
        <v>1.6830776498901401</v>
      </c>
      <c r="G132" s="564">
        <f t="shared" si="18"/>
        <v>72.002752530248472</v>
      </c>
      <c r="H132" s="566">
        <f t="shared" si="12"/>
        <v>0.2356308709846196</v>
      </c>
      <c r="I132" s="302">
        <f t="shared" si="13"/>
        <v>-0.99999999999999745</v>
      </c>
      <c r="J132" s="302">
        <f t="shared" si="14"/>
        <v>0.99999999999999745</v>
      </c>
      <c r="K132" s="298">
        <f t="shared" si="19"/>
        <v>1.0080385354234833E-2</v>
      </c>
      <c r="L132" s="388"/>
      <c r="M132" s="571">
        <v>56</v>
      </c>
      <c r="N132" s="572">
        <v>3285</v>
      </c>
      <c r="O132" s="572">
        <v>3423.1</v>
      </c>
      <c r="P132" s="572">
        <v>3563.8</v>
      </c>
      <c r="Q132" s="569">
        <f t="shared" si="15"/>
        <v>0.7650468222690735</v>
      </c>
      <c r="R132" s="564">
        <f t="shared" si="22"/>
        <v>111.90000000000009</v>
      </c>
      <c r="S132" s="570">
        <f t="shared" si="16"/>
        <v>0.67048595331927796</v>
      </c>
      <c r="T132" s="302">
        <f t="shared" si="20"/>
        <v>-4.0343548245742138</v>
      </c>
      <c r="U132" s="302">
        <f t="shared" si="21"/>
        <v>4.1103093687008929</v>
      </c>
      <c r="V132" s="298">
        <f t="shared" si="23"/>
        <v>1.8477374258447754E-2</v>
      </c>
      <c r="X132" s="13"/>
      <c r="Y132" s="13"/>
      <c r="Z132" s="13"/>
      <c r="AK132" s="21"/>
      <c r="AL132" s="21"/>
      <c r="AM132" s="21"/>
      <c r="AN132" s="21"/>
      <c r="AO132" s="79"/>
      <c r="AP132" s="21"/>
      <c r="AQ132" s="21"/>
      <c r="AR132" s="21"/>
    </row>
    <row r="133" spans="1:44" ht="15.6" x14ac:dyDescent="0.3">
      <c r="A133" s="562">
        <v>98</v>
      </c>
      <c r="B133" s="563">
        <v>57</v>
      </c>
      <c r="C133" s="564">
        <f>IFERROR('Device Resistance Tables'!C121,NA())</f>
        <v>11973.364042833613</v>
      </c>
      <c r="D133" s="565">
        <f>IFERROR('Device Resistance Tables'!D121,NA())</f>
        <v>12094.307113973347</v>
      </c>
      <c r="E133" s="564">
        <f>IFERROR('Device Resistance Tables'!F121,NA())</f>
        <v>12215.250185113082</v>
      </c>
      <c r="F133" s="566">
        <f t="shared" si="17"/>
        <v>1.6932029959562684</v>
      </c>
      <c r="G133" s="564">
        <f t="shared" si="18"/>
        <v>72.323900472345485</v>
      </c>
      <c r="H133" s="566">
        <f t="shared" si="12"/>
        <v>0.23704841943387756</v>
      </c>
      <c r="I133" s="302">
        <f t="shared" si="13"/>
        <v>-1.0000000000000082</v>
      </c>
      <c r="J133" s="302">
        <f t="shared" si="14"/>
        <v>1.0000000000000082</v>
      </c>
      <c r="K133" s="298">
        <f t="shared" si="19"/>
        <v>1.012534606612836E-2</v>
      </c>
      <c r="L133" s="388"/>
      <c r="M133" s="571">
        <v>57</v>
      </c>
      <c r="N133" s="572">
        <v>3180.5</v>
      </c>
      <c r="O133" s="572">
        <v>3315.2</v>
      </c>
      <c r="P133" s="572">
        <v>3452.6</v>
      </c>
      <c r="Q133" s="569">
        <f t="shared" si="15"/>
        <v>0.74693583273251618</v>
      </c>
      <c r="R133" s="564">
        <f t="shared" si="22"/>
        <v>107.90000000000009</v>
      </c>
      <c r="S133" s="570">
        <f t="shared" si="16"/>
        <v>0.67591925018024512</v>
      </c>
      <c r="T133" s="302">
        <f t="shared" si="20"/>
        <v>-4.0631032818532766</v>
      </c>
      <c r="U133" s="302">
        <f t="shared" si="21"/>
        <v>4.1445463320463354</v>
      </c>
      <c r="V133" s="298">
        <f t="shared" si="23"/>
        <v>1.811098953655732E-2</v>
      </c>
      <c r="X133" s="13"/>
      <c r="Y133" s="13"/>
      <c r="Z133" s="13"/>
      <c r="AK133" s="21"/>
      <c r="AL133" s="21"/>
      <c r="AM133" s="21"/>
      <c r="AN133" s="21"/>
      <c r="AO133" s="79"/>
      <c r="AP133" s="21"/>
      <c r="AQ133" s="21"/>
      <c r="AR133" s="21"/>
    </row>
    <row r="134" spans="1:44" ht="15.6" x14ac:dyDescent="0.3">
      <c r="A134" s="562">
        <v>99</v>
      </c>
      <c r="B134" s="563">
        <v>58</v>
      </c>
      <c r="C134" s="564">
        <f>IFERROR('Device Resistance Tables'!C122,NA())</f>
        <v>12045.284093464348</v>
      </c>
      <c r="D134" s="565">
        <f>IFERROR('Device Resistance Tables'!D122,NA())</f>
        <v>12166.953629761969</v>
      </c>
      <c r="E134" s="564">
        <f>IFERROR('Device Resistance Tables'!F122,NA())</f>
        <v>12288.623166059589</v>
      </c>
      <c r="F134" s="566">
        <f t="shared" si="17"/>
        <v>1.7033735081666754</v>
      </c>
      <c r="G134" s="564">
        <f t="shared" si="18"/>
        <v>72.6465157886214</v>
      </c>
      <c r="H134" s="566">
        <f t="shared" si="12"/>
        <v>0.23847229114333454</v>
      </c>
      <c r="I134" s="302">
        <f t="shared" si="13"/>
        <v>-1.000000000000008</v>
      </c>
      <c r="J134" s="302">
        <f t="shared" si="14"/>
        <v>1.000000000000008</v>
      </c>
      <c r="K134" s="298">
        <f t="shared" si="19"/>
        <v>1.017051221040699E-2</v>
      </c>
      <c r="L134" s="388"/>
      <c r="M134" s="571">
        <v>58</v>
      </c>
      <c r="N134" s="572">
        <v>3079.7</v>
      </c>
      <c r="O134" s="572">
        <v>3211.3</v>
      </c>
      <c r="P134" s="572">
        <v>3345.4</v>
      </c>
      <c r="Q134" s="569">
        <f t="shared" si="15"/>
        <v>0.72921665543890468</v>
      </c>
      <c r="R134" s="564">
        <f t="shared" si="22"/>
        <v>103.89999999999964</v>
      </c>
      <c r="S134" s="570">
        <f t="shared" si="16"/>
        <v>0.68123500336832876</v>
      </c>
      <c r="T134" s="302">
        <f t="shared" si="20"/>
        <v>-4.0980288356740369</v>
      </c>
      <c r="U134" s="302">
        <f t="shared" si="21"/>
        <v>4.1758789275371315</v>
      </c>
      <c r="V134" s="298">
        <f t="shared" si="23"/>
        <v>1.7719177293611499E-2</v>
      </c>
      <c r="X134" s="13"/>
      <c r="Y134" s="13"/>
      <c r="Z134" s="13"/>
      <c r="AK134" s="21"/>
      <c r="AL134" s="21"/>
      <c r="AM134" s="21"/>
      <c r="AN134" s="21"/>
      <c r="AO134" s="79"/>
      <c r="AP134" s="21"/>
      <c r="AQ134" s="21"/>
      <c r="AR134" s="21"/>
    </row>
    <row r="135" spans="1:44" ht="15.6" x14ac:dyDescent="0.3">
      <c r="A135" s="562">
        <v>100</v>
      </c>
      <c r="B135" s="563">
        <v>59</v>
      </c>
      <c r="C135" s="564">
        <f>IFERROR('Device Resistance Tables'!C123,NA())</f>
        <v>12117.525028777553</v>
      </c>
      <c r="D135" s="565">
        <f>IFERROR('Device Resistance Tables'!D123,NA())</f>
        <v>12239.924271492477</v>
      </c>
      <c r="E135" s="564">
        <f>IFERROR('Device Resistance Tables'!F123,NA())</f>
        <v>12362.323514207401</v>
      </c>
      <c r="F135" s="566">
        <f t="shared" si="17"/>
        <v>1.7135893980089465</v>
      </c>
      <c r="G135" s="564">
        <f t="shared" si="18"/>
        <v>72.97064173050785</v>
      </c>
      <c r="H135" s="566">
        <f t="shared" si="12"/>
        <v>0.23990251572125249</v>
      </c>
      <c r="I135" s="302">
        <f t="shared" si="13"/>
        <v>-0.99999999999999512</v>
      </c>
      <c r="J135" s="302">
        <f t="shared" si="14"/>
        <v>0.99999999999999512</v>
      </c>
      <c r="K135" s="298">
        <f t="shared" si="19"/>
        <v>1.0215889842271064E-2</v>
      </c>
      <c r="L135" s="388"/>
      <c r="M135" s="571">
        <v>59</v>
      </c>
      <c r="N135" s="572">
        <v>2982.6000000000004</v>
      </c>
      <c r="O135" s="572">
        <v>3111</v>
      </c>
      <c r="P135" s="572">
        <v>3242</v>
      </c>
      <c r="Q135" s="569">
        <f t="shared" si="15"/>
        <v>0.71184501563572578</v>
      </c>
      <c r="R135" s="564">
        <f t="shared" si="22"/>
        <v>100.30000000000018</v>
      </c>
      <c r="S135" s="570">
        <f t="shared" si="16"/>
        <v>0.68644649530928237</v>
      </c>
      <c r="T135" s="302">
        <f t="shared" si="20"/>
        <v>-4.1272902603664301</v>
      </c>
      <c r="U135" s="302">
        <f t="shared" si="21"/>
        <v>4.2108646737383477</v>
      </c>
      <c r="V135" s="298">
        <f t="shared" si="23"/>
        <v>1.7371639803178907E-2</v>
      </c>
      <c r="X135" s="13"/>
      <c r="Y135" s="13"/>
      <c r="Z135" s="13"/>
      <c r="AK135" s="21"/>
      <c r="AL135" s="21"/>
      <c r="AM135" s="21"/>
      <c r="AN135" s="21"/>
      <c r="AO135" s="79"/>
      <c r="AP135" s="21"/>
      <c r="AQ135" s="21"/>
      <c r="AR135" s="21"/>
    </row>
    <row r="136" spans="1:44" ht="15.6" x14ac:dyDescent="0.3">
      <c r="A136" s="562">
        <v>101</v>
      </c>
      <c r="B136" s="563">
        <v>60</v>
      </c>
      <c r="C136" s="564">
        <f>IFERROR('Device Resistance Tables'!C124,NA())</f>
        <v>12190.088387111502</v>
      </c>
      <c r="D136" s="565">
        <f>IFERROR('Device Resistance Tables'!D124,NA())</f>
        <v>12313.22059304192</v>
      </c>
      <c r="E136" s="564">
        <f>IFERROR('Device Resistance Tables'!F124,NA())</f>
        <v>12436.352798972339</v>
      </c>
      <c r="F136" s="566">
        <f t="shared" si="17"/>
        <v>1.7238508830258688</v>
      </c>
      <c r="G136" s="564">
        <f t="shared" si="18"/>
        <v>73.296321549443746</v>
      </c>
      <c r="H136" s="566">
        <f t="shared" si="12"/>
        <v>0.24133912362362159</v>
      </c>
      <c r="I136" s="302">
        <f t="shared" si="13"/>
        <v>-0.99999999999999356</v>
      </c>
      <c r="J136" s="302">
        <f t="shared" si="14"/>
        <v>0.99999999999999356</v>
      </c>
      <c r="K136" s="298">
        <f t="shared" si="19"/>
        <v>1.0261485016922256E-2</v>
      </c>
      <c r="L136" s="388"/>
      <c r="M136" s="571">
        <v>60</v>
      </c>
      <c r="N136" s="572">
        <v>2889</v>
      </c>
      <c r="O136" s="572">
        <v>3014.3</v>
      </c>
      <c r="P136" s="572">
        <v>3142.2</v>
      </c>
      <c r="Q136" s="569">
        <f t="shared" si="15"/>
        <v>0.6948433646066251</v>
      </c>
      <c r="R136" s="564">
        <f t="shared" si="22"/>
        <v>96.699999999999818</v>
      </c>
      <c r="S136" s="570">
        <f t="shared" si="16"/>
        <v>0.6915469906180125</v>
      </c>
      <c r="T136" s="302">
        <f t="shared" si="20"/>
        <v>-4.1568523371927206</v>
      </c>
      <c r="U136" s="302">
        <f t="shared" si="21"/>
        <v>4.2431078525694073</v>
      </c>
      <c r="V136" s="298">
        <f t="shared" si="23"/>
        <v>1.7001651029100673E-2</v>
      </c>
      <c r="X136" s="13"/>
      <c r="Y136" s="13"/>
      <c r="Z136" s="13"/>
      <c r="AK136" s="21"/>
      <c r="AL136" s="21"/>
      <c r="AM136" s="21"/>
      <c r="AN136" s="21"/>
      <c r="AO136" s="79"/>
      <c r="AP136" s="21"/>
      <c r="AQ136" s="21"/>
      <c r="AR136" s="21"/>
    </row>
    <row r="137" spans="1:44" ht="15.6" x14ac:dyDescent="0.3">
      <c r="A137" s="562">
        <v>102</v>
      </c>
      <c r="B137" s="563">
        <v>61</v>
      </c>
      <c r="C137" s="564">
        <f>IFERROR('Device Resistance Tables'!C125,NA())</f>
        <v>12262.975749623414</v>
      </c>
      <c r="D137" s="565">
        <f>IFERROR('Device Resistance Tables'!D125,NA())</f>
        <v>12386.844191538803</v>
      </c>
      <c r="E137" s="564">
        <f>IFERROR('Device Resistance Tables'!F125,NA())</f>
        <v>12510.712633454192</v>
      </c>
      <c r="F137" s="566">
        <f t="shared" si="17"/>
        <v>1.7341581868154323</v>
      </c>
      <c r="G137" s="564">
        <f t="shared" si="18"/>
        <v>73.623598496882551</v>
      </c>
      <c r="H137" s="566">
        <f t="shared" si="12"/>
        <v>0.24278214615416049</v>
      </c>
      <c r="I137" s="302">
        <f t="shared" si="13"/>
        <v>-1.000000000000006</v>
      </c>
      <c r="J137" s="302">
        <f t="shared" si="14"/>
        <v>1.000000000000006</v>
      </c>
      <c r="K137" s="298">
        <f t="shared" si="19"/>
        <v>1.0307303789563571E-2</v>
      </c>
      <c r="L137" s="388"/>
      <c r="M137" s="571">
        <v>61</v>
      </c>
      <c r="N137" s="572">
        <v>2800.1</v>
      </c>
      <c r="O137" s="572">
        <v>2922.4</v>
      </c>
      <c r="P137" s="572">
        <v>3047.2999999999997</v>
      </c>
      <c r="Q137" s="569">
        <f t="shared" si="15"/>
        <v>0.67844982356218664</v>
      </c>
      <c r="R137" s="564">
        <f t="shared" si="22"/>
        <v>91.900000000000091</v>
      </c>
      <c r="S137" s="570">
        <f t="shared" si="16"/>
        <v>0.69646505293134409</v>
      </c>
      <c r="T137" s="302">
        <f t="shared" si="20"/>
        <v>-4.1849165069805707</v>
      </c>
      <c r="U137" s="302">
        <f t="shared" si="21"/>
        <v>4.2738844785108006</v>
      </c>
      <c r="V137" s="298">
        <f t="shared" si="23"/>
        <v>1.6393541044438464E-2</v>
      </c>
      <c r="X137" s="13"/>
      <c r="Y137" s="13"/>
      <c r="Z137" s="13"/>
      <c r="AK137" s="21"/>
      <c r="AL137" s="21"/>
      <c r="AM137" s="21"/>
      <c r="AN137" s="21"/>
      <c r="AO137" s="79"/>
      <c r="AP137" s="21"/>
      <c r="AQ137" s="21"/>
      <c r="AR137" s="21"/>
    </row>
    <row r="138" spans="1:44" ht="15.6" x14ac:dyDescent="0.3">
      <c r="A138" s="562">
        <v>103</v>
      </c>
      <c r="B138" s="563">
        <v>62</v>
      </c>
      <c r="C138" s="564">
        <f>IFERROR('Device Resistance Tables'!C126,NA())</f>
        <v>12336.188740289428</v>
      </c>
      <c r="D138" s="565">
        <f>IFERROR('Device Resistance Tables'!D126,NA())</f>
        <v>12460.796707363059</v>
      </c>
      <c r="E138" s="564">
        <f>IFERROR('Device Resistance Tables'!F126,NA())</f>
        <v>12585.40467443669</v>
      </c>
      <c r="F138" s="566">
        <f t="shared" si="17"/>
        <v>1.7445115390308281</v>
      </c>
      <c r="G138" s="564">
        <f t="shared" si="18"/>
        <v>73.952515824255897</v>
      </c>
      <c r="H138" s="566">
        <f t="shared" si="12"/>
        <v>0.24423161546431593</v>
      </c>
      <c r="I138" s="302">
        <f t="shared" si="13"/>
        <v>-1.0000000000000016</v>
      </c>
      <c r="J138" s="302">
        <f t="shared" si="14"/>
        <v>1.0000000000000016</v>
      </c>
      <c r="K138" s="298">
        <f t="shared" si="19"/>
        <v>1.0353352215395795E-2</v>
      </c>
      <c r="L138" s="388"/>
      <c r="M138" s="571">
        <v>62</v>
      </c>
      <c r="N138" s="572">
        <v>2714.3</v>
      </c>
      <c r="O138" s="572">
        <v>2833.7</v>
      </c>
      <c r="P138" s="572">
        <v>2955.8</v>
      </c>
      <c r="Q138" s="569">
        <f t="shared" si="15"/>
        <v>0.66240445078192567</v>
      </c>
      <c r="R138" s="564">
        <f t="shared" si="22"/>
        <v>88.700000000000273</v>
      </c>
      <c r="S138" s="570">
        <f t="shared" si="16"/>
        <v>0.70127866476542222</v>
      </c>
      <c r="T138" s="302">
        <f t="shared" si="20"/>
        <v>-4.2135723612238287</v>
      </c>
      <c r="U138" s="302">
        <f t="shared" si="21"/>
        <v>4.3088541482867049</v>
      </c>
      <c r="V138" s="298">
        <f t="shared" si="23"/>
        <v>1.6045372780260969E-2</v>
      </c>
      <c r="X138" s="13"/>
      <c r="Y138" s="13"/>
      <c r="Z138" s="13"/>
      <c r="AK138" s="21"/>
      <c r="AL138" s="21"/>
      <c r="AM138" s="21"/>
      <c r="AN138" s="21"/>
      <c r="AO138" s="79"/>
      <c r="AP138" s="21"/>
      <c r="AQ138" s="21"/>
      <c r="AR138" s="21"/>
    </row>
    <row r="139" spans="1:44" ht="15.6" x14ac:dyDescent="0.3">
      <c r="A139" s="562">
        <v>104</v>
      </c>
      <c r="B139" s="563">
        <v>63</v>
      </c>
      <c r="C139" s="564">
        <f>IFERROR('Device Resistance Tables'!C127,NA())</f>
        <v>12409.729025904606</v>
      </c>
      <c r="D139" s="565">
        <f>IFERROR('Device Resistance Tables'!D127,NA())</f>
        <v>12535.079824146067</v>
      </c>
      <c r="E139" s="564">
        <f>IFERROR('Device Resistance Tables'!F127,NA())</f>
        <v>12660.430622387528</v>
      </c>
      <c r="F139" s="566">
        <f t="shared" si="17"/>
        <v>1.7549111753804492</v>
      </c>
      <c r="G139" s="564">
        <f t="shared" si="18"/>
        <v>74.283116783008154</v>
      </c>
      <c r="H139" s="566">
        <f t="shared" si="12"/>
        <v>0.24568756455326288</v>
      </c>
      <c r="I139" s="302">
        <f t="shared" si="13"/>
        <v>-1.0000000000000044</v>
      </c>
      <c r="J139" s="302">
        <f t="shared" si="14"/>
        <v>1.0000000000000044</v>
      </c>
      <c r="K139" s="298">
        <f t="shared" si="19"/>
        <v>1.0399636349621044E-2</v>
      </c>
      <c r="L139" s="388"/>
      <c r="M139" s="571">
        <v>63</v>
      </c>
      <c r="N139" s="572">
        <v>2631.6000000000004</v>
      </c>
      <c r="O139" s="572">
        <v>2748.2000000000003</v>
      </c>
      <c r="P139" s="572">
        <v>2867.5</v>
      </c>
      <c r="Q139" s="569">
        <f t="shared" si="15"/>
        <v>0.64672659669600419</v>
      </c>
      <c r="R139" s="564">
        <f t="shared" si="22"/>
        <v>85.499999999999545</v>
      </c>
      <c r="S139" s="570">
        <f t="shared" si="16"/>
        <v>0.70598202099119867</v>
      </c>
      <c r="T139" s="302">
        <f t="shared" si="20"/>
        <v>-4.2427770904592057</v>
      </c>
      <c r="U139" s="302">
        <f t="shared" si="21"/>
        <v>4.3410232151953903</v>
      </c>
      <c r="V139" s="298">
        <f t="shared" si="23"/>
        <v>1.5677854085921483E-2</v>
      </c>
      <c r="X139" s="13"/>
      <c r="Y139" s="13"/>
      <c r="Z139" s="13"/>
      <c r="AK139" s="21"/>
      <c r="AL139" s="21"/>
      <c r="AM139" s="21"/>
      <c r="AN139" s="21"/>
      <c r="AO139" s="79"/>
      <c r="AP139" s="21"/>
      <c r="AQ139" s="21"/>
      <c r="AR139" s="21"/>
    </row>
    <row r="140" spans="1:44" ht="15.6" x14ac:dyDescent="0.3">
      <c r="A140" s="562">
        <v>105</v>
      </c>
      <c r="B140" s="563">
        <v>64</v>
      </c>
      <c r="C140" s="564">
        <f>IFERROR('Device Resistance Tables'!C128,NA())</f>
        <v>12483.598316082936</v>
      </c>
      <c r="D140" s="565">
        <f>IFERROR('Device Resistance Tables'!D128,NA())</f>
        <v>12609.695268770643</v>
      </c>
      <c r="E140" s="564">
        <f>IFERROR('Device Resistance Tables'!F128,NA())</f>
        <v>12735.79222145835</v>
      </c>
      <c r="F140" s="566">
        <f t="shared" si="17"/>
        <v>1.7653573376278899</v>
      </c>
      <c r="G140" s="564">
        <f t="shared" si="18"/>
        <v>74.615444624576412</v>
      </c>
      <c r="H140" s="566">
        <f t="shared" si="12"/>
        <v>0.24715002726790458</v>
      </c>
      <c r="I140" s="302">
        <f t="shared" si="13"/>
        <v>-1.0000000000000044</v>
      </c>
      <c r="J140" s="302">
        <f t="shared" si="14"/>
        <v>1.0000000000000044</v>
      </c>
      <c r="K140" s="298">
        <f t="shared" si="19"/>
        <v>1.0446162247440771E-2</v>
      </c>
      <c r="L140" s="388"/>
      <c r="M140" s="571">
        <v>64</v>
      </c>
      <c r="N140" s="572">
        <v>2551.8000000000002</v>
      </c>
      <c r="O140" s="572">
        <v>2665.7000000000003</v>
      </c>
      <c r="P140" s="572">
        <v>2782.3</v>
      </c>
      <c r="Q140" s="569">
        <f t="shared" si="15"/>
        <v>0.63139818565101025</v>
      </c>
      <c r="R140" s="564">
        <f t="shared" si="22"/>
        <v>82.5</v>
      </c>
      <c r="S140" s="570">
        <f t="shared" si="16"/>
        <v>0.71058054430469686</v>
      </c>
      <c r="T140" s="302">
        <f t="shared" si="20"/>
        <v>-4.2727988895974827</v>
      </c>
      <c r="U140" s="302">
        <f t="shared" si="21"/>
        <v>4.3740856060321827</v>
      </c>
      <c r="V140" s="298">
        <f t="shared" si="23"/>
        <v>1.5328411044993939E-2</v>
      </c>
      <c r="X140" s="13"/>
      <c r="Y140" s="13"/>
      <c r="Z140" s="13"/>
      <c r="AK140" s="21"/>
      <c r="AL140" s="21"/>
      <c r="AM140" s="21"/>
      <c r="AN140" s="21"/>
      <c r="AO140" s="79"/>
      <c r="AP140" s="21"/>
      <c r="AQ140" s="21"/>
      <c r="AR140" s="21"/>
    </row>
    <row r="141" spans="1:44" ht="15.6" x14ac:dyDescent="0.3">
      <c r="A141" s="562">
        <v>106</v>
      </c>
      <c r="B141" s="563">
        <v>65</v>
      </c>
      <c r="C141" s="564">
        <f>IFERROR('Device Resistance Tables'!C129,NA())</f>
        <v>12557.798363257347</v>
      </c>
      <c r="D141" s="565">
        <f>IFERROR('Device Resistance Tables'!D129,NA())</f>
        <v>12684.644811371058</v>
      </c>
      <c r="E141" s="564">
        <f>IFERROR('Device Resistance Tables'!F129,NA())</f>
        <v>12811.491259484768</v>
      </c>
      <c r="F141" s="566">
        <f t="shared" si="17"/>
        <v>1.7758502735919479</v>
      </c>
      <c r="G141" s="564">
        <f t="shared" si="18"/>
        <v>74.949542600414134</v>
      </c>
      <c r="H141" s="566">
        <f t="shared" si="12"/>
        <v>0.24861903830287271</v>
      </c>
      <c r="I141" s="302">
        <f t="shared" si="13"/>
        <v>-1.0000000000000011</v>
      </c>
      <c r="J141" s="302">
        <f t="shared" si="14"/>
        <v>1.0000000000000011</v>
      </c>
      <c r="K141" s="298">
        <f t="shared" si="19"/>
        <v>1.0492935964057981E-2</v>
      </c>
      <c r="L141" s="388"/>
      <c r="M141" s="571">
        <v>65</v>
      </c>
      <c r="N141" s="572">
        <v>2474.9</v>
      </c>
      <c r="O141" s="572">
        <v>2586.1</v>
      </c>
      <c r="P141" s="572">
        <v>2700</v>
      </c>
      <c r="Q141" s="569">
        <f t="shared" si="15"/>
        <v>0.61641811204423924</v>
      </c>
      <c r="R141" s="564">
        <f t="shared" si="22"/>
        <v>79.600000000000364</v>
      </c>
      <c r="S141" s="570">
        <f t="shared" si="16"/>
        <v>0.71507456638672806</v>
      </c>
      <c r="T141" s="302">
        <f t="shared" si="20"/>
        <v>-4.2999110629905966</v>
      </c>
      <c r="U141" s="302">
        <f t="shared" si="21"/>
        <v>4.4043153783689757</v>
      </c>
      <c r="V141" s="298">
        <f t="shared" si="23"/>
        <v>1.4980073606771005E-2</v>
      </c>
      <c r="X141" s="13"/>
      <c r="Y141" s="13"/>
      <c r="Z141" s="13"/>
      <c r="AK141" s="21"/>
      <c r="AL141" s="21"/>
      <c r="AM141" s="21"/>
      <c r="AN141" s="21"/>
      <c r="AO141" s="79"/>
      <c r="AP141" s="21"/>
      <c r="AQ141" s="21"/>
      <c r="AR141" s="21"/>
    </row>
    <row r="142" spans="1:44" ht="15.6" x14ac:dyDescent="0.3">
      <c r="A142" s="562">
        <v>107</v>
      </c>
      <c r="B142" s="563">
        <v>66</v>
      </c>
      <c r="C142" s="564">
        <f>IFERROR('Device Resistance Tables'!C130,NA())</f>
        <v>12632.330962679673</v>
      </c>
      <c r="D142" s="565">
        <f>IFERROR('Device Resistance Tables'!D130,NA())</f>
        <v>12759.930265333003</v>
      </c>
      <c r="E142" s="564">
        <f>IFERROR('Device Resistance Tables'!F130,NA())</f>
        <v>12887.529567986334</v>
      </c>
      <c r="F142" s="566">
        <f t="shared" si="17"/>
        <v>1.7863902371466203</v>
      </c>
      <c r="G142" s="564">
        <f t="shared" si="18"/>
        <v>75.285453961945677</v>
      </c>
      <c r="H142" s="566">
        <f t="shared" si="12"/>
        <v>0.25009463320052683</v>
      </c>
      <c r="I142" s="302">
        <f t="shared" si="13"/>
        <v>-1.0000000000000044</v>
      </c>
      <c r="J142" s="302">
        <f t="shared" si="14"/>
        <v>1.0000000000000044</v>
      </c>
      <c r="K142" s="298">
        <f t="shared" si="19"/>
        <v>1.0539963554672349E-2</v>
      </c>
      <c r="L142" s="388"/>
      <c r="M142" s="571">
        <v>66</v>
      </c>
      <c r="N142" s="572">
        <v>2400.6</v>
      </c>
      <c r="O142" s="572">
        <v>2509.3000000000002</v>
      </c>
      <c r="P142" s="572">
        <v>2620.6</v>
      </c>
      <c r="Q142" s="569">
        <f t="shared" si="15"/>
        <v>0.60178427250125921</v>
      </c>
      <c r="R142" s="564">
        <f t="shared" si="22"/>
        <v>76.799999999999727</v>
      </c>
      <c r="S142" s="570">
        <f t="shared" si="16"/>
        <v>0.71946471824962244</v>
      </c>
      <c r="T142" s="302">
        <f t="shared" si="20"/>
        <v>-4.3318853863627407</v>
      </c>
      <c r="U142" s="302">
        <f t="shared" si="21"/>
        <v>4.4354999402223614</v>
      </c>
      <c r="V142" s="298">
        <f t="shared" si="23"/>
        <v>1.4633839542980032E-2</v>
      </c>
      <c r="X142" s="13"/>
      <c r="Y142" s="13"/>
      <c r="Z142" s="13"/>
      <c r="AK142" s="21"/>
      <c r="AL142" s="21"/>
      <c r="AM142" s="21"/>
      <c r="AN142" s="21"/>
      <c r="AO142" s="79"/>
      <c r="AP142" s="21"/>
      <c r="AQ142" s="21"/>
      <c r="AR142" s="21"/>
    </row>
    <row r="143" spans="1:44" ht="15.6" x14ac:dyDescent="0.3">
      <c r="A143" s="562">
        <v>108</v>
      </c>
      <c r="B143" s="563">
        <v>67</v>
      </c>
      <c r="C143" s="564">
        <f>IFERROR('Device Resistance Tables'!C131,NA())</f>
        <v>12707.197952420691</v>
      </c>
      <c r="D143" s="565">
        <f>IFERROR('Device Resistance Tables'!D131,NA())</f>
        <v>12835.553487293628</v>
      </c>
      <c r="E143" s="564">
        <f>IFERROR('Device Resistance Tables'!F131,NA())</f>
        <v>12963.909022166565</v>
      </c>
      <c r="F143" s="566">
        <f t="shared" si="17"/>
        <v>1.7969774882211078</v>
      </c>
      <c r="G143" s="564">
        <f t="shared" si="18"/>
        <v>75.623221960624505</v>
      </c>
      <c r="H143" s="566">
        <f t="shared" si="12"/>
        <v>0.25157684835095506</v>
      </c>
      <c r="I143" s="302">
        <f t="shared" si="13"/>
        <v>-1.0000000000000049</v>
      </c>
      <c r="J143" s="302">
        <f t="shared" si="14"/>
        <v>1.0000000000000049</v>
      </c>
      <c r="K143" s="298">
        <f t="shared" si="19"/>
        <v>1.0587251074487547E-2</v>
      </c>
      <c r="L143" s="388"/>
      <c r="M143" s="571">
        <v>67</v>
      </c>
      <c r="N143" s="572">
        <v>2328.9</v>
      </c>
      <c r="O143" s="572">
        <v>2435.1</v>
      </c>
      <c r="P143" s="572">
        <v>2543.8999999999996</v>
      </c>
      <c r="Q143" s="569">
        <f t="shared" si="15"/>
        <v>0.58747416586919288</v>
      </c>
      <c r="R143" s="564">
        <f t="shared" si="22"/>
        <v>74.200000000000273</v>
      </c>
      <c r="S143" s="570">
        <f t="shared" si="16"/>
        <v>0.72375775023924227</v>
      </c>
      <c r="T143" s="302">
        <f t="shared" si="20"/>
        <v>-4.3612171984723354</v>
      </c>
      <c r="U143" s="302">
        <f t="shared" si="21"/>
        <v>4.4679889942918045</v>
      </c>
      <c r="V143" s="298">
        <f t="shared" si="23"/>
        <v>1.4310106632066333E-2</v>
      </c>
      <c r="X143" s="13"/>
      <c r="Y143" s="13"/>
      <c r="Z143" s="13"/>
      <c r="AK143" s="21"/>
      <c r="AL143" s="21"/>
      <c r="AM143" s="21"/>
      <c r="AN143" s="21"/>
      <c r="AO143" s="79"/>
      <c r="AP143" s="21"/>
      <c r="AQ143" s="21"/>
      <c r="AR143" s="21"/>
    </row>
    <row r="144" spans="1:44" ht="15.6" x14ac:dyDescent="0.3">
      <c r="A144" s="562">
        <v>109</v>
      </c>
      <c r="B144" s="563">
        <v>68</v>
      </c>
      <c r="C144" s="564">
        <f>IFERROR('Device Resistance Tables'!C132,NA())</f>
        <v>12782.4012133701</v>
      </c>
      <c r="D144" s="565">
        <f>IFERROR('Device Resistance Tables'!D132,NA())</f>
        <v>12911.516377141515</v>
      </c>
      <c r="E144" s="564">
        <f>IFERROR('Device Resistance Tables'!F132,NA())</f>
        <v>13040.631540912931</v>
      </c>
      <c r="F144" s="566">
        <f t="shared" si="17"/>
        <v>1.8076122927998119</v>
      </c>
      <c r="G144" s="564">
        <f t="shared" si="18"/>
        <v>75.962889847887709</v>
      </c>
      <c r="H144" s="566">
        <f t="shared" si="12"/>
        <v>0.25306572099197366</v>
      </c>
      <c r="I144" s="302">
        <f t="shared" si="13"/>
        <v>-1.0000000000000036</v>
      </c>
      <c r="J144" s="302">
        <f t="shared" si="14"/>
        <v>1.0000000000000036</v>
      </c>
      <c r="K144" s="298">
        <f t="shared" si="19"/>
        <v>1.0634804578704138E-2</v>
      </c>
      <c r="L144" s="388"/>
      <c r="M144" s="571">
        <v>68</v>
      </c>
      <c r="N144" s="572">
        <v>2259.7999999999997</v>
      </c>
      <c r="O144" s="572">
        <v>2363.5</v>
      </c>
      <c r="P144" s="572">
        <v>2469.8000000000002</v>
      </c>
      <c r="Q144" s="569">
        <f t="shared" si="15"/>
        <v>0.57350264892627489</v>
      </c>
      <c r="R144" s="564">
        <f t="shared" si="22"/>
        <v>71.599999999999909</v>
      </c>
      <c r="S144" s="570">
        <f t="shared" si="16"/>
        <v>0.7279492053221176</v>
      </c>
      <c r="T144" s="302">
        <f t="shared" si="20"/>
        <v>-4.3875608208165975</v>
      </c>
      <c r="U144" s="302">
        <f t="shared" si="21"/>
        <v>4.4975671673365847</v>
      </c>
      <c r="V144" s="298">
        <f t="shared" si="23"/>
        <v>1.3971516942917983E-2</v>
      </c>
      <c r="X144" s="13"/>
      <c r="Y144" s="13"/>
      <c r="Z144" s="13"/>
      <c r="AK144" s="21"/>
      <c r="AL144" s="21"/>
      <c r="AM144" s="21"/>
      <c r="AN144" s="21"/>
      <c r="AO144" s="79"/>
      <c r="AP144" s="21"/>
      <c r="AQ144" s="21"/>
      <c r="AR144" s="21"/>
    </row>
    <row r="145" spans="1:44" ht="15.6" x14ac:dyDescent="0.3">
      <c r="A145" s="562">
        <v>110</v>
      </c>
      <c r="B145" s="563">
        <v>69</v>
      </c>
      <c r="C145" s="564">
        <f>IFERROR('Device Resistance Tables'!C133,NA())</f>
        <v>12857.942669236529</v>
      </c>
      <c r="D145" s="565">
        <f>IFERROR('Device Resistance Tables'!D133,NA())</f>
        <v>12987.820878016695</v>
      </c>
      <c r="E145" s="564">
        <f>IFERROR('Device Resistance Tables'!F133,NA())</f>
        <v>13117.699086796862</v>
      </c>
      <c r="F145" s="566">
        <f t="shared" si="17"/>
        <v>1.8182949229223371</v>
      </c>
      <c r="G145" s="564">
        <f t="shared" si="18"/>
        <v>76.304500875179656</v>
      </c>
      <c r="H145" s="566">
        <f t="shared" si="12"/>
        <v>0.25456128920912718</v>
      </c>
      <c r="I145" s="302">
        <f t="shared" si="13"/>
        <v>-0.99999999999999623</v>
      </c>
      <c r="J145" s="302">
        <f t="shared" si="14"/>
        <v>0.99999999999999623</v>
      </c>
      <c r="K145" s="298">
        <f t="shared" si="19"/>
        <v>1.0682630122525127E-2</v>
      </c>
      <c r="L145" s="388"/>
      <c r="M145" s="571">
        <v>69</v>
      </c>
      <c r="N145" s="572">
        <v>2193</v>
      </c>
      <c r="O145" s="572">
        <v>2294.2999999999997</v>
      </c>
      <c r="P145" s="572">
        <v>2398.2000000000003</v>
      </c>
      <c r="Q145" s="569">
        <f t="shared" si="15"/>
        <v>0.5598448061296698</v>
      </c>
      <c r="R145" s="564">
        <f t="shared" si="22"/>
        <v>69.200000000000273</v>
      </c>
      <c r="S145" s="570">
        <f t="shared" si="16"/>
        <v>0.73204655816109898</v>
      </c>
      <c r="T145" s="302">
        <f t="shared" si="20"/>
        <v>-4.4152900666869961</v>
      </c>
      <c r="U145" s="302">
        <f t="shared" si="21"/>
        <v>4.5286143921893629</v>
      </c>
      <c r="V145" s="298">
        <f t="shared" si="23"/>
        <v>1.3657842796605091E-2</v>
      </c>
      <c r="X145" s="13"/>
      <c r="Y145" s="13"/>
      <c r="Z145" s="13"/>
      <c r="AK145" s="21"/>
      <c r="AL145" s="21"/>
      <c r="AM145" s="21"/>
      <c r="AN145" s="21"/>
      <c r="AO145" s="79"/>
      <c r="AP145" s="21"/>
      <c r="AQ145" s="21"/>
      <c r="AR145" s="21"/>
    </row>
    <row r="146" spans="1:44" ht="15.6" x14ac:dyDescent="0.3">
      <c r="A146" s="562">
        <v>111</v>
      </c>
      <c r="B146" s="563">
        <v>70</v>
      </c>
      <c r="C146" s="564">
        <f>IFERROR('Device Resistance Tables'!C134,NA())</f>
        <v>12933.824286547522</v>
      </c>
      <c r="D146" s="565">
        <f>IFERROR('Device Resistance Tables'!D134,NA())</f>
        <v>13064.468976310629</v>
      </c>
      <c r="E146" s="564">
        <f>IFERROR('Device Resistance Tables'!F134,NA())</f>
        <v>13195.113666073736</v>
      </c>
      <c r="F146" s="566">
        <f t="shared" si="17"/>
        <v>1.8290256566834879</v>
      </c>
      <c r="G146" s="564">
        <f t="shared" si="18"/>
        <v>76.648098293933799</v>
      </c>
      <c r="H146" s="566">
        <f t="shared" si="12"/>
        <v>0.25606359193568828</v>
      </c>
      <c r="I146" s="302">
        <f t="shared" si="13"/>
        <v>-1.0000000000000033</v>
      </c>
      <c r="J146" s="302">
        <f t="shared" si="14"/>
        <v>1.0000000000000033</v>
      </c>
      <c r="K146" s="298">
        <f t="shared" si="19"/>
        <v>1.0730733761150857E-2</v>
      </c>
      <c r="L146" s="388"/>
      <c r="M146" s="571">
        <v>70</v>
      </c>
      <c r="N146" s="572">
        <v>2128.5</v>
      </c>
      <c r="O146" s="572">
        <v>2227.5</v>
      </c>
      <c r="P146" s="572">
        <v>2329.1</v>
      </c>
      <c r="Q146" s="569">
        <f t="shared" si="15"/>
        <v>0.54651400531588634</v>
      </c>
      <c r="R146" s="564">
        <f t="shared" si="22"/>
        <v>66.799999999999727</v>
      </c>
      <c r="S146" s="570">
        <f t="shared" si="16"/>
        <v>0.7360457984052341</v>
      </c>
      <c r="T146" s="302">
        <f t="shared" si="20"/>
        <v>-4.4444444444444446</v>
      </c>
      <c r="U146" s="302">
        <f t="shared" si="21"/>
        <v>4.5611672278338906</v>
      </c>
      <c r="V146" s="298">
        <f t="shared" si="23"/>
        <v>1.3330800813783461E-2</v>
      </c>
      <c r="X146" s="13"/>
      <c r="Y146" s="13"/>
      <c r="Z146" s="13"/>
      <c r="AK146" s="21"/>
      <c r="AL146" s="21"/>
      <c r="AM146" s="21"/>
      <c r="AN146" s="21"/>
      <c r="AO146" s="79"/>
      <c r="AP146" s="21"/>
      <c r="AQ146" s="21"/>
      <c r="AR146" s="21"/>
    </row>
    <row r="147" spans="1:44" ht="15.6" x14ac:dyDescent="0.3">
      <c r="A147" s="562">
        <v>112</v>
      </c>
      <c r="B147" s="563">
        <v>71</v>
      </c>
      <c r="C147" s="564">
        <f>IFERROR('Device Resistance Tables'!C135,NA())</f>
        <v>12944.340761141235</v>
      </c>
      <c r="D147" s="565">
        <f>IFERROR('Device Resistance Tables'!D135,NA())</f>
        <v>13141.462701666229</v>
      </c>
      <c r="E147" s="564">
        <f>IFERROR('Device Resistance Tables'!F135,NA())</f>
        <v>13338.584642191221</v>
      </c>
      <c r="F147" s="566">
        <f t="shared" si="17"/>
        <v>1.8398047782332718</v>
      </c>
      <c r="G147" s="564">
        <f t="shared" si="18"/>
        <v>76.993725355599963</v>
      </c>
      <c r="H147" s="566">
        <f t="shared" si="12"/>
        <v>0.25757266895265807</v>
      </c>
      <c r="I147" s="302">
        <f t="shared" si="13"/>
        <v>-1.5000000000000042</v>
      </c>
      <c r="J147" s="302">
        <f t="shared" si="14"/>
        <v>1.4999999999999905</v>
      </c>
      <c r="K147" s="298">
        <f t="shared" si="19"/>
        <v>1.0779121549783888E-2</v>
      </c>
      <c r="L147" s="388"/>
      <c r="M147" s="571">
        <v>71</v>
      </c>
      <c r="N147" s="572">
        <v>2066</v>
      </c>
      <c r="O147" s="572">
        <v>2162.7000000000003</v>
      </c>
      <c r="P147" s="572">
        <v>2262</v>
      </c>
      <c r="Q147" s="569">
        <f t="shared" si="15"/>
        <v>0.53344240999120263</v>
      </c>
      <c r="R147" s="564">
        <f t="shared" si="22"/>
        <v>64.799999999999727</v>
      </c>
      <c r="S147" s="570">
        <f t="shared" si="16"/>
        <v>0.73996727700263909</v>
      </c>
      <c r="T147" s="302">
        <f t="shared" si="20"/>
        <v>-4.4712627733851322</v>
      </c>
      <c r="U147" s="302">
        <f t="shared" si="21"/>
        <v>4.5914828686364135</v>
      </c>
      <c r="V147" s="298">
        <f t="shared" si="23"/>
        <v>1.3071595324683716E-2</v>
      </c>
      <c r="X147" s="13"/>
      <c r="Y147" s="13"/>
      <c r="Z147" s="13"/>
      <c r="AK147" s="21"/>
      <c r="AL147" s="21"/>
      <c r="AM147" s="21"/>
      <c r="AN147" s="21"/>
      <c r="AO147" s="79"/>
      <c r="AP147" s="21"/>
      <c r="AQ147" s="21"/>
      <c r="AR147" s="21"/>
    </row>
    <row r="148" spans="1:44" ht="15.6" x14ac:dyDescent="0.3">
      <c r="A148" s="562">
        <v>113</v>
      </c>
      <c r="B148" s="563">
        <v>72</v>
      </c>
      <c r="C148" s="564">
        <f>IFERROR('Device Resistance Tables'!C136,NA())</f>
        <v>13020.522065073181</v>
      </c>
      <c r="D148" s="565">
        <f>IFERROR('Device Resistance Tables'!D136,NA())</f>
        <v>13218.804126977848</v>
      </c>
      <c r="E148" s="564">
        <f>IFERROR('Device Resistance Tables'!F136,NA())</f>
        <v>13417.086188882515</v>
      </c>
      <c r="F148" s="566">
        <f t="shared" si="17"/>
        <v>1.8506325777768986</v>
      </c>
      <c r="G148" s="564">
        <f t="shared" si="18"/>
        <v>77.341425311618877</v>
      </c>
      <c r="H148" s="566">
        <f t="shared" si="12"/>
        <v>0.25908856088876575</v>
      </c>
      <c r="I148" s="302">
        <f t="shared" si="13"/>
        <v>-1.4999999999999947</v>
      </c>
      <c r="J148" s="302">
        <f t="shared" si="14"/>
        <v>1.4999999999999947</v>
      </c>
      <c r="K148" s="298">
        <f t="shared" si="19"/>
        <v>1.0827799543626782E-2</v>
      </c>
      <c r="L148" s="388"/>
      <c r="M148" s="571">
        <v>72</v>
      </c>
      <c r="N148" s="572">
        <v>2005.6</v>
      </c>
      <c r="O148" s="572">
        <v>2100.1</v>
      </c>
      <c r="P148" s="572">
        <v>2197.1</v>
      </c>
      <c r="Q148" s="569">
        <f t="shared" si="15"/>
        <v>0.52068164725911348</v>
      </c>
      <c r="R148" s="564">
        <f t="shared" si="22"/>
        <v>62.600000000000364</v>
      </c>
      <c r="S148" s="570">
        <f t="shared" si="16"/>
        <v>0.74379550582226583</v>
      </c>
      <c r="T148" s="302">
        <f t="shared" si="20"/>
        <v>-4.4997857244893105</v>
      </c>
      <c r="U148" s="302">
        <f t="shared" si="21"/>
        <v>4.6188276748726258</v>
      </c>
      <c r="V148" s="298">
        <f t="shared" si="23"/>
        <v>1.2760762732089148E-2</v>
      </c>
      <c r="X148" s="13"/>
      <c r="Y148" s="13"/>
      <c r="Z148" s="13"/>
      <c r="AK148" s="21"/>
      <c r="AL148" s="21"/>
      <c r="AM148" s="21"/>
      <c r="AN148" s="21"/>
      <c r="AO148" s="79"/>
      <c r="AP148" s="21"/>
      <c r="AQ148" s="21"/>
      <c r="AR148" s="21"/>
    </row>
    <row r="149" spans="1:44" ht="15.6" x14ac:dyDescent="0.3">
      <c r="A149" s="562">
        <v>114</v>
      </c>
      <c r="B149" s="563">
        <v>73</v>
      </c>
      <c r="C149" s="564">
        <f>IFERROR('Device Resistance Tables'!C137,NA())</f>
        <v>13097.047937865404</v>
      </c>
      <c r="D149" s="565">
        <f>IFERROR('Device Resistance Tables'!D137,NA())</f>
        <v>13296.495368391274</v>
      </c>
      <c r="E149" s="564">
        <f>IFERROR('Device Resistance Tables'!F137,NA())</f>
        <v>13495.942798917142</v>
      </c>
      <c r="F149" s="566">
        <f t="shared" si="17"/>
        <v>1.861509351574778</v>
      </c>
      <c r="G149" s="564">
        <f t="shared" si="18"/>
        <v>77.691241413425814</v>
      </c>
      <c r="H149" s="566">
        <f t="shared" si="12"/>
        <v>0.26061130922046888</v>
      </c>
      <c r="I149" s="302">
        <f t="shared" si="13"/>
        <v>-1.5000000000000067</v>
      </c>
      <c r="J149" s="302">
        <f t="shared" si="14"/>
        <v>1.4999999999999929</v>
      </c>
      <c r="K149" s="298">
        <f t="shared" si="19"/>
        <v>1.0876773797879435E-2</v>
      </c>
      <c r="L149" s="388"/>
      <c r="M149" s="571">
        <v>73</v>
      </c>
      <c r="N149" s="572">
        <v>1947.2</v>
      </c>
      <c r="O149" s="572">
        <v>2039.6000000000001</v>
      </c>
      <c r="P149" s="572">
        <v>2134.3999999999996</v>
      </c>
      <c r="Q149" s="569">
        <f t="shared" si="15"/>
        <v>0.50822286454699495</v>
      </c>
      <c r="R149" s="564">
        <f t="shared" si="22"/>
        <v>60.499999999999773</v>
      </c>
      <c r="S149" s="570">
        <f t="shared" si="16"/>
        <v>0.74753314063590137</v>
      </c>
      <c r="T149" s="302">
        <f t="shared" si="20"/>
        <v>-4.5303000588350697</v>
      </c>
      <c r="U149" s="302">
        <f t="shared" si="21"/>
        <v>4.6479701902333543</v>
      </c>
      <c r="V149" s="298">
        <f t="shared" si="23"/>
        <v>1.2458782712118532E-2</v>
      </c>
      <c r="X149" s="13"/>
      <c r="Y149" s="13"/>
      <c r="Z149" s="13"/>
      <c r="AK149" s="21"/>
      <c r="AL149" s="21"/>
      <c r="AM149" s="21"/>
      <c r="AN149" s="21"/>
      <c r="AO149" s="79"/>
      <c r="AP149" s="21"/>
      <c r="AQ149" s="21"/>
      <c r="AR149" s="21"/>
    </row>
    <row r="150" spans="1:44" ht="15.6" x14ac:dyDescent="0.3">
      <c r="A150" s="562">
        <v>115</v>
      </c>
      <c r="B150" s="563">
        <v>74</v>
      </c>
      <c r="C150" s="564">
        <f>IFERROR('Device Resistance Tables'!C138,NA())</f>
        <v>13173.920506524179</v>
      </c>
      <c r="D150" s="565">
        <f>IFERROR('Device Resistance Tables'!D138,NA())</f>
        <v>13374.538585303735</v>
      </c>
      <c r="E150" s="564">
        <f>IFERROR('Device Resistance Tables'!F138,NA())</f>
        <v>13575.15666408329</v>
      </c>
      <c r="F150" s="566">
        <f t="shared" si="17"/>
        <v>1.8724354019425227</v>
      </c>
      <c r="G150" s="564">
        <f t="shared" si="18"/>
        <v>78.043216912461503</v>
      </c>
      <c r="H150" s="566">
        <f t="shared" si="12"/>
        <v>0.26214095627195316</v>
      </c>
      <c r="I150" s="302">
        <f t="shared" si="13"/>
        <v>-1.5000000000000038</v>
      </c>
      <c r="J150" s="302">
        <f t="shared" si="14"/>
        <v>1.49999999999999</v>
      </c>
      <c r="K150" s="298">
        <f t="shared" si="19"/>
        <v>1.0926050367744633E-2</v>
      </c>
      <c r="L150" s="388"/>
      <c r="M150" s="571">
        <v>74</v>
      </c>
      <c r="N150" s="572">
        <v>1890.8</v>
      </c>
      <c r="O150" s="572">
        <v>1981.1000000000001</v>
      </c>
      <c r="P150" s="572">
        <v>2073.7999999999997</v>
      </c>
      <c r="Q150" s="569">
        <f t="shared" si="15"/>
        <v>0.49605628865463103</v>
      </c>
      <c r="R150" s="564">
        <f t="shared" si="22"/>
        <v>58.5</v>
      </c>
      <c r="S150" s="570">
        <f t="shared" si="16"/>
        <v>0.75118311340361055</v>
      </c>
      <c r="T150" s="302">
        <f t="shared" si="20"/>
        <v>-4.5580737973853003</v>
      </c>
      <c r="U150" s="302">
        <f t="shared" si="21"/>
        <v>4.6792186159204272</v>
      </c>
      <c r="V150" s="298">
        <f t="shared" si="23"/>
        <v>1.2166575892363918E-2</v>
      </c>
      <c r="X150" s="13"/>
      <c r="Y150" s="13"/>
      <c r="Z150" s="13"/>
      <c r="AK150" s="21"/>
      <c r="AL150" s="21"/>
      <c r="AM150" s="21"/>
      <c r="AN150" s="21"/>
      <c r="AO150" s="79"/>
      <c r="AP150" s="21"/>
      <c r="AQ150" s="21"/>
      <c r="AR150" s="21"/>
    </row>
    <row r="151" spans="1:44" ht="15.6" x14ac:dyDescent="0.3">
      <c r="A151" s="562">
        <v>116</v>
      </c>
      <c r="B151" s="563">
        <v>75</v>
      </c>
      <c r="C151" s="564">
        <f>IFERROR('Device Resistance Tables'!C139,NA())</f>
        <v>13251.141940658461</v>
      </c>
      <c r="D151" s="565">
        <f>IFERROR('Device Resistance Tables'!D139,NA())</f>
        <v>13452.93598036392</v>
      </c>
      <c r="E151" s="564">
        <f>IFERROR('Device Resistance Tables'!F139,NA())</f>
        <v>13654.730020069377</v>
      </c>
      <c r="F151" s="566">
        <f t="shared" si="17"/>
        <v>1.8834110372509487</v>
      </c>
      <c r="G151" s="564">
        <f t="shared" si="18"/>
        <v>78.397395060184863</v>
      </c>
      <c r="H151" s="566">
        <f t="shared" si="12"/>
        <v>0.26367754521513276</v>
      </c>
      <c r="I151" s="302">
        <f t="shared" si="13"/>
        <v>-1.5000000000000016</v>
      </c>
      <c r="J151" s="302">
        <f t="shared" si="14"/>
        <v>1.499999999999988</v>
      </c>
      <c r="K151" s="298">
        <f t="shared" si="19"/>
        <v>1.0975635308426046E-2</v>
      </c>
      <c r="L151" s="388"/>
      <c r="M151" s="571">
        <v>75</v>
      </c>
      <c r="N151" s="572">
        <v>1836.3</v>
      </c>
      <c r="O151" s="572">
        <v>1924.5</v>
      </c>
      <c r="P151" s="572">
        <v>2015.2</v>
      </c>
      <c r="Q151" s="569">
        <f t="shared" si="15"/>
        <v>0.48417124407731976</v>
      </c>
      <c r="R151" s="564">
        <f t="shared" si="22"/>
        <v>56.600000000000136</v>
      </c>
      <c r="S151" s="570">
        <f t="shared" si="16"/>
        <v>0.75474862677680388</v>
      </c>
      <c r="T151" s="302">
        <f t="shared" si="20"/>
        <v>-4.5830085736554977</v>
      </c>
      <c r="U151" s="302">
        <f t="shared" si="21"/>
        <v>4.7129124447908577</v>
      </c>
      <c r="V151" s="298">
        <f t="shared" si="23"/>
        <v>1.1885044577311266E-2</v>
      </c>
      <c r="X151" s="13"/>
      <c r="Y151" s="13"/>
      <c r="Z151" s="13"/>
      <c r="AK151" s="21"/>
      <c r="AL151" s="21"/>
      <c r="AM151" s="21"/>
      <c r="AN151" s="21"/>
      <c r="AO151" s="79"/>
      <c r="AP151" s="21"/>
      <c r="AQ151" s="21"/>
      <c r="AR151" s="21"/>
    </row>
    <row r="152" spans="1:44" ht="15.6" x14ac:dyDescent="0.3">
      <c r="A152" s="562">
        <v>117</v>
      </c>
      <c r="B152" s="563">
        <v>76</v>
      </c>
      <c r="C152" s="564">
        <f>IFERROR('Device Resistance Tables'!C140,NA())</f>
        <v>13328.71445247985</v>
      </c>
      <c r="D152" s="565">
        <f>IFERROR('Device Resistance Tables'!D140,NA())</f>
        <v>13531.689799471929</v>
      </c>
      <c r="E152" s="564">
        <f>IFERROR('Device Resistance Tables'!F140,NA())</f>
        <v>13734.665146464007</v>
      </c>
      <c r="F152" s="566">
        <f t="shared" si="17"/>
        <v>1.8944365719260698</v>
      </c>
      <c r="G152" s="564">
        <f t="shared" si="18"/>
        <v>78.753819108009338</v>
      </c>
      <c r="H152" s="566">
        <f t="shared" si="12"/>
        <v>0.26522112006964976</v>
      </c>
      <c r="I152" s="302">
        <f t="shared" si="13"/>
        <v>-1.5000000000000058</v>
      </c>
      <c r="J152" s="302">
        <f t="shared" si="14"/>
        <v>1.4999999999999922</v>
      </c>
      <c r="K152" s="298">
        <f t="shared" si="19"/>
        <v>1.1025534675121129E-2</v>
      </c>
      <c r="L152" s="388"/>
      <c r="M152" s="571">
        <v>76</v>
      </c>
      <c r="N152" s="572">
        <v>1783.6000000000001</v>
      </c>
      <c r="O152" s="572">
        <v>1869.8</v>
      </c>
      <c r="P152" s="572">
        <v>1958.5</v>
      </c>
      <c r="Q152" s="569">
        <f t="shared" si="15"/>
        <v>0.47257746550068236</v>
      </c>
      <c r="R152" s="564">
        <f t="shared" si="22"/>
        <v>54.700000000000045</v>
      </c>
      <c r="S152" s="570">
        <f t="shared" si="16"/>
        <v>0.7582267603497953</v>
      </c>
      <c r="T152" s="302">
        <f t="shared" si="20"/>
        <v>-4.6101187292758485</v>
      </c>
      <c r="U152" s="302">
        <f t="shared" si="21"/>
        <v>4.7438228687560198</v>
      </c>
      <c r="V152" s="298">
        <f t="shared" si="23"/>
        <v>1.1593778576637404E-2</v>
      </c>
      <c r="X152" s="13"/>
      <c r="Y152" s="13"/>
      <c r="Z152" s="13"/>
      <c r="AK152" s="21"/>
      <c r="AL152" s="21"/>
      <c r="AM152" s="21"/>
      <c r="AN152" s="21"/>
      <c r="AO152" s="79"/>
      <c r="AP152" s="21"/>
      <c r="AQ152" s="21"/>
      <c r="AR152" s="21"/>
    </row>
    <row r="153" spans="1:44" ht="15.6" x14ac:dyDescent="0.3">
      <c r="A153" s="562">
        <v>118</v>
      </c>
      <c r="B153" s="563">
        <v>77</v>
      </c>
      <c r="C153" s="564">
        <f>IFERROR('Device Resistance Tables'!C141,NA())</f>
        <v>13406.640296802636</v>
      </c>
      <c r="D153" s="565">
        <f>IFERROR('Device Resistance Tables'!D141,NA())</f>
        <v>13610.802331779327</v>
      </c>
      <c r="E153" s="564">
        <f>IFERROR('Device Resistance Tables'!F141,NA())</f>
        <v>13814.964366756016</v>
      </c>
      <c r="F153" s="566">
        <f t="shared" si="17"/>
        <v>1.9055123264491056</v>
      </c>
      <c r="G153" s="564">
        <f t="shared" si="18"/>
        <v>79.112532307397487</v>
      </c>
      <c r="H153" s="566">
        <f t="shared" si="12"/>
        <v>0.26677172570287477</v>
      </c>
      <c r="I153" s="302">
        <f t="shared" si="13"/>
        <v>-1.5000000000000069</v>
      </c>
      <c r="J153" s="302">
        <f t="shared" si="14"/>
        <v>1.4999999999999936</v>
      </c>
      <c r="K153" s="298">
        <f t="shared" si="19"/>
        <v>1.1075754523035775E-2</v>
      </c>
      <c r="L153" s="388"/>
      <c r="M153" s="571">
        <v>77</v>
      </c>
      <c r="N153" s="572">
        <v>1732.6999999999998</v>
      </c>
      <c r="O153" s="572">
        <v>1817</v>
      </c>
      <c r="P153" s="572">
        <v>1903.7</v>
      </c>
      <c r="Q153" s="569">
        <f t="shared" si="15"/>
        <v>0.4612845899974613</v>
      </c>
      <c r="R153" s="564">
        <f t="shared" si="22"/>
        <v>52.799999999999955</v>
      </c>
      <c r="S153" s="570">
        <f t="shared" si="16"/>
        <v>0.76161462300076166</v>
      </c>
      <c r="T153" s="302">
        <f t="shared" si="20"/>
        <v>-4.6395156851953869</v>
      </c>
      <c r="U153" s="302">
        <f t="shared" si="21"/>
        <v>4.7716015410016537</v>
      </c>
      <c r="V153" s="298">
        <f t="shared" si="23"/>
        <v>1.1292875503221056E-2</v>
      </c>
      <c r="X153" s="13"/>
      <c r="Y153" s="13"/>
      <c r="Z153" s="13"/>
      <c r="AK153" s="21"/>
      <c r="AL153" s="21"/>
      <c r="AM153" s="21"/>
      <c r="AN153" s="21"/>
      <c r="AO153" s="79"/>
      <c r="AP153" s="21"/>
      <c r="AQ153" s="21"/>
      <c r="AR153" s="21"/>
    </row>
    <row r="154" spans="1:44" ht="15.6" x14ac:dyDescent="0.3">
      <c r="A154" s="562">
        <v>119</v>
      </c>
      <c r="B154" s="563">
        <v>78</v>
      </c>
      <c r="C154" s="564">
        <f>IFERROR('Device Resistance Tables'!C142,NA())</f>
        <v>13484.921771043775</v>
      </c>
      <c r="D154" s="565">
        <f>IFERROR('Device Resistance Tables'!D142,NA())</f>
        <v>13690.275909689111</v>
      </c>
      <c r="E154" s="564">
        <f>IFERROR('Device Resistance Tables'!F142,NA())</f>
        <v>13895.630048334448</v>
      </c>
      <c r="F154" s="566">
        <f t="shared" si="17"/>
        <v>1.9166386273564755</v>
      </c>
      <c r="G154" s="564">
        <f t="shared" si="18"/>
        <v>79.473577909784581</v>
      </c>
      <c r="H154" s="566">
        <f t="shared" si="12"/>
        <v>0.26832940782990655</v>
      </c>
      <c r="I154" s="302">
        <f t="shared" si="13"/>
        <v>-1.4999999999999967</v>
      </c>
      <c r="J154" s="302">
        <f t="shared" si="14"/>
        <v>1.4999999999999967</v>
      </c>
      <c r="K154" s="298">
        <f t="shared" si="19"/>
        <v>1.1126300907369879E-2</v>
      </c>
      <c r="L154" s="388"/>
      <c r="M154" s="571">
        <v>78</v>
      </c>
      <c r="N154" s="572">
        <v>1683.4</v>
      </c>
      <c r="O154" s="572">
        <v>1765.8</v>
      </c>
      <c r="P154" s="572">
        <v>1850.6</v>
      </c>
      <c r="Q154" s="569">
        <f t="shared" si="15"/>
        <v>0.45023712794710091</v>
      </c>
      <c r="R154" s="564">
        <f t="shared" si="22"/>
        <v>51.200000000000045</v>
      </c>
      <c r="S154" s="570">
        <f t="shared" si="16"/>
        <v>0.76492886161586959</v>
      </c>
      <c r="T154" s="302">
        <f t="shared" si="20"/>
        <v>-4.666440140446249</v>
      </c>
      <c r="U154" s="302">
        <f t="shared" si="21"/>
        <v>4.8023558726922619</v>
      </c>
      <c r="V154" s="298">
        <f t="shared" si="23"/>
        <v>1.104746205036039E-2</v>
      </c>
      <c r="X154" s="13"/>
      <c r="Y154" s="13"/>
      <c r="Z154" s="13"/>
      <c r="AK154" s="21"/>
      <c r="AL154" s="21"/>
      <c r="AM154" s="21"/>
      <c r="AN154" s="21"/>
      <c r="AO154" s="79"/>
      <c r="AP154" s="21"/>
      <c r="AQ154" s="21"/>
      <c r="AR154" s="21"/>
    </row>
    <row r="155" spans="1:44" ht="15.6" x14ac:dyDescent="0.3">
      <c r="A155" s="562">
        <v>120</v>
      </c>
      <c r="B155" s="563">
        <v>79</v>
      </c>
      <c r="C155" s="564">
        <f>IFERROR('Device Resistance Tables'!C143,NA())</f>
        <v>13563.561215222879</v>
      </c>
      <c r="D155" s="565">
        <f>IFERROR('Device Resistance Tables'!D143,NA())</f>
        <v>13770.112908855715</v>
      </c>
      <c r="E155" s="564">
        <f>IFERROR('Device Resistance Tables'!F143,NA())</f>
        <v>13976.66460248855</v>
      </c>
      <c r="F155" s="566">
        <f t="shared" si="17"/>
        <v>1.9278158072398</v>
      </c>
      <c r="G155" s="564">
        <f t="shared" si="18"/>
        <v>79.836999166604073</v>
      </c>
      <c r="H155" s="566">
        <f t="shared" si="12"/>
        <v>0.26989421301357197</v>
      </c>
      <c r="I155" s="302">
        <f t="shared" si="13"/>
        <v>-1.5000000000000073</v>
      </c>
      <c r="J155" s="302">
        <f t="shared" si="14"/>
        <v>1.4999999999999942</v>
      </c>
      <c r="K155" s="298">
        <f t="shared" si="19"/>
        <v>1.1177179883324451E-2</v>
      </c>
      <c r="L155" s="388"/>
      <c r="M155" s="571">
        <v>79</v>
      </c>
      <c r="N155" s="572">
        <v>1635.8</v>
      </c>
      <c r="O155" s="572">
        <v>1716.3999999999999</v>
      </c>
      <c r="P155" s="572">
        <v>1799.3</v>
      </c>
      <c r="Q155" s="569">
        <f t="shared" si="15"/>
        <v>0.43948653169915669</v>
      </c>
      <c r="R155" s="564">
        <f t="shared" si="22"/>
        <v>49.400000000000091</v>
      </c>
      <c r="S155" s="570">
        <f t="shared" si="16"/>
        <v>0.76815404049025293</v>
      </c>
      <c r="T155" s="302">
        <f t="shared" si="20"/>
        <v>-4.6958750873922117</v>
      </c>
      <c r="U155" s="302">
        <f t="shared" si="21"/>
        <v>4.8298764856676817</v>
      </c>
      <c r="V155" s="298">
        <f t="shared" si="23"/>
        <v>1.0750596247944222E-2</v>
      </c>
      <c r="X155" s="13"/>
      <c r="Y155" s="13"/>
      <c r="Z155" s="13"/>
      <c r="AK155" s="21"/>
      <c r="AL155" s="21"/>
      <c r="AM155" s="21"/>
      <c r="AN155" s="21"/>
      <c r="AO155" s="79"/>
      <c r="AP155" s="21"/>
      <c r="AQ155" s="21"/>
      <c r="AR155" s="21"/>
    </row>
    <row r="156" spans="1:44" ht="15.6" x14ac:dyDescent="0.3">
      <c r="A156" s="562">
        <v>121</v>
      </c>
      <c r="B156" s="563">
        <v>80</v>
      </c>
      <c r="C156" s="564">
        <f>IFERROR('Device Resistance Tables'!C144,NA())</f>
        <v>13642.561011962251</v>
      </c>
      <c r="D156" s="565">
        <f>IFERROR('Device Resistance Tables'!D144,NA())</f>
        <v>13850.315748185027</v>
      </c>
      <c r="E156" s="564">
        <f>IFERROR('Device Resistance Tables'!F144,NA())</f>
        <v>14058.070484407801</v>
      </c>
      <c r="F156" s="566">
        <f t="shared" si="17"/>
        <v>1.9390442047459036</v>
      </c>
      <c r="G156" s="564">
        <f t="shared" si="18"/>
        <v>80.202839329311246</v>
      </c>
      <c r="H156" s="566">
        <f t="shared" si="12"/>
        <v>0.27146618866442646</v>
      </c>
      <c r="I156" s="302">
        <f t="shared" si="13"/>
        <v>-1.5000000000000047</v>
      </c>
      <c r="J156" s="302">
        <f t="shared" si="14"/>
        <v>1.4999999999999913</v>
      </c>
      <c r="K156" s="298">
        <f t="shared" si="19"/>
        <v>1.1228397506103605E-2</v>
      </c>
      <c r="L156" s="388"/>
      <c r="M156" s="571">
        <v>80</v>
      </c>
      <c r="N156" s="572">
        <v>1589.6999999999998</v>
      </c>
      <c r="O156" s="572">
        <v>1668.5</v>
      </c>
      <c r="P156" s="572">
        <v>1749.6000000000001</v>
      </c>
      <c r="Q156" s="569">
        <f t="shared" si="15"/>
        <v>0.42897544671551613</v>
      </c>
      <c r="R156" s="564">
        <f t="shared" si="22"/>
        <v>47.899999999999864</v>
      </c>
      <c r="S156" s="570">
        <f t="shared" si="16"/>
        <v>0.77130736598534511</v>
      </c>
      <c r="T156" s="302">
        <f t="shared" si="20"/>
        <v>-4.722804914593957</v>
      </c>
      <c r="U156" s="302">
        <f t="shared" si="21"/>
        <v>4.8606532813904781</v>
      </c>
      <c r="V156" s="298">
        <f t="shared" si="23"/>
        <v>1.0511084983640562E-2</v>
      </c>
      <c r="X156" s="13"/>
      <c r="Y156" s="13"/>
      <c r="Z156" s="13"/>
      <c r="AK156" s="21"/>
      <c r="AL156" s="21"/>
      <c r="AM156" s="21"/>
      <c r="AN156" s="21"/>
      <c r="AO156" s="79"/>
      <c r="AP156" s="21"/>
      <c r="AQ156" s="21"/>
      <c r="AR156" s="21"/>
    </row>
    <row r="157" spans="1:44" ht="15.6" x14ac:dyDescent="0.3">
      <c r="A157" s="562">
        <v>122</v>
      </c>
      <c r="B157" s="563">
        <v>81</v>
      </c>
      <c r="C157" s="564">
        <f>IFERROR('Device Resistance Tables'!C145,NA())</f>
        <v>13721.923586486848</v>
      </c>
      <c r="D157" s="565">
        <f>IFERROR('Device Resistance Tables'!D145,NA())</f>
        <v>13930.886889834363</v>
      </c>
      <c r="E157" s="564">
        <f>IFERROR('Device Resistance Tables'!F145,NA())</f>
        <v>14139.850193181877</v>
      </c>
      <c r="F157" s="566">
        <f t="shared" si="17"/>
        <v>1.9503241645768106</v>
      </c>
      <c r="G157" s="564">
        <f t="shared" si="18"/>
        <v>80.571141649335914</v>
      </c>
      <c r="H157" s="566">
        <f t="shared" si="12"/>
        <v>0.27304538304075343</v>
      </c>
      <c r="I157" s="302">
        <f t="shared" si="13"/>
        <v>-1.4999999999999949</v>
      </c>
      <c r="J157" s="302">
        <f t="shared" si="14"/>
        <v>1.4999999999999949</v>
      </c>
      <c r="K157" s="298">
        <f t="shared" si="19"/>
        <v>1.1279959830907016E-2</v>
      </c>
      <c r="L157" s="388"/>
      <c r="M157" s="571">
        <v>81</v>
      </c>
      <c r="N157" s="572">
        <v>1545.3</v>
      </c>
      <c r="O157" s="572">
        <v>1622.4</v>
      </c>
      <c r="P157" s="572">
        <v>1701.7</v>
      </c>
      <c r="Q157" s="569">
        <f t="shared" si="15"/>
        <v>0.4187775330396476</v>
      </c>
      <c r="R157" s="564">
        <f t="shared" si="22"/>
        <v>46.099999999999909</v>
      </c>
      <c r="S157" s="570">
        <f t="shared" si="16"/>
        <v>0.77436674008810569</v>
      </c>
      <c r="T157" s="302">
        <f t="shared" si="20"/>
        <v>-4.7522189349112507</v>
      </c>
      <c r="U157" s="302">
        <f t="shared" si="21"/>
        <v>4.8878205128205101</v>
      </c>
      <c r="V157" s="298">
        <f t="shared" si="23"/>
        <v>1.0197913675868531E-2</v>
      </c>
      <c r="X157" s="13"/>
      <c r="Y157" s="13"/>
      <c r="Z157" s="13"/>
      <c r="AK157" s="21"/>
      <c r="AL157" s="21"/>
      <c r="AM157" s="21"/>
      <c r="AN157" s="21"/>
      <c r="AO157" s="79"/>
      <c r="AP157" s="21"/>
      <c r="AQ157" s="21"/>
      <c r="AR157" s="21"/>
    </row>
    <row r="158" spans="1:44" ht="15.6" x14ac:dyDescent="0.3">
      <c r="A158" s="562">
        <v>123</v>
      </c>
      <c r="B158" s="563">
        <v>82</v>
      </c>
      <c r="C158" s="564">
        <f>IFERROR('Device Resistance Tables'!C146,NA())</f>
        <v>13801.651406624303</v>
      </c>
      <c r="D158" s="565">
        <f>IFERROR('Device Resistance Tables'!D146,NA())</f>
        <v>14011.82883921249</v>
      </c>
      <c r="E158" s="564">
        <f>IFERROR('Device Resistance Tables'!F146,NA())</f>
        <v>14222.006271800676</v>
      </c>
      <c r="F158" s="566">
        <f t="shared" si="17"/>
        <v>1.9616560374897485</v>
      </c>
      <c r="G158" s="564">
        <f t="shared" si="18"/>
        <v>80.941949378127902</v>
      </c>
      <c r="H158" s="566">
        <f t="shared" si="12"/>
        <v>0.27463184524856477</v>
      </c>
      <c r="I158" s="302">
        <f t="shared" si="13"/>
        <v>-1.4999999999999976</v>
      </c>
      <c r="J158" s="302">
        <f t="shared" si="14"/>
        <v>1.4999999999999845</v>
      </c>
      <c r="K158" s="298">
        <f t="shared" si="19"/>
        <v>1.1331872912937913E-2</v>
      </c>
      <c r="L158" s="388"/>
      <c r="M158" s="571">
        <v>82</v>
      </c>
      <c r="N158" s="572">
        <v>1502.3999999999999</v>
      </c>
      <c r="O158" s="572">
        <v>1577.7</v>
      </c>
      <c r="P158" s="572">
        <v>1655.3</v>
      </c>
      <c r="Q158" s="569">
        <f t="shared" si="15"/>
        <v>0.40881176744949338</v>
      </c>
      <c r="R158" s="564">
        <f t="shared" si="22"/>
        <v>44.700000000000045</v>
      </c>
      <c r="S158" s="570">
        <f t="shared" si="16"/>
        <v>0.77735646976515183</v>
      </c>
      <c r="T158" s="302">
        <f t="shared" si="20"/>
        <v>-4.7727704886860733</v>
      </c>
      <c r="U158" s="302">
        <f t="shared" si="21"/>
        <v>4.9185523230018315</v>
      </c>
      <c r="V158" s="298">
        <f t="shared" si="23"/>
        <v>9.9657655901542186E-3</v>
      </c>
      <c r="X158" s="13"/>
      <c r="Y158" s="13"/>
      <c r="Z158" s="13"/>
      <c r="AK158" s="21"/>
      <c r="AL158" s="21"/>
      <c r="AM158" s="21"/>
      <c r="AN158" s="21"/>
      <c r="AO158" s="79"/>
      <c r="AP158" s="21"/>
      <c r="AQ158" s="21"/>
      <c r="AR158" s="21"/>
    </row>
    <row r="159" spans="1:44" ht="15.6" x14ac:dyDescent="0.3">
      <c r="A159" s="562">
        <v>124</v>
      </c>
      <c r="B159" s="563">
        <v>83</v>
      </c>
      <c r="C159" s="564">
        <f>IFERROR('Device Resistance Tables'!C147,NA())</f>
        <v>13881.746982804914</v>
      </c>
      <c r="D159" s="565">
        <f>IFERROR('Device Resistance Tables'!D147,NA())</f>
        <v>14093.144144979609</v>
      </c>
      <c r="E159" s="564">
        <f>IFERROR('Device Resistance Tables'!F147,NA())</f>
        <v>14304.541307154303</v>
      </c>
      <c r="F159" s="566">
        <f t="shared" si="17"/>
        <v>1.9730401802971451</v>
      </c>
      <c r="G159" s="564">
        <f t="shared" si="18"/>
        <v>81.315305767118844</v>
      </c>
      <c r="H159" s="566">
        <f t="shared" si="12"/>
        <v>0.27622562524160033</v>
      </c>
      <c r="I159" s="302">
        <f t="shared" si="13"/>
        <v>-1.5000000000000064</v>
      </c>
      <c r="J159" s="302">
        <f t="shared" si="14"/>
        <v>1.4999999999999936</v>
      </c>
      <c r="K159" s="298">
        <f t="shared" si="19"/>
        <v>1.1384142807396636E-2</v>
      </c>
      <c r="L159" s="388"/>
      <c r="M159" s="571">
        <v>83</v>
      </c>
      <c r="N159" s="572">
        <v>1460.8000000000002</v>
      </c>
      <c r="O159" s="572">
        <v>1534.5</v>
      </c>
      <c r="P159" s="572">
        <v>1610.4</v>
      </c>
      <c r="Q159" s="569">
        <f t="shared" si="15"/>
        <v>0.39910702674584941</v>
      </c>
      <c r="R159" s="564">
        <f t="shared" si="22"/>
        <v>43.200000000000045</v>
      </c>
      <c r="S159" s="570">
        <f t="shared" si="16"/>
        <v>0.78026789197624524</v>
      </c>
      <c r="T159" s="302">
        <f t="shared" si="20"/>
        <v>-4.8028673835125328</v>
      </c>
      <c r="U159" s="302">
        <f t="shared" si="21"/>
        <v>4.9462365591397912</v>
      </c>
      <c r="V159" s="298">
        <f t="shared" si="23"/>
        <v>9.7047407036439659E-3</v>
      </c>
      <c r="X159" s="13"/>
      <c r="Y159" s="13"/>
      <c r="Z159" s="13"/>
      <c r="AK159" s="21"/>
      <c r="AL159" s="21"/>
      <c r="AM159" s="21"/>
      <c r="AN159" s="21"/>
      <c r="AO159" s="79"/>
      <c r="AP159" s="21"/>
      <c r="AQ159" s="21"/>
      <c r="AR159" s="21"/>
    </row>
    <row r="160" spans="1:44" ht="15.6" x14ac:dyDescent="0.3">
      <c r="A160" s="562">
        <v>125</v>
      </c>
      <c r="B160" s="563">
        <v>84</v>
      </c>
      <c r="C160" s="564">
        <f>IFERROR('Device Resistance Tables'!C148,NA())</f>
        <v>13962.212868061657</v>
      </c>
      <c r="D160" s="565">
        <f>IFERROR('Device Resistance Tables'!D148,NA())</f>
        <v>14174.835399047368</v>
      </c>
      <c r="E160" s="564">
        <f>IFERROR('Device Resistance Tables'!F148,NA())</f>
        <v>14387.457930033077</v>
      </c>
      <c r="F160" s="566">
        <f t="shared" si="17"/>
        <v>1.9844769558666313</v>
      </c>
      <c r="G160" s="564">
        <f t="shared" si="18"/>
        <v>81.691254067758564</v>
      </c>
      <c r="H160" s="566">
        <f t="shared" si="12"/>
        <v>0.27782677382132837</v>
      </c>
      <c r="I160" s="302">
        <f t="shared" si="13"/>
        <v>-1.5000000000000027</v>
      </c>
      <c r="J160" s="302">
        <f t="shared" si="14"/>
        <v>1.4999999999999898</v>
      </c>
      <c r="K160" s="298">
        <f t="shared" si="19"/>
        <v>1.1436775569486191E-2</v>
      </c>
      <c r="L160" s="388"/>
      <c r="M160" s="571">
        <v>84</v>
      </c>
      <c r="N160" s="572">
        <v>1420.6000000000001</v>
      </c>
      <c r="O160" s="572">
        <v>1492.6999999999998</v>
      </c>
      <c r="P160" s="572">
        <v>1567</v>
      </c>
      <c r="Q160" s="569">
        <f t="shared" si="15"/>
        <v>0.38964734135581713</v>
      </c>
      <c r="R160" s="564">
        <f t="shared" si="22"/>
        <v>41.800000000000182</v>
      </c>
      <c r="S160" s="570">
        <f t="shared" si="16"/>
        <v>0.78310579759325483</v>
      </c>
      <c r="T160" s="302">
        <f t="shared" si="20"/>
        <v>-4.8301735110872706</v>
      </c>
      <c r="U160" s="302">
        <f t="shared" si="21"/>
        <v>4.9775574462383734</v>
      </c>
      <c r="V160" s="298">
        <f t="shared" si="23"/>
        <v>9.4596853900322797E-3</v>
      </c>
      <c r="X160" s="13"/>
      <c r="Y160" s="13"/>
      <c r="Z160" s="13"/>
      <c r="AK160" s="21"/>
      <c r="AL160" s="21"/>
      <c r="AM160" s="21"/>
      <c r="AN160" s="21"/>
      <c r="AO160" s="79"/>
      <c r="AP160" s="21"/>
      <c r="AQ160" s="21"/>
      <c r="AR160" s="21"/>
    </row>
    <row r="161" spans="1:44" ht="15.6" x14ac:dyDescent="0.3">
      <c r="A161" s="562">
        <v>126</v>
      </c>
      <c r="B161" s="563">
        <v>85</v>
      </c>
      <c r="C161" s="564">
        <f>IFERROR('Device Resistance Tables'!C149,NA())</f>
        <v>14043.051658030174</v>
      </c>
      <c r="D161" s="565">
        <f>IFERROR('Device Resistance Tables'!D149,NA())</f>
        <v>14256.905236578858</v>
      </c>
      <c r="E161" s="564">
        <f>IFERROR('Device Resistance Tables'!F149,NA())</f>
        <v>14470.758815127539</v>
      </c>
      <c r="F161" s="566">
        <f t="shared" si="17"/>
        <v>1.9959667331210398</v>
      </c>
      <c r="G161" s="564">
        <f t="shared" si="18"/>
        <v>82.069837531489611</v>
      </c>
      <c r="H161" s="566">
        <f t="shared" si="12"/>
        <v>0.27943534263694558</v>
      </c>
      <c r="I161" s="302">
        <f t="shared" si="13"/>
        <v>-1.5000000000000064</v>
      </c>
      <c r="J161" s="302">
        <f t="shared" si="14"/>
        <v>1.4999999999999938</v>
      </c>
      <c r="K161" s="298">
        <f t="shared" si="19"/>
        <v>1.1489777254408473E-2</v>
      </c>
      <c r="L161" s="388"/>
      <c r="M161" s="571">
        <v>85</v>
      </c>
      <c r="N161" s="572">
        <v>1381.6999999999998</v>
      </c>
      <c r="O161" s="572">
        <v>1452.1</v>
      </c>
      <c r="P161" s="572">
        <v>1524.8</v>
      </c>
      <c r="Q161" s="569">
        <f t="shared" si="15"/>
        <v>0.38039311567310796</v>
      </c>
      <c r="R161" s="564">
        <f t="shared" si="22"/>
        <v>40.599999999999909</v>
      </c>
      <c r="S161" s="570">
        <f t="shared" si="16"/>
        <v>0.7858820652980677</v>
      </c>
      <c r="T161" s="302">
        <f t="shared" si="20"/>
        <v>-4.8481509537910679</v>
      </c>
      <c r="U161" s="302">
        <f t="shared" si="21"/>
        <v>5.0065422491563973</v>
      </c>
      <c r="V161" s="298">
        <f t="shared" si="23"/>
        <v>9.2542256827091718E-3</v>
      </c>
      <c r="X161" s="13"/>
      <c r="Y161" s="13"/>
      <c r="Z161" s="13"/>
      <c r="AK161" s="21"/>
      <c r="AL161" s="21"/>
      <c r="AM161" s="21"/>
      <c r="AN161" s="21"/>
      <c r="AO161" s="79"/>
      <c r="AP161" s="21"/>
      <c r="AQ161" s="21"/>
      <c r="AR161" s="21"/>
    </row>
    <row r="162" spans="1:44" ht="15.6" x14ac:dyDescent="0.3">
      <c r="A162" s="562">
        <v>127</v>
      </c>
      <c r="B162" s="563">
        <v>86</v>
      </c>
      <c r="C162" s="564">
        <f>IFERROR('Device Resistance Tables'!C150,NA())</f>
        <v>14124.26599094877</v>
      </c>
      <c r="D162" s="565">
        <f>IFERROR('Device Resistance Tables'!D150,NA())</f>
        <v>14339.356335988599</v>
      </c>
      <c r="E162" s="564">
        <f>IFERROR('Device Resistance Tables'!F150,NA())</f>
        <v>14554.446681028427</v>
      </c>
      <c r="F162" s="566">
        <f t="shared" si="17"/>
        <v>2.0075098870384038</v>
      </c>
      <c r="G162" s="564">
        <f t="shared" si="18"/>
        <v>82.451099409741801</v>
      </c>
      <c r="H162" s="566">
        <f t="shared" si="12"/>
        <v>0.28105138418537651</v>
      </c>
      <c r="I162" s="302">
        <f t="shared" si="13"/>
        <v>-1.5000000000000009</v>
      </c>
      <c r="J162" s="302">
        <f t="shared" si="14"/>
        <v>1.4999999999999882</v>
      </c>
      <c r="K162" s="298">
        <f t="shared" si="19"/>
        <v>1.1543153917364046E-2</v>
      </c>
      <c r="L162" s="388"/>
      <c r="M162" s="571">
        <v>86</v>
      </c>
      <c r="N162" s="572">
        <v>1344</v>
      </c>
      <c r="O162" s="572">
        <v>1412.9</v>
      </c>
      <c r="P162" s="572">
        <v>1484.1</v>
      </c>
      <c r="Q162" s="569">
        <f t="shared" si="15"/>
        <v>0.3713955261151855</v>
      </c>
      <c r="R162" s="564">
        <f t="shared" si="22"/>
        <v>39.199999999999818</v>
      </c>
      <c r="S162" s="570">
        <f t="shared" si="16"/>
        <v>0.78858134216544451</v>
      </c>
      <c r="T162" s="302">
        <f t="shared" si="20"/>
        <v>-4.8764951518154218</v>
      </c>
      <c r="U162" s="302">
        <f t="shared" si="21"/>
        <v>5.0392809116002413</v>
      </c>
      <c r="V162" s="298">
        <f t="shared" si="23"/>
        <v>8.9975895579224585E-3</v>
      </c>
      <c r="X162" s="13"/>
      <c r="Y162" s="13"/>
      <c r="Z162" s="13"/>
      <c r="AK162" s="21"/>
      <c r="AL162" s="21"/>
      <c r="AM162" s="21"/>
      <c r="AN162" s="21"/>
      <c r="AO162" s="79"/>
      <c r="AP162" s="21"/>
      <c r="AQ162" s="21"/>
      <c r="AR162" s="21"/>
    </row>
    <row r="163" spans="1:44" ht="15.6" x14ac:dyDescent="0.3">
      <c r="A163" s="562">
        <v>128</v>
      </c>
      <c r="B163" s="563">
        <v>87</v>
      </c>
      <c r="C163" s="564">
        <f>IFERROR('Device Resistance Tables'!C151,NA())</f>
        <v>14205.85854765843</v>
      </c>
      <c r="D163" s="565">
        <f>IFERROR('Device Resistance Tables'!D151,NA())</f>
        <v>14422.19141894257</v>
      </c>
      <c r="E163" s="564">
        <f>IFERROR('Device Resistance Tables'!F151,NA())</f>
        <v>14638.524290226707</v>
      </c>
      <c r="F163" s="566">
        <f t="shared" si="17"/>
        <v>2.0191067986519595</v>
      </c>
      <c r="G163" s="564">
        <f t="shared" si="18"/>
        <v>82.835082953970414</v>
      </c>
      <c r="H163" s="566">
        <f t="shared" si="12"/>
        <v>0.28267495181127433</v>
      </c>
      <c r="I163" s="302">
        <f t="shared" si="13"/>
        <v>-1.5000000000000058</v>
      </c>
      <c r="J163" s="302">
        <f t="shared" si="14"/>
        <v>1.4999999999999933</v>
      </c>
      <c r="K163" s="298">
        <f t="shared" si="19"/>
        <v>1.1596911613555694E-2</v>
      </c>
      <c r="L163" s="388"/>
      <c r="M163" s="571">
        <v>87</v>
      </c>
      <c r="N163" s="572">
        <v>1307.5</v>
      </c>
      <c r="O163" s="572">
        <v>1374.9</v>
      </c>
      <c r="P163" s="572">
        <v>1444.6000000000001</v>
      </c>
      <c r="Q163" s="569">
        <f t="shared" si="15"/>
        <v>0.36261417682792824</v>
      </c>
      <c r="R163" s="564">
        <f t="shared" si="22"/>
        <v>38</v>
      </c>
      <c r="S163" s="570">
        <f t="shared" si="16"/>
        <v>0.79121574695162167</v>
      </c>
      <c r="T163" s="302">
        <f t="shared" si="20"/>
        <v>-4.9021747036148149</v>
      </c>
      <c r="U163" s="302">
        <f t="shared" si="21"/>
        <v>5.0694595970616074</v>
      </c>
      <c r="V163" s="298">
        <f t="shared" si="23"/>
        <v>8.7813492872572674E-3</v>
      </c>
      <c r="X163" s="13"/>
      <c r="Y163" s="13"/>
      <c r="Z163" s="13"/>
      <c r="AK163" s="21"/>
      <c r="AL163" s="21"/>
      <c r="AM163" s="21"/>
      <c r="AN163" s="21"/>
      <c r="AO163" s="79"/>
      <c r="AP163" s="21"/>
      <c r="AQ163" s="21"/>
      <c r="AR163" s="21"/>
    </row>
    <row r="164" spans="1:44" ht="15.6" x14ac:dyDescent="0.3">
      <c r="A164" s="562">
        <v>129</v>
      </c>
      <c r="B164" s="563">
        <v>88</v>
      </c>
      <c r="C164" s="564">
        <f>IFERROR('Device Resistance Tables'!C152,NA())</f>
        <v>14287.832051602798</v>
      </c>
      <c r="D164" s="565">
        <f>IFERROR('Device Resistance Tables'!D152,NA())</f>
        <v>14505.413250358171</v>
      </c>
      <c r="E164" s="564">
        <f>IFERROR('Device Resistance Tables'!F152,NA())</f>
        <v>14722.994449113543</v>
      </c>
      <c r="F164" s="566">
        <f t="shared" si="17"/>
        <v>2.0307578550501439</v>
      </c>
      <c r="G164" s="564">
        <f t="shared" si="18"/>
        <v>83.221831415601628</v>
      </c>
      <c r="H164" s="566">
        <f t="shared" ref="H164:H227" si="24">IFERROR(($B$19/1000000)^2*(D164)*1000,NA())</f>
        <v>0.28430609970702009</v>
      </c>
      <c r="I164" s="302">
        <f t="shared" ref="I164:I227" si="25">IFERROR(((D164-C164)/D164)*-100,NA())</f>
        <v>-1.5000000000000058</v>
      </c>
      <c r="J164" s="302">
        <f t="shared" ref="J164:J227" si="26">IFERROR(((E164-D164)/D164)*100,NA())</f>
        <v>1.4999999999999931</v>
      </c>
      <c r="K164" s="298">
        <f t="shared" si="19"/>
        <v>1.1651056398184423E-2</v>
      </c>
      <c r="L164" s="388"/>
      <c r="M164" s="571">
        <v>88</v>
      </c>
      <c r="N164" s="572">
        <v>1272.0999999999999</v>
      </c>
      <c r="O164" s="572">
        <v>1338.1000000000001</v>
      </c>
      <c r="P164" s="572">
        <v>1406.3000000000002</v>
      </c>
      <c r="Q164" s="569">
        <f t="shared" ref="Q164:Q227" si="27">IFERROR((($B$26/(O164+$M$26))*O164),NA())</f>
        <v>0.35405403021670301</v>
      </c>
      <c r="R164" s="564">
        <f t="shared" si="22"/>
        <v>36.799999999999955</v>
      </c>
      <c r="S164" s="570">
        <f t="shared" ref="S164:S227" si="28">IFERROR((($B$26/(O164+$M$26))^2*($M$26+O164))*1000,NA())</f>
        <v>0.7937837909349893</v>
      </c>
      <c r="T164" s="302">
        <f t="shared" si="20"/>
        <v>-4.932366788730306</v>
      </c>
      <c r="U164" s="302">
        <f t="shared" si="21"/>
        <v>5.0967790150213013</v>
      </c>
      <c r="V164" s="298">
        <f t="shared" si="23"/>
        <v>8.5601466112252278E-3</v>
      </c>
      <c r="X164" s="13"/>
      <c r="Y164" s="13"/>
      <c r="Z164" s="13"/>
      <c r="AK164" s="21"/>
      <c r="AL164" s="21"/>
      <c r="AM164" s="21"/>
      <c r="AN164" s="21"/>
      <c r="AO164" s="79"/>
      <c r="AP164" s="21"/>
      <c r="AQ164" s="21"/>
      <c r="AR164" s="21"/>
    </row>
    <row r="165" spans="1:44" ht="15.6" x14ac:dyDescent="0.3">
      <c r="A165" s="562">
        <v>130</v>
      </c>
      <c r="B165" s="563">
        <v>89</v>
      </c>
      <c r="C165" s="564">
        <f>IFERROR('Device Resistance Tables'!C153,NA())</f>
        <v>14370.189268828199</v>
      </c>
      <c r="D165" s="565">
        <f>IFERROR('Device Resistance Tables'!D153,NA())</f>
        <v>14589.024638404262</v>
      </c>
      <c r="E165" s="564">
        <f>IFERROR('Device Resistance Tables'!F153,NA())</f>
        <v>14807.860007980325</v>
      </c>
      <c r="F165" s="566">
        <f t="shared" ref="F165:F228" si="29">IFERROR(D165*(($B$19/1000000)),NA())</f>
        <v>2.0424634493765965</v>
      </c>
      <c r="G165" s="564">
        <f t="shared" ref="G165:G228" si="30">IFERROR(D165-D164,NA())</f>
        <v>83.611388046090724</v>
      </c>
      <c r="H165" s="566">
        <f t="shared" si="24"/>
        <v>0.28594488291272352</v>
      </c>
      <c r="I165" s="302">
        <f t="shared" si="25"/>
        <v>-1.4999999999999962</v>
      </c>
      <c r="J165" s="302">
        <f t="shared" si="26"/>
        <v>1.4999999999999962</v>
      </c>
      <c r="K165" s="298">
        <f t="shared" ref="K165:K228" si="31">IFERROR(F165-F164,NA())</f>
        <v>1.1705594326452573E-2</v>
      </c>
      <c r="L165" s="388"/>
      <c r="M165" s="571">
        <v>89</v>
      </c>
      <c r="N165" s="572">
        <v>1237.9000000000001</v>
      </c>
      <c r="O165" s="572">
        <v>1302.5</v>
      </c>
      <c r="P165" s="572">
        <v>1369.2</v>
      </c>
      <c r="Q165" s="569">
        <f t="shared" si="27"/>
        <v>0.34571997345719974</v>
      </c>
      <c r="R165" s="564">
        <f t="shared" si="22"/>
        <v>35.600000000000136</v>
      </c>
      <c r="S165" s="570">
        <f t="shared" si="28"/>
        <v>0.79628400796283993</v>
      </c>
      <c r="T165" s="302">
        <f t="shared" ref="T165:T226" si="32">IFERROR(((O165-N165)/O165)*-100,NA())</f>
        <v>-4.9596928982725457</v>
      </c>
      <c r="U165" s="302">
        <f t="shared" ref="U165:U226" si="33">IFERROR(((P165-O165)/O165)*100,NA())</f>
        <v>5.1209213051823452</v>
      </c>
      <c r="V165" s="298">
        <f t="shared" si="23"/>
        <v>8.3340567595032722E-3</v>
      </c>
      <c r="X165" s="13"/>
      <c r="Y165" s="13"/>
      <c r="Z165" s="13"/>
      <c r="AK165" s="21"/>
      <c r="AL165" s="21"/>
      <c r="AM165" s="21"/>
      <c r="AN165" s="21"/>
      <c r="AO165" s="79"/>
      <c r="AP165" s="21"/>
      <c r="AQ165" s="21"/>
      <c r="AR165" s="21"/>
    </row>
    <row r="166" spans="1:44" ht="15.6" x14ac:dyDescent="0.3">
      <c r="A166" s="562">
        <v>131</v>
      </c>
      <c r="B166" s="563">
        <v>90</v>
      </c>
      <c r="C166" s="564">
        <f>IFERROR('Device Resistance Tables'!C154,NA())</f>
        <v>14452.93300798362</v>
      </c>
      <c r="D166" s="565">
        <f>IFERROR('Device Resistance Tables'!D154,NA())</f>
        <v>14673.028434501137</v>
      </c>
      <c r="E166" s="564">
        <f>IFERROR('Device Resistance Tables'!F154,NA())</f>
        <v>14893.123861018652</v>
      </c>
      <c r="F166" s="566">
        <f t="shared" si="29"/>
        <v>2.0542239808301588</v>
      </c>
      <c r="G166" s="564">
        <f t="shared" si="30"/>
        <v>84.003796096874794</v>
      </c>
      <c r="H166" s="566">
        <f t="shared" si="24"/>
        <v>0.28759135731622226</v>
      </c>
      <c r="I166" s="302">
        <f t="shared" si="25"/>
        <v>-1.4999999999999989</v>
      </c>
      <c r="J166" s="302">
        <f t="shared" si="26"/>
        <v>1.4999999999999867</v>
      </c>
      <c r="K166" s="298">
        <f t="shared" si="31"/>
        <v>1.1760531453562262E-2</v>
      </c>
      <c r="L166" s="388"/>
      <c r="M166" s="571">
        <v>90</v>
      </c>
      <c r="N166" s="572">
        <v>1204.8000000000002</v>
      </c>
      <c r="O166" s="572">
        <v>1268</v>
      </c>
      <c r="P166" s="572">
        <v>1333.3</v>
      </c>
      <c r="Q166" s="569">
        <f t="shared" si="27"/>
        <v>0.33759318423855167</v>
      </c>
      <c r="R166" s="564">
        <f t="shared" ref="R166:R226" si="34">IFERROR(O165-O166,NA())</f>
        <v>34.5</v>
      </c>
      <c r="S166" s="570">
        <f t="shared" si="28"/>
        <v>0.79872204472843467</v>
      </c>
      <c r="T166" s="302">
        <f t="shared" si="32"/>
        <v>-4.9842271293375244</v>
      </c>
      <c r="U166" s="302">
        <f t="shared" si="33"/>
        <v>5.1498422712933722</v>
      </c>
      <c r="V166" s="298">
        <f t="shared" ref="V166:V226" si="35">IFERROR(Q165-Q166,NA())</f>
        <v>8.1267892186480672E-3</v>
      </c>
      <c r="X166" s="13"/>
      <c r="Y166" s="13"/>
      <c r="Z166" s="13"/>
      <c r="AK166" s="21"/>
      <c r="AL166" s="21"/>
      <c r="AM166" s="21"/>
      <c r="AN166" s="21"/>
      <c r="AO166" s="79"/>
      <c r="AP166" s="21"/>
      <c r="AQ166" s="21"/>
      <c r="AR166" s="21"/>
    </row>
    <row r="167" spans="1:44" ht="15.6" x14ac:dyDescent="0.3">
      <c r="A167" s="562">
        <v>132</v>
      </c>
      <c r="B167" s="563">
        <v>91</v>
      </c>
      <c r="C167" s="564">
        <f>IFERROR('Device Resistance Tables'!C155,NA())</f>
        <v>14536.066120320718</v>
      </c>
      <c r="D167" s="565">
        <f>IFERROR('Device Resistance Tables'!D155,NA())</f>
        <v>14757.427533320526</v>
      </c>
      <c r="E167" s="564">
        <f>IFERROR('Device Resistance Tables'!F155,NA())</f>
        <v>14978.788946320332</v>
      </c>
      <c r="F167" s="566">
        <f t="shared" si="29"/>
        <v>2.0660398546648735</v>
      </c>
      <c r="G167" s="564">
        <f t="shared" si="30"/>
        <v>84.39909881938911</v>
      </c>
      <c r="H167" s="566">
        <f t="shared" si="24"/>
        <v>0.28924557965308223</v>
      </c>
      <c r="I167" s="302">
        <f t="shared" si="25"/>
        <v>-1.4999999999999989</v>
      </c>
      <c r="J167" s="302">
        <f t="shared" si="26"/>
        <v>1.4999999999999867</v>
      </c>
      <c r="K167" s="298">
        <f t="shared" si="31"/>
        <v>1.1815873834714719E-2</v>
      </c>
      <c r="L167" s="388"/>
      <c r="M167" s="571">
        <v>91</v>
      </c>
      <c r="N167" s="572">
        <v>1172.5</v>
      </c>
      <c r="O167" s="572">
        <v>1234.3</v>
      </c>
      <c r="P167" s="572">
        <v>1298.2</v>
      </c>
      <c r="Q167" s="569">
        <f t="shared" si="27"/>
        <v>0.32960665105970105</v>
      </c>
      <c r="R167" s="564">
        <f t="shared" si="34"/>
        <v>33.700000000000045</v>
      </c>
      <c r="S167" s="570">
        <f t="shared" si="28"/>
        <v>0.8011180046820896</v>
      </c>
      <c r="T167" s="302">
        <f t="shared" si="32"/>
        <v>-5.006886494369275</v>
      </c>
      <c r="U167" s="302">
        <f t="shared" si="33"/>
        <v>5.1770234140808631</v>
      </c>
      <c r="V167" s="298">
        <f t="shared" si="35"/>
        <v>7.9865331788506189E-3</v>
      </c>
      <c r="X167" s="13"/>
      <c r="Y167" s="13"/>
      <c r="Z167" s="13"/>
      <c r="AK167" s="21"/>
      <c r="AL167" s="21"/>
      <c r="AM167" s="21"/>
      <c r="AN167" s="21"/>
      <c r="AO167" s="79"/>
      <c r="AP167" s="21"/>
      <c r="AQ167" s="21"/>
      <c r="AR167" s="21"/>
    </row>
    <row r="168" spans="1:44" ht="15.6" x14ac:dyDescent="0.3">
      <c r="A168" s="562">
        <v>133</v>
      </c>
      <c r="B168" s="563">
        <v>92</v>
      </c>
      <c r="C168" s="564">
        <f>IFERROR('Device Resistance Tables'!C156,NA())</f>
        <v>14619.591499693828</v>
      </c>
      <c r="D168" s="565">
        <f>IFERROR('Device Resistance Tables'!D156,NA())</f>
        <v>14842.224872785613</v>
      </c>
      <c r="E168" s="564">
        <f>IFERROR('Device Resistance Tables'!F156,NA())</f>
        <v>15064.858245877396</v>
      </c>
      <c r="F168" s="566">
        <f t="shared" si="29"/>
        <v>2.0779114821899856</v>
      </c>
      <c r="G168" s="564">
        <f t="shared" si="30"/>
        <v>84.797339465087134</v>
      </c>
      <c r="H168" s="566">
        <f t="shared" si="24"/>
        <v>0.29090760750659794</v>
      </c>
      <c r="I168" s="302">
        <f t="shared" si="25"/>
        <v>-1.5000000000000051</v>
      </c>
      <c r="J168" s="302">
        <f t="shared" si="26"/>
        <v>1.4999999999999929</v>
      </c>
      <c r="K168" s="298">
        <f t="shared" si="31"/>
        <v>1.1871627525112061E-2</v>
      </c>
      <c r="L168" s="388"/>
      <c r="M168" s="571">
        <v>92</v>
      </c>
      <c r="N168" s="572">
        <v>1141.0999999999999</v>
      </c>
      <c r="O168" s="572">
        <v>1201.5999999999999</v>
      </c>
      <c r="P168" s="572">
        <v>1264.2</v>
      </c>
      <c r="Q168" s="569">
        <f t="shared" si="27"/>
        <v>0.32181116983288099</v>
      </c>
      <c r="R168" s="564">
        <f t="shared" si="34"/>
        <v>32.700000000000045</v>
      </c>
      <c r="S168" s="570">
        <f t="shared" si="28"/>
        <v>0.8034566490501357</v>
      </c>
      <c r="T168" s="302">
        <f t="shared" si="32"/>
        <v>-5.0349533954727033</v>
      </c>
      <c r="U168" s="302">
        <f t="shared" si="33"/>
        <v>5.2097203728362302</v>
      </c>
      <c r="V168" s="298">
        <f t="shared" si="35"/>
        <v>7.7954812268200557E-3</v>
      </c>
      <c r="X168" s="13"/>
      <c r="Y168" s="13"/>
      <c r="Z168" s="13"/>
      <c r="AK168" s="21"/>
      <c r="AL168" s="21"/>
      <c r="AM168" s="21"/>
      <c r="AN168" s="21"/>
      <c r="AO168" s="79"/>
      <c r="AP168" s="21"/>
      <c r="AQ168" s="21"/>
      <c r="AR168" s="21"/>
    </row>
    <row r="169" spans="1:44" ht="15.6" x14ac:dyDescent="0.3">
      <c r="A169" s="562">
        <v>134</v>
      </c>
      <c r="B169" s="563">
        <v>93</v>
      </c>
      <c r="C169" s="564">
        <f>IFERROR('Device Resistance Tables'!C157,NA())</f>
        <v>14703.512082559939</v>
      </c>
      <c r="D169" s="565">
        <f>IFERROR('Device Resistance Tables'!D157,NA())</f>
        <v>14927.423434071005</v>
      </c>
      <c r="E169" s="564">
        <f>IFERROR('Device Resistance Tables'!F157,NA())</f>
        <v>15151.334785582068</v>
      </c>
      <c r="F169" s="566">
        <f t="shared" si="29"/>
        <v>2.0898392807699406</v>
      </c>
      <c r="G169" s="564">
        <f t="shared" si="30"/>
        <v>85.198561285391406</v>
      </c>
      <c r="H169" s="566">
        <f t="shared" si="24"/>
        <v>0.29257749930779164</v>
      </c>
      <c r="I169" s="302">
        <f t="shared" si="25"/>
        <v>-1.5000000000000044</v>
      </c>
      <c r="J169" s="302">
        <f t="shared" si="26"/>
        <v>1.4999999999999922</v>
      </c>
      <c r="K169" s="298">
        <f t="shared" si="31"/>
        <v>1.1927798579955073E-2</v>
      </c>
      <c r="L169" s="388"/>
      <c r="M169" s="571">
        <v>93</v>
      </c>
      <c r="N169" s="572">
        <v>1110.8</v>
      </c>
      <c r="O169" s="572">
        <v>1170</v>
      </c>
      <c r="P169" s="572">
        <v>1231.2</v>
      </c>
      <c r="Q169" s="569">
        <f t="shared" si="27"/>
        <v>0.31423455684870188</v>
      </c>
      <c r="R169" s="564">
        <f t="shared" si="34"/>
        <v>31.599999999999909</v>
      </c>
      <c r="S169" s="570">
        <f t="shared" si="28"/>
        <v>0.80572963294538957</v>
      </c>
      <c r="T169" s="302">
        <f t="shared" si="32"/>
        <v>-5.0598290598290641</v>
      </c>
      <c r="U169" s="302">
        <f t="shared" si="33"/>
        <v>5.2307692307692344</v>
      </c>
      <c r="V169" s="298">
        <f t="shared" si="35"/>
        <v>7.5766129841791097E-3</v>
      </c>
      <c r="X169" s="13"/>
      <c r="Y169" s="13"/>
      <c r="Z169" s="13"/>
      <c r="AK169" s="21"/>
      <c r="AL169" s="21"/>
      <c r="AM169" s="21"/>
      <c r="AN169" s="21"/>
      <c r="AO169" s="79"/>
      <c r="AP169" s="21"/>
      <c r="AQ169" s="21"/>
      <c r="AR169" s="21"/>
    </row>
    <row r="170" spans="1:44" ht="15.6" x14ac:dyDescent="0.3">
      <c r="A170" s="562">
        <v>135</v>
      </c>
      <c r="B170" s="563">
        <v>94</v>
      </c>
      <c r="C170" s="564">
        <f>IFERROR('Device Resistance Tables'!C158,NA())</f>
        <v>14787.830847978728</v>
      </c>
      <c r="D170" s="565">
        <f>IFERROR('Device Resistance Tables'!D158,NA())</f>
        <v>15013.026241602771</v>
      </c>
      <c r="E170" s="564">
        <f>IFERROR('Device Resistance Tables'!F158,NA())</f>
        <v>15238.221635226811</v>
      </c>
      <c r="F170" s="566">
        <f t="shared" si="29"/>
        <v>2.1018236738243878</v>
      </c>
      <c r="G170" s="564">
        <f t="shared" si="30"/>
        <v>85.602807531766302</v>
      </c>
      <c r="H170" s="566">
        <f t="shared" si="24"/>
        <v>0.29425531433541424</v>
      </c>
      <c r="I170" s="302">
        <f t="shared" si="25"/>
        <v>-1.5000000000000062</v>
      </c>
      <c r="J170" s="302">
        <f t="shared" si="26"/>
        <v>1.499999999999994</v>
      </c>
      <c r="K170" s="298">
        <f t="shared" si="31"/>
        <v>1.1984393054447207E-2</v>
      </c>
      <c r="L170" s="388"/>
      <c r="M170" s="571">
        <v>94</v>
      </c>
      <c r="N170" s="572">
        <v>1081.3999999999999</v>
      </c>
      <c r="O170" s="572">
        <v>1139.3</v>
      </c>
      <c r="P170" s="572">
        <v>1199.3</v>
      </c>
      <c r="Q170" s="569">
        <f t="shared" si="27"/>
        <v>0.30683256578061457</v>
      </c>
      <c r="R170" s="564">
        <f t="shared" si="34"/>
        <v>30.700000000000045</v>
      </c>
      <c r="S170" s="570">
        <f t="shared" si="28"/>
        <v>0.80795023026581558</v>
      </c>
      <c r="T170" s="302">
        <f t="shared" si="32"/>
        <v>-5.0820679364522157</v>
      </c>
      <c r="U170" s="302">
        <f t="shared" si="33"/>
        <v>5.2663916439919252</v>
      </c>
      <c r="V170" s="298">
        <f t="shared" si="35"/>
        <v>7.4019910680873102E-3</v>
      </c>
      <c r="X170" s="13"/>
      <c r="Y170" s="13"/>
      <c r="Z170" s="13"/>
      <c r="AK170" s="21"/>
      <c r="AL170" s="21"/>
      <c r="AM170" s="21"/>
      <c r="AN170" s="21"/>
      <c r="AO170" s="79"/>
      <c r="AP170" s="21"/>
      <c r="AQ170" s="21"/>
      <c r="AR170" s="21"/>
    </row>
    <row r="171" spans="1:44" ht="15.6" x14ac:dyDescent="0.3">
      <c r="A171" s="562">
        <v>136</v>
      </c>
      <c r="B171" s="563">
        <v>95</v>
      </c>
      <c r="C171" s="564">
        <f>IFERROR('Device Resistance Tables'!C159,NA())</f>
        <v>14872.550817612526</v>
      </c>
      <c r="D171" s="565">
        <f>IFERROR('Device Resistance Tables'!D159,NA())</f>
        <v>15099.036363058402</v>
      </c>
      <c r="E171" s="564">
        <f>IFERROR('Device Resistance Tables'!F159,NA())</f>
        <v>15325.521908504275</v>
      </c>
      <c r="F171" s="566">
        <f t="shared" si="29"/>
        <v>2.1138650908281762</v>
      </c>
      <c r="G171" s="564">
        <f t="shared" si="30"/>
        <v>86.010121455630724</v>
      </c>
      <c r="H171" s="566">
        <f t="shared" si="24"/>
        <v>0.29594111271594464</v>
      </c>
      <c r="I171" s="302">
        <f t="shared" si="25"/>
        <v>-1.4999999999999978</v>
      </c>
      <c r="J171" s="302">
        <f t="shared" si="26"/>
        <v>1.4999999999999858</v>
      </c>
      <c r="K171" s="298">
        <f t="shared" si="31"/>
        <v>1.2041417003788357E-2</v>
      </c>
      <c r="L171" s="388"/>
      <c r="M171" s="571">
        <v>95</v>
      </c>
      <c r="N171" s="572">
        <v>1052.8999999999999</v>
      </c>
      <c r="O171" s="572">
        <v>1109.5999999999999</v>
      </c>
      <c r="P171" s="572">
        <v>1168.3</v>
      </c>
      <c r="Q171" s="569">
        <f t="shared" si="27"/>
        <v>0.2996327500540073</v>
      </c>
      <c r="R171" s="564">
        <f t="shared" si="34"/>
        <v>29.700000000000045</v>
      </c>
      <c r="S171" s="570">
        <f t="shared" si="28"/>
        <v>0.81011017498379778</v>
      </c>
      <c r="T171" s="302">
        <f t="shared" si="32"/>
        <v>-5.1099495313626582</v>
      </c>
      <c r="U171" s="302">
        <f t="shared" si="33"/>
        <v>5.2901946647440568</v>
      </c>
      <c r="V171" s="298">
        <f>IFERROR(Q170-Q171,NA())</f>
        <v>7.1998157266072726E-3</v>
      </c>
      <c r="X171" s="13"/>
      <c r="Y171" s="13"/>
      <c r="Z171" s="13"/>
      <c r="AK171" s="21"/>
      <c r="AL171" s="21"/>
      <c r="AM171" s="21"/>
      <c r="AN171" s="21"/>
      <c r="AO171" s="79"/>
      <c r="AP171" s="21"/>
      <c r="AQ171" s="21"/>
      <c r="AR171" s="21"/>
    </row>
    <row r="172" spans="1:44" ht="15.6" x14ac:dyDescent="0.3">
      <c r="A172" s="562">
        <v>137</v>
      </c>
      <c r="B172" s="563">
        <v>96</v>
      </c>
      <c r="C172" s="564">
        <f>IFERROR('Device Resistance Tables'!C160,NA())</f>
        <v>14957.67505572634</v>
      </c>
      <c r="D172" s="565">
        <f>IFERROR('Device Resistance Tables'!D160,NA())</f>
        <v>15185.456909366843</v>
      </c>
      <c r="E172" s="564">
        <f>IFERROR('Device Resistance Tables'!F160,NA())</f>
        <v>15413.238763007344</v>
      </c>
      <c r="F172" s="566">
        <f t="shared" si="29"/>
        <v>2.1259639673113577</v>
      </c>
      <c r="G172" s="564">
        <f t="shared" si="30"/>
        <v>86.420546308441772</v>
      </c>
      <c r="H172" s="566">
        <f t="shared" si="24"/>
        <v>0.29763495542359009</v>
      </c>
      <c r="I172" s="302">
        <f t="shared" si="25"/>
        <v>-1.500000000000002</v>
      </c>
      <c r="J172" s="302">
        <f t="shared" si="26"/>
        <v>1.49999999999999</v>
      </c>
      <c r="K172" s="298">
        <f t="shared" si="31"/>
        <v>1.2098876483181531E-2</v>
      </c>
      <c r="L172" s="388"/>
      <c r="M172" s="571">
        <v>96</v>
      </c>
      <c r="N172" s="572">
        <v>1025.1999999999998</v>
      </c>
      <c r="O172" s="572">
        <v>1080.7</v>
      </c>
      <c r="P172" s="572">
        <v>1138.2</v>
      </c>
      <c r="Q172" s="569">
        <f t="shared" si="27"/>
        <v>0.29258981833277681</v>
      </c>
      <c r="R172" s="564">
        <f t="shared" si="34"/>
        <v>28.899999999999864</v>
      </c>
      <c r="S172" s="570">
        <f t="shared" si="28"/>
        <v>0.81222305450016685</v>
      </c>
      <c r="T172" s="302">
        <f t="shared" si="32"/>
        <v>-5.1355602850004836</v>
      </c>
      <c r="U172" s="302">
        <f t="shared" si="33"/>
        <v>5.320625520495974</v>
      </c>
      <c r="V172" s="298">
        <f t="shared" si="35"/>
        <v>7.0429317212304943E-3</v>
      </c>
      <c r="X172" s="13"/>
      <c r="Y172" s="13"/>
      <c r="Z172" s="13"/>
      <c r="AK172" s="21"/>
      <c r="AL172" s="21"/>
      <c r="AM172" s="21"/>
      <c r="AN172" s="21"/>
      <c r="AO172" s="79"/>
      <c r="AP172" s="21"/>
      <c r="AQ172" s="21"/>
      <c r="AR172" s="21"/>
    </row>
    <row r="173" spans="1:44" ht="15.6" x14ac:dyDescent="0.3">
      <c r="A173" s="562">
        <v>138</v>
      </c>
      <c r="B173" s="563">
        <v>97</v>
      </c>
      <c r="C173" s="564">
        <f>IFERROR('Device Resistance Tables'!C161,NA())</f>
        <v>15043.206669187855</v>
      </c>
      <c r="D173" s="565">
        <f>IFERROR('Device Resistance Tables'!D161,NA())</f>
        <v>15272.291034708483</v>
      </c>
      <c r="E173" s="564">
        <f>IFERROR('Device Resistance Tables'!F161,NA())</f>
        <v>15501.37540022911</v>
      </c>
      <c r="F173" s="566">
        <f t="shared" si="29"/>
        <v>2.1381207448591875</v>
      </c>
      <c r="G173" s="564">
        <f t="shared" si="30"/>
        <v>86.834125341640174</v>
      </c>
      <c r="H173" s="566">
        <f t="shared" si="24"/>
        <v>0.2993369042802862</v>
      </c>
      <c r="I173" s="302">
        <f t="shared" si="25"/>
        <v>-1.5000000000000058</v>
      </c>
      <c r="J173" s="302">
        <f t="shared" si="26"/>
        <v>1.4999999999999938</v>
      </c>
      <c r="K173" s="298">
        <f t="shared" si="31"/>
        <v>1.2156777547829734E-2</v>
      </c>
      <c r="L173" s="388"/>
      <c r="M173" s="571">
        <v>97</v>
      </c>
      <c r="N173" s="572">
        <v>998.5</v>
      </c>
      <c r="O173" s="572">
        <v>1052.8</v>
      </c>
      <c r="P173" s="572">
        <v>1109</v>
      </c>
      <c r="Q173" s="569">
        <f t="shared" si="27"/>
        <v>0.28575564562825712</v>
      </c>
      <c r="R173" s="564">
        <f t="shared" si="34"/>
        <v>27.900000000000091</v>
      </c>
      <c r="S173" s="570">
        <f t="shared" si="28"/>
        <v>0.81427330631152295</v>
      </c>
      <c r="T173" s="302">
        <f t="shared" si="32"/>
        <v>-5.1576747720364695</v>
      </c>
      <c r="U173" s="302">
        <f t="shared" si="33"/>
        <v>5.33814589665654</v>
      </c>
      <c r="V173" s="298">
        <f t="shared" si="35"/>
        <v>6.8341727045196921E-3</v>
      </c>
      <c r="X173" s="13"/>
      <c r="Y173" s="13"/>
      <c r="Z173" s="13"/>
      <c r="AK173" s="21"/>
      <c r="AL173" s="21"/>
      <c r="AM173" s="21"/>
      <c r="AN173" s="21"/>
      <c r="AO173" s="79"/>
      <c r="AP173" s="21"/>
      <c r="AQ173" s="21"/>
      <c r="AR173" s="21"/>
    </row>
    <row r="174" spans="1:44" ht="15.6" x14ac:dyDescent="0.3">
      <c r="A174" s="562">
        <v>139</v>
      </c>
      <c r="B174" s="563">
        <v>98</v>
      </c>
      <c r="C174" s="564">
        <f>IFERROR('Device Resistance Tables'!C162,NA())</f>
        <v>15129.148807467409</v>
      </c>
      <c r="D174" s="565">
        <f>IFERROR('Device Resistance Tables'!D162,NA())</f>
        <v>15359.541936515136</v>
      </c>
      <c r="E174" s="564">
        <f>IFERROR('Device Resistance Tables'!F162,NA())</f>
        <v>15589.93506556286</v>
      </c>
      <c r="F174" s="566">
        <f t="shared" si="29"/>
        <v>2.150335871112119</v>
      </c>
      <c r="G174" s="564">
        <f t="shared" si="30"/>
        <v>87.250901806652109</v>
      </c>
      <c r="H174" s="566">
        <f t="shared" si="24"/>
        <v>0.3010470219556966</v>
      </c>
      <c r="I174" s="302">
        <f t="shared" si="25"/>
        <v>-1.4999999999999978</v>
      </c>
      <c r="J174" s="302">
        <f t="shared" si="26"/>
        <v>1.4999999999999858</v>
      </c>
      <c r="K174" s="298">
        <f t="shared" si="31"/>
        <v>1.221512625293153E-2</v>
      </c>
      <c r="L174" s="388"/>
      <c r="M174" s="571">
        <v>98</v>
      </c>
      <c r="N174" s="572">
        <v>972.5</v>
      </c>
      <c r="O174" s="572">
        <v>1025.6000000000001</v>
      </c>
      <c r="P174" s="572">
        <v>1080.7</v>
      </c>
      <c r="Q174" s="569">
        <f t="shared" si="27"/>
        <v>0.2790596430126252</v>
      </c>
      <c r="R174" s="564">
        <f t="shared" si="34"/>
        <v>27.199999999999818</v>
      </c>
      <c r="S174" s="570">
        <f t="shared" si="28"/>
        <v>0.81628210709621241</v>
      </c>
      <c r="T174" s="302">
        <f t="shared" si="32"/>
        <v>-5.1774570982839441</v>
      </c>
      <c r="U174" s="302">
        <f t="shared" si="33"/>
        <v>5.3724648985959345</v>
      </c>
      <c r="V174" s="298">
        <f t="shared" si="35"/>
        <v>6.696002615631913E-3</v>
      </c>
      <c r="X174" s="13"/>
      <c r="Y174" s="13"/>
      <c r="Z174" s="13"/>
      <c r="AK174" s="21"/>
      <c r="AL174" s="21"/>
      <c r="AM174" s="21"/>
      <c r="AN174" s="21"/>
      <c r="AO174" s="79"/>
      <c r="AP174" s="21"/>
      <c r="AQ174" s="21"/>
      <c r="AR174" s="21"/>
    </row>
    <row r="175" spans="1:44" ht="15.6" x14ac:dyDescent="0.3">
      <c r="A175" s="562">
        <v>140</v>
      </c>
      <c r="B175" s="563">
        <v>99</v>
      </c>
      <c r="C175" s="564">
        <f>IFERROR('Device Resistance Tables'!C163,NA())</f>
        <v>15215.504662638023</v>
      </c>
      <c r="D175" s="565">
        <f>IFERROR('Device Resistance Tables'!D163,NA())</f>
        <v>15447.212855470074</v>
      </c>
      <c r="E175" s="564">
        <f>IFERROR('Device Resistance Tables'!F163,NA())</f>
        <v>15678.921048302123</v>
      </c>
      <c r="F175" s="566">
        <f t="shared" si="29"/>
        <v>2.1626097997658102</v>
      </c>
      <c r="G175" s="564">
        <f t="shared" si="30"/>
        <v>87.670918954938315</v>
      </c>
      <c r="H175" s="566">
        <f t="shared" si="24"/>
        <v>0.30276537196721343</v>
      </c>
      <c r="I175" s="302">
        <f t="shared" si="25"/>
        <v>-1.5000000000000011</v>
      </c>
      <c r="J175" s="302">
        <f t="shared" si="26"/>
        <v>1.4999999999999893</v>
      </c>
      <c r="K175" s="298">
        <f t="shared" si="31"/>
        <v>1.2273928653691257E-2</v>
      </c>
      <c r="L175" s="388"/>
      <c r="M175" s="571">
        <v>99</v>
      </c>
      <c r="N175" s="572">
        <v>947.30000000000007</v>
      </c>
      <c r="O175" s="572">
        <v>999.3</v>
      </c>
      <c r="P175" s="572">
        <v>1053.3</v>
      </c>
      <c r="Q175" s="569">
        <f t="shared" si="27"/>
        <v>0.27255370796323403</v>
      </c>
      <c r="R175" s="564">
        <f t="shared" si="34"/>
        <v>26.300000000000182</v>
      </c>
      <c r="S175" s="570">
        <f t="shared" si="28"/>
        <v>0.81823388761103</v>
      </c>
      <c r="T175" s="302">
        <f t="shared" si="32"/>
        <v>-5.2036425497848384</v>
      </c>
      <c r="U175" s="302">
        <f t="shared" si="33"/>
        <v>5.4037826478534976</v>
      </c>
      <c r="V175" s="298">
        <f t="shared" si="35"/>
        <v>6.5059350493911761E-3</v>
      </c>
      <c r="X175" s="13"/>
      <c r="Y175" s="13"/>
      <c r="Z175" s="13"/>
      <c r="AK175" s="21"/>
      <c r="AL175" s="21"/>
      <c r="AM175" s="21"/>
      <c r="AN175" s="21"/>
      <c r="AO175" s="79"/>
      <c r="AP175" s="21"/>
      <c r="AQ175" s="21"/>
      <c r="AR175" s="21"/>
    </row>
    <row r="176" spans="1:44" ht="15.6" x14ac:dyDescent="0.3">
      <c r="A176" s="562">
        <v>141</v>
      </c>
      <c r="B176" s="563">
        <v>100</v>
      </c>
      <c r="C176" s="564">
        <f>IFERROR('Device Resistance Tables'!C164,NA())</f>
        <v>15302.277469375378</v>
      </c>
      <c r="D176" s="565">
        <f>IFERROR('Device Resistance Tables'!D164,NA())</f>
        <v>15535.307075507999</v>
      </c>
      <c r="E176" s="564">
        <f>IFERROR('Device Resistance Tables'!F164,NA())</f>
        <v>15768.336681640618</v>
      </c>
      <c r="F176" s="566">
        <f t="shared" si="29"/>
        <v>2.1749429905711195</v>
      </c>
      <c r="G176" s="564">
        <f t="shared" si="30"/>
        <v>88.09422003792497</v>
      </c>
      <c r="H176" s="566">
        <f t="shared" si="24"/>
        <v>0.30449201867995673</v>
      </c>
      <c r="I176" s="302">
        <f t="shared" si="25"/>
        <v>-1.5000000000000049</v>
      </c>
      <c r="J176" s="302">
        <f t="shared" si="26"/>
        <v>1.4999999999999933</v>
      </c>
      <c r="K176" s="298">
        <f t="shared" si="31"/>
        <v>1.2333190805309258E-2</v>
      </c>
      <c r="L176" s="388"/>
      <c r="M176" s="571">
        <v>100</v>
      </c>
      <c r="N176" s="572">
        <v>922.8</v>
      </c>
      <c r="O176" s="572">
        <v>973.8</v>
      </c>
      <c r="P176" s="572">
        <v>1026.5999999999999</v>
      </c>
      <c r="Q176" s="569">
        <f t="shared" si="27"/>
        <v>0.26621589604330315</v>
      </c>
      <c r="R176" s="564">
        <f t="shared" si="34"/>
        <v>25.5</v>
      </c>
      <c r="S176" s="570">
        <f t="shared" si="28"/>
        <v>0.82013523118700926</v>
      </c>
      <c r="T176" s="302">
        <f t="shared" si="32"/>
        <v>-5.2372150338878622</v>
      </c>
      <c r="U176" s="302">
        <f t="shared" si="33"/>
        <v>5.4220579174368408</v>
      </c>
      <c r="V176" s="298">
        <f t="shared" si="35"/>
        <v>6.3378119199308802E-3</v>
      </c>
      <c r="X176" s="13"/>
      <c r="Y176" s="13"/>
      <c r="Z176" s="13"/>
      <c r="AK176" s="21"/>
      <c r="AL176" s="21"/>
      <c r="AM176" s="21"/>
      <c r="AN176" s="21"/>
      <c r="AO176" s="79"/>
      <c r="AP176" s="21"/>
      <c r="AQ176" s="21"/>
      <c r="AR176" s="21"/>
    </row>
    <row r="177" spans="1:44" ht="15.6" x14ac:dyDescent="0.3">
      <c r="A177" s="562">
        <v>142</v>
      </c>
      <c r="B177" s="563">
        <v>101</v>
      </c>
      <c r="C177" s="564">
        <f>IFERROR('Device Resistance Tables'!C165,NA())</f>
        <v>15389.470504957839</v>
      </c>
      <c r="D177" s="565">
        <f>IFERROR('Device Resistance Tables'!D165,NA())</f>
        <v>15623.827923815064</v>
      </c>
      <c r="E177" s="564">
        <f>IFERROR('Device Resistance Tables'!F165,NA())</f>
        <v>15858.185342672288</v>
      </c>
      <c r="F177" s="566">
        <f t="shared" si="29"/>
        <v>2.1873359093341089</v>
      </c>
      <c r="G177" s="564">
        <f t="shared" si="30"/>
        <v>88.520848307065535</v>
      </c>
      <c r="H177" s="566">
        <f t="shared" si="24"/>
        <v>0.30622702730677526</v>
      </c>
      <c r="I177" s="302">
        <f t="shared" si="25"/>
        <v>-1.4999999999999978</v>
      </c>
      <c r="J177" s="302">
        <f t="shared" si="26"/>
        <v>1.4999999999999862</v>
      </c>
      <c r="K177" s="298">
        <f t="shared" si="31"/>
        <v>1.2392918762989424E-2</v>
      </c>
      <c r="L177" s="388"/>
      <c r="M177" s="571">
        <v>101</v>
      </c>
      <c r="N177" s="572">
        <v>899.3</v>
      </c>
      <c r="O177" s="572">
        <v>949.2</v>
      </c>
      <c r="P177" s="572">
        <v>1000.9999999999999</v>
      </c>
      <c r="Q177" s="569">
        <f t="shared" si="27"/>
        <v>0.26007379534577868</v>
      </c>
      <c r="R177" s="564">
        <f t="shared" si="34"/>
        <v>24.599999999999909</v>
      </c>
      <c r="S177" s="570">
        <f t="shared" si="28"/>
        <v>0.8219778613962665</v>
      </c>
      <c r="T177" s="302">
        <f t="shared" si="32"/>
        <v>-5.257058575642656</v>
      </c>
      <c r="U177" s="302">
        <f t="shared" si="33"/>
        <v>5.4572271386430513</v>
      </c>
      <c r="V177" s="298">
        <f t="shared" si="35"/>
        <v>6.1421006975244663E-3</v>
      </c>
      <c r="X177" s="13"/>
      <c r="Y177" s="13"/>
      <c r="Z177" s="13"/>
      <c r="AK177" s="21"/>
      <c r="AL177" s="21"/>
      <c r="AM177" s="21"/>
      <c r="AN177" s="21"/>
      <c r="AO177" s="79"/>
      <c r="AP177" s="21"/>
      <c r="AQ177" s="21"/>
      <c r="AR177" s="21"/>
    </row>
    <row r="178" spans="1:44" ht="15.6" x14ac:dyDescent="0.3">
      <c r="A178" s="562">
        <v>143</v>
      </c>
      <c r="B178" s="563">
        <v>102</v>
      </c>
      <c r="C178" s="564">
        <f>IFERROR('Device Resistance Tables'!C166,NA())</f>
        <v>15477.087089266421</v>
      </c>
      <c r="D178" s="565">
        <f>IFERROR('Device Resistance Tables'!D166,NA())</f>
        <v>15712.778770828854</v>
      </c>
      <c r="E178" s="564">
        <f>IFERROR('Device Resistance Tables'!F166,NA())</f>
        <v>15948.470452391286</v>
      </c>
      <c r="F178" s="566">
        <f t="shared" si="29"/>
        <v>2.1997890279160393</v>
      </c>
      <c r="G178" s="564">
        <f t="shared" si="30"/>
        <v>88.950847013789826</v>
      </c>
      <c r="H178" s="566">
        <f t="shared" si="24"/>
        <v>0.30797046390824551</v>
      </c>
      <c r="I178" s="302">
        <f t="shared" si="25"/>
        <v>-1.5000000000000049</v>
      </c>
      <c r="J178" s="302">
        <f t="shared" si="26"/>
        <v>1.4999999999999933</v>
      </c>
      <c r="K178" s="298">
        <f t="shared" si="31"/>
        <v>1.2453118581930323E-2</v>
      </c>
      <c r="L178" s="388"/>
      <c r="M178" s="571">
        <v>102</v>
      </c>
      <c r="N178" s="572">
        <v>876.5</v>
      </c>
      <c r="O178" s="572">
        <v>925.4</v>
      </c>
      <c r="P178" s="572">
        <v>976.1</v>
      </c>
      <c r="Q178" s="569">
        <f t="shared" si="27"/>
        <v>0.25410511285627985</v>
      </c>
      <c r="R178" s="564">
        <f t="shared" si="34"/>
        <v>23.800000000000068</v>
      </c>
      <c r="S178" s="570">
        <f t="shared" si="28"/>
        <v>0.82376846614311605</v>
      </c>
      <c r="T178" s="302">
        <f t="shared" si="32"/>
        <v>-5.2842014264101991</v>
      </c>
      <c r="U178" s="302">
        <f t="shared" si="33"/>
        <v>5.4787119083639553</v>
      </c>
      <c r="V178" s="298">
        <f t="shared" si="35"/>
        <v>5.9686824894988333E-3</v>
      </c>
      <c r="X178" s="13"/>
      <c r="Y178" s="13"/>
      <c r="Z178" s="13"/>
      <c r="AK178" s="21"/>
      <c r="AL178" s="21"/>
      <c r="AM178" s="21"/>
      <c r="AN178" s="21"/>
      <c r="AO178" s="79"/>
      <c r="AP178" s="21"/>
      <c r="AQ178" s="21"/>
      <c r="AR178" s="21"/>
    </row>
    <row r="179" spans="1:44" ht="15.6" x14ac:dyDescent="0.3">
      <c r="A179" s="562">
        <v>144</v>
      </c>
      <c r="B179" s="563">
        <v>103</v>
      </c>
      <c r="C179" s="564">
        <f>IFERROR('Device Resistance Tables'!C167,NA())</f>
        <v>15565.130584784827</v>
      </c>
      <c r="D179" s="565">
        <f>IFERROR('Device Resistance Tables'!D167,NA())</f>
        <v>15802.163030238404</v>
      </c>
      <c r="E179" s="564">
        <f>IFERROR('Device Resistance Tables'!F167,NA())</f>
        <v>16039.195475691979</v>
      </c>
      <c r="F179" s="566">
        <f t="shared" si="29"/>
        <v>2.2123028242333764</v>
      </c>
      <c r="G179" s="564">
        <f t="shared" si="30"/>
        <v>89.384259409549486</v>
      </c>
      <c r="H179" s="566">
        <f t="shared" si="24"/>
        <v>0.30972239539267266</v>
      </c>
      <c r="I179" s="302">
        <f t="shared" si="25"/>
        <v>-1.5000000000000038</v>
      </c>
      <c r="J179" s="302">
        <f t="shared" si="26"/>
        <v>1.4999999999999922</v>
      </c>
      <c r="K179" s="298">
        <f t="shared" si="31"/>
        <v>1.2513796317337178E-2</v>
      </c>
      <c r="L179" s="388"/>
      <c r="M179" s="571">
        <v>103</v>
      </c>
      <c r="N179" s="572">
        <v>854.40000000000009</v>
      </c>
      <c r="O179" s="572">
        <v>902.2</v>
      </c>
      <c r="P179" s="572">
        <v>951.9</v>
      </c>
      <c r="Q179" s="569">
        <f t="shared" si="27"/>
        <v>0.24826181871548864</v>
      </c>
      <c r="R179" s="564">
        <f t="shared" si="34"/>
        <v>23.199999999999932</v>
      </c>
      <c r="S179" s="570">
        <f t="shared" si="28"/>
        <v>0.8255214543853534</v>
      </c>
      <c r="T179" s="302">
        <f t="shared" si="32"/>
        <v>-5.2981600532032758</v>
      </c>
      <c r="U179" s="302">
        <f t="shared" si="33"/>
        <v>5.50875637330968</v>
      </c>
      <c r="V179" s="298">
        <f t="shared" si="35"/>
        <v>5.8432941407912109E-3</v>
      </c>
      <c r="X179" s="13"/>
      <c r="Y179" s="13"/>
      <c r="Z179" s="13"/>
      <c r="AK179" s="21"/>
      <c r="AL179" s="21"/>
      <c r="AM179" s="21"/>
      <c r="AN179" s="21"/>
      <c r="AO179" s="79"/>
      <c r="AP179" s="21"/>
      <c r="AQ179" s="21"/>
      <c r="AR179" s="21"/>
    </row>
    <row r="180" spans="1:44" ht="15.6" x14ac:dyDescent="0.3">
      <c r="A180" s="562">
        <v>145</v>
      </c>
      <c r="B180" s="563">
        <v>104</v>
      </c>
      <c r="C180" s="564">
        <f>IFERROR('Device Resistance Tables'!C168,NA())</f>
        <v>15653.604396599418</v>
      </c>
      <c r="D180" s="565">
        <f>IFERROR('Device Resistance Tables'!D168,NA())</f>
        <v>15891.98415898418</v>
      </c>
      <c r="E180" s="564">
        <f>IFERROR('Device Resistance Tables'!F168,NA())</f>
        <v>16130.36392136894</v>
      </c>
      <c r="F180" s="566">
        <f t="shared" si="29"/>
        <v>2.224877782257785</v>
      </c>
      <c r="G180" s="564">
        <f t="shared" si="30"/>
        <v>89.82112874577615</v>
      </c>
      <c r="H180" s="566">
        <f t="shared" si="24"/>
        <v>0.31148288951608988</v>
      </c>
      <c r="I180" s="302">
        <f t="shared" si="25"/>
        <v>-1.4999999999999969</v>
      </c>
      <c r="J180" s="302">
        <f t="shared" si="26"/>
        <v>1.4999999999999856</v>
      </c>
      <c r="K180" s="298">
        <f t="shared" si="31"/>
        <v>1.2574958024408556E-2</v>
      </c>
      <c r="L180" s="388"/>
      <c r="M180" s="571">
        <v>104</v>
      </c>
      <c r="N180" s="572">
        <v>832.9</v>
      </c>
      <c r="O180" s="572">
        <v>879.80000000000007</v>
      </c>
      <c r="P180" s="572">
        <v>928.5</v>
      </c>
      <c r="Q180" s="569">
        <f t="shared" si="27"/>
        <v>0.24259637125682462</v>
      </c>
      <c r="R180" s="564">
        <f t="shared" si="34"/>
        <v>22.399999999999977</v>
      </c>
      <c r="S180" s="570">
        <f t="shared" si="28"/>
        <v>0.82722108862295274</v>
      </c>
      <c r="T180" s="302">
        <f t="shared" si="32"/>
        <v>-5.3307569902250611</v>
      </c>
      <c r="U180" s="302">
        <f t="shared" si="33"/>
        <v>5.5353489429415692</v>
      </c>
      <c r="V180" s="298">
        <f t="shared" si="35"/>
        <v>5.6654474586640136E-3</v>
      </c>
      <c r="X180" s="13"/>
      <c r="Y180" s="13"/>
      <c r="Z180" s="13"/>
      <c r="AK180" s="21"/>
      <c r="AL180" s="21"/>
      <c r="AM180" s="21"/>
      <c r="AN180" s="21"/>
      <c r="AO180" s="79"/>
      <c r="AP180" s="21"/>
      <c r="AQ180" s="21"/>
      <c r="AR180" s="21"/>
    </row>
    <row r="181" spans="1:44" ht="15.6" x14ac:dyDescent="0.3">
      <c r="A181" s="562">
        <v>146</v>
      </c>
      <c r="B181" s="563">
        <v>105</v>
      </c>
      <c r="C181" s="564">
        <f>IFERROR('Device Resistance Tables'!C169,NA())</f>
        <v>15742.511972399228</v>
      </c>
      <c r="D181" s="565">
        <f>IFERROR('Device Resistance Tables'!D169,NA())</f>
        <v>15982.2456572581</v>
      </c>
      <c r="E181" s="564">
        <f>IFERROR('Device Resistance Tables'!F169,NA())</f>
        <v>16221.979342116969</v>
      </c>
      <c r="F181" s="566">
        <f t="shared" si="29"/>
        <v>2.2375143920161338</v>
      </c>
      <c r="G181" s="564">
        <f t="shared" si="30"/>
        <v>90.261498273919642</v>
      </c>
      <c r="H181" s="566">
        <f t="shared" si="24"/>
        <v>0.31325201488225868</v>
      </c>
      <c r="I181" s="302">
        <f t="shared" si="25"/>
        <v>-1.4999999999999978</v>
      </c>
      <c r="J181" s="302">
        <f t="shared" si="26"/>
        <v>1.4999999999999865</v>
      </c>
      <c r="K181" s="298">
        <f t="shared" si="31"/>
        <v>1.2636609758348794E-2</v>
      </c>
      <c r="L181" s="388"/>
      <c r="M181" s="571">
        <v>105</v>
      </c>
      <c r="N181" s="572">
        <v>812</v>
      </c>
      <c r="O181" s="572">
        <v>858</v>
      </c>
      <c r="P181" s="572">
        <v>905.69999999999993</v>
      </c>
      <c r="Q181" s="569">
        <f t="shared" si="27"/>
        <v>0.23706023208694049</v>
      </c>
      <c r="R181" s="564">
        <f t="shared" si="34"/>
        <v>21.800000000000068</v>
      </c>
      <c r="S181" s="570">
        <f t="shared" si="28"/>
        <v>0.82888193037391777</v>
      </c>
      <c r="T181" s="302">
        <f t="shared" si="32"/>
        <v>-5.3613053613053614</v>
      </c>
      <c r="U181" s="302">
        <f t="shared" si="33"/>
        <v>5.559440559440552</v>
      </c>
      <c r="V181" s="298">
        <f t="shared" si="35"/>
        <v>5.53613916988413E-3</v>
      </c>
      <c r="X181" s="13"/>
      <c r="Y181" s="13"/>
      <c r="Z181" s="13"/>
      <c r="AK181" s="21"/>
      <c r="AL181" s="21"/>
      <c r="AM181" s="21"/>
      <c r="AN181" s="21"/>
      <c r="AO181" s="79"/>
      <c r="AP181" s="21"/>
      <c r="AQ181" s="21"/>
      <c r="AR181" s="21"/>
    </row>
    <row r="182" spans="1:44" ht="15.6" x14ac:dyDescent="0.3">
      <c r="A182" s="562">
        <v>147</v>
      </c>
      <c r="B182" s="563">
        <v>106</v>
      </c>
      <c r="C182" s="564">
        <f>IFERROR('Device Resistance Tables'!C170,NA())</f>
        <v>15831.856802475961</v>
      </c>
      <c r="D182" s="565">
        <f>IFERROR('Device Resistance Tables'!D170,NA())</f>
        <v>16072.951068503513</v>
      </c>
      <c r="E182" s="564">
        <f>IFERROR('Device Resistance Tables'!F170,NA())</f>
        <v>16314.045334531063</v>
      </c>
      <c r="F182" s="566">
        <f t="shared" si="29"/>
        <v>2.2502131495904916</v>
      </c>
      <c r="G182" s="564">
        <f t="shared" si="30"/>
        <v>90.705411245413416</v>
      </c>
      <c r="H182" s="566">
        <f t="shared" si="24"/>
        <v>0.31502984094266878</v>
      </c>
      <c r="I182" s="302">
        <f t="shared" si="25"/>
        <v>-1.4999999999999976</v>
      </c>
      <c r="J182" s="302">
        <f t="shared" si="26"/>
        <v>1.4999999999999862</v>
      </c>
      <c r="K182" s="298">
        <f t="shared" si="31"/>
        <v>1.2698757574357789E-2</v>
      </c>
      <c r="L182" s="388"/>
      <c r="M182" s="571">
        <v>106</v>
      </c>
      <c r="N182" s="572">
        <v>791.8</v>
      </c>
      <c r="O182" s="572">
        <v>836.8</v>
      </c>
      <c r="P182" s="572">
        <v>883.5</v>
      </c>
      <c r="Q182" s="569">
        <f t="shared" si="27"/>
        <v>0.23165510113686696</v>
      </c>
      <c r="R182" s="564">
        <f t="shared" si="34"/>
        <v>21.200000000000045</v>
      </c>
      <c r="S182" s="570">
        <f t="shared" si="28"/>
        <v>0.83050346965893995</v>
      </c>
      <c r="T182" s="302">
        <f t="shared" si="32"/>
        <v>-5.3776290630975145</v>
      </c>
      <c r="U182" s="302">
        <f t="shared" si="33"/>
        <v>5.5807839388145375</v>
      </c>
      <c r="V182" s="298">
        <f t="shared" si="35"/>
        <v>5.4051309500735278E-3</v>
      </c>
      <c r="X182" s="13"/>
      <c r="Y182" s="13"/>
      <c r="Z182" s="13"/>
      <c r="AK182" s="21"/>
      <c r="AL182" s="21"/>
      <c r="AM182" s="21"/>
      <c r="AN182" s="21"/>
      <c r="AO182" s="79"/>
      <c r="AP182" s="21"/>
      <c r="AQ182" s="21"/>
      <c r="AR182" s="21"/>
    </row>
    <row r="183" spans="1:44" ht="15.6" x14ac:dyDescent="0.3">
      <c r="A183" s="562">
        <v>148</v>
      </c>
      <c r="B183" s="563">
        <v>107</v>
      </c>
      <c r="C183" s="564">
        <f>IFERROR('Device Resistance Tables'!C171,NA())</f>
        <v>15921.642419723992</v>
      </c>
      <c r="D183" s="565">
        <f>IFERROR('Device Resistance Tables'!D171,NA())</f>
        <v>16164.10397941522</v>
      </c>
      <c r="E183" s="564">
        <f>IFERROR('Device Resistance Tables'!F171,NA())</f>
        <v>16406.565539106447</v>
      </c>
      <c r="F183" s="566">
        <f t="shared" si="29"/>
        <v>2.2629745571181306</v>
      </c>
      <c r="G183" s="564">
        <f t="shared" si="30"/>
        <v>91.152910911707295</v>
      </c>
      <c r="H183" s="566">
        <f t="shared" si="24"/>
        <v>0.31681643799653825</v>
      </c>
      <c r="I183" s="302">
        <f t="shared" si="25"/>
        <v>-1.4999999999999987</v>
      </c>
      <c r="J183" s="302">
        <f t="shared" si="26"/>
        <v>1.4999999999999876</v>
      </c>
      <c r="K183" s="298">
        <f t="shared" si="31"/>
        <v>1.276140752763899E-2</v>
      </c>
      <c r="L183" s="388"/>
      <c r="M183" s="571">
        <v>107</v>
      </c>
      <c r="N183" s="572">
        <v>772.1</v>
      </c>
      <c r="O183" s="572">
        <v>816.2</v>
      </c>
      <c r="P183" s="572">
        <v>862</v>
      </c>
      <c r="Q183" s="569">
        <f t="shared" si="27"/>
        <v>0.22638264824984744</v>
      </c>
      <c r="R183" s="564">
        <f t="shared" si="34"/>
        <v>20.599999999999909</v>
      </c>
      <c r="S183" s="570">
        <f t="shared" si="28"/>
        <v>0.8320852055250455</v>
      </c>
      <c r="T183" s="302">
        <f t="shared" si="32"/>
        <v>-5.4030874785591791</v>
      </c>
      <c r="U183" s="302">
        <f t="shared" si="33"/>
        <v>5.6113697623131529</v>
      </c>
      <c r="V183" s="298">
        <f t="shared" si="35"/>
        <v>5.2724528870195242E-3</v>
      </c>
      <c r="X183" s="13"/>
      <c r="Y183" s="13"/>
      <c r="Z183" s="13"/>
      <c r="AK183" s="21"/>
      <c r="AL183" s="21"/>
      <c r="AM183" s="21"/>
      <c r="AN183" s="21"/>
      <c r="AO183" s="79"/>
      <c r="AP183" s="21"/>
      <c r="AQ183" s="21"/>
      <c r="AR183" s="21"/>
    </row>
    <row r="184" spans="1:44" ht="15.6" x14ac:dyDescent="0.3">
      <c r="A184" s="562">
        <v>149</v>
      </c>
      <c r="B184" s="563">
        <v>108</v>
      </c>
      <c r="C184" s="564">
        <f>IFERROR('Device Resistance Tables'!C172,NA())</f>
        <v>16011.872399640364</v>
      </c>
      <c r="D184" s="565">
        <f>IFERROR('Device Resistance Tables'!D172,NA())</f>
        <v>16255.708019939457</v>
      </c>
      <c r="E184" s="564">
        <f>IFERROR('Device Resistance Tables'!F172,NA())</f>
        <v>16499.543640238546</v>
      </c>
      <c r="F184" s="566">
        <f t="shared" si="29"/>
        <v>2.2757991227915237</v>
      </c>
      <c r="G184" s="564">
        <f t="shared" si="30"/>
        <v>91.604040524236552</v>
      </c>
      <c r="H184" s="566">
        <f t="shared" si="24"/>
        <v>0.3186118771908133</v>
      </c>
      <c r="I184" s="302">
        <f t="shared" si="25"/>
        <v>-1.5000000000000049</v>
      </c>
      <c r="J184" s="302">
        <f t="shared" si="26"/>
        <v>1.4999999999999825</v>
      </c>
      <c r="K184" s="298">
        <f t="shared" si="31"/>
        <v>1.2824565673393185E-2</v>
      </c>
      <c r="L184" s="388"/>
      <c r="M184" s="571">
        <v>108</v>
      </c>
      <c r="N184" s="572">
        <v>753.1</v>
      </c>
      <c r="O184" s="572">
        <v>796.3</v>
      </c>
      <c r="P184" s="572">
        <v>841.19999999999993</v>
      </c>
      <c r="Q184" s="569">
        <f t="shared" si="27"/>
        <v>0.22127024999305317</v>
      </c>
      <c r="R184" s="564">
        <f t="shared" si="34"/>
        <v>19.900000000000091</v>
      </c>
      <c r="S184" s="570">
        <f t="shared" si="28"/>
        <v>0.83361892500208412</v>
      </c>
      <c r="T184" s="302">
        <f t="shared" si="32"/>
        <v>-5.4250910460881494</v>
      </c>
      <c r="U184" s="302">
        <f t="shared" si="33"/>
        <v>5.6385784252166244</v>
      </c>
      <c r="V184" s="298">
        <f t="shared" si="35"/>
        <v>5.1123982567942705E-3</v>
      </c>
      <c r="X184" s="13"/>
      <c r="Y184" s="13"/>
      <c r="Z184" s="13"/>
      <c r="AK184" s="21"/>
      <c r="AL184" s="21"/>
      <c r="AM184" s="21"/>
      <c r="AN184" s="21"/>
      <c r="AO184" s="79"/>
      <c r="AP184" s="21"/>
      <c r="AQ184" s="21"/>
      <c r="AR184" s="21"/>
    </row>
    <row r="185" spans="1:44" ht="15.6" x14ac:dyDescent="0.3">
      <c r="A185" s="562">
        <v>150</v>
      </c>
      <c r="B185" s="563">
        <v>109</v>
      </c>
      <c r="C185" s="564">
        <f>IFERROR('Device Resistance Tables'!C173,NA())</f>
        <v>16102.550360324794</v>
      </c>
      <c r="D185" s="565">
        <f>IFERROR('Device Resistance Tables'!D173,NA())</f>
        <v>16347.766863273902</v>
      </c>
      <c r="E185" s="564">
        <f>IFERROR('Device Resistance Tables'!F173,NA())</f>
        <v>16592.983366223008</v>
      </c>
      <c r="F185" s="566">
        <f t="shared" si="29"/>
        <v>2.2886873608583462</v>
      </c>
      <c r="G185" s="564">
        <f t="shared" si="30"/>
        <v>92.058843334445555</v>
      </c>
      <c r="H185" s="566">
        <f t="shared" si="24"/>
        <v>0.32041623052016843</v>
      </c>
      <c r="I185" s="302">
        <f t="shared" si="25"/>
        <v>-1.4999999999999964</v>
      </c>
      <c r="J185" s="302">
        <f t="shared" si="26"/>
        <v>1.4999999999999853</v>
      </c>
      <c r="K185" s="298">
        <f t="shared" si="31"/>
        <v>1.2888238066822488E-2</v>
      </c>
      <c r="L185" s="388"/>
      <c r="M185" s="571">
        <v>109</v>
      </c>
      <c r="N185" s="572">
        <v>734.5</v>
      </c>
      <c r="O185" s="572">
        <v>776.90000000000009</v>
      </c>
      <c r="P185" s="572">
        <v>820.9</v>
      </c>
      <c r="Q185" s="569">
        <f t="shared" si="27"/>
        <v>0.21626812905380954</v>
      </c>
      <c r="R185" s="564">
        <f t="shared" si="34"/>
        <v>19.399999999999864</v>
      </c>
      <c r="S185" s="570">
        <f t="shared" si="28"/>
        <v>0.83511956128385711</v>
      </c>
      <c r="T185" s="302">
        <f t="shared" si="32"/>
        <v>-5.457587849144045</v>
      </c>
      <c r="U185" s="302">
        <f t="shared" si="33"/>
        <v>5.6635345604324723</v>
      </c>
      <c r="V185" s="298">
        <f t="shared" si="35"/>
        <v>5.0021209392436261E-3</v>
      </c>
      <c r="X185" s="13"/>
      <c r="Y185" s="13"/>
      <c r="Z185" s="13"/>
      <c r="AK185" s="21"/>
      <c r="AL185" s="21"/>
      <c r="AM185" s="21"/>
      <c r="AN185" s="21"/>
      <c r="AO185" s="79"/>
      <c r="AP185" s="21"/>
      <c r="AQ185" s="21"/>
      <c r="AR185" s="21"/>
    </row>
    <row r="186" spans="1:44" ht="15.6" x14ac:dyDescent="0.3">
      <c r="A186" s="562">
        <v>151</v>
      </c>
      <c r="B186" s="563">
        <v>110</v>
      </c>
      <c r="C186" s="564">
        <f>IFERROR('Device Resistance Tables'!C174,NA())</f>
        <v>16193.679962479657</v>
      </c>
      <c r="D186" s="565">
        <f>IFERROR('Device Resistance Tables'!D174,NA())</f>
        <v>16440.284225867672</v>
      </c>
      <c r="E186" s="564">
        <f>IFERROR('Device Resistance Tables'!F174,NA())</f>
        <v>16686.888489255685</v>
      </c>
      <c r="F186" s="566">
        <f t="shared" si="29"/>
        <v>2.3016397916214739</v>
      </c>
      <c r="G186" s="564">
        <f t="shared" si="30"/>
        <v>92.517362593769576</v>
      </c>
      <c r="H186" s="566">
        <f t="shared" si="24"/>
        <v>0.32222957082700632</v>
      </c>
      <c r="I186" s="302">
        <f t="shared" si="25"/>
        <v>-1.5000000000000007</v>
      </c>
      <c r="J186" s="302">
        <f t="shared" si="26"/>
        <v>1.4999999999999896</v>
      </c>
      <c r="K186" s="298">
        <f t="shared" si="31"/>
        <v>1.2952430763127687E-2</v>
      </c>
      <c r="L186" s="388"/>
      <c r="M186" s="571">
        <v>110</v>
      </c>
      <c r="N186" s="572">
        <v>716.5</v>
      </c>
      <c r="O186" s="572">
        <v>758</v>
      </c>
      <c r="P186" s="572">
        <v>801.2</v>
      </c>
      <c r="Q186" s="569">
        <f t="shared" si="27"/>
        <v>0.21137757947573899</v>
      </c>
      <c r="R186" s="564">
        <f t="shared" si="34"/>
        <v>18.900000000000091</v>
      </c>
      <c r="S186" s="570">
        <f t="shared" si="28"/>
        <v>0.83658672615727847</v>
      </c>
      <c r="T186" s="302">
        <f t="shared" si="32"/>
        <v>-5.474934036939314</v>
      </c>
      <c r="U186" s="302">
        <f t="shared" si="33"/>
        <v>5.6992084432717736</v>
      </c>
      <c r="V186" s="298">
        <f t="shared" si="35"/>
        <v>4.8905495780705577E-3</v>
      </c>
      <c r="X186" s="13"/>
      <c r="Y186" s="13"/>
      <c r="Z186" s="13"/>
      <c r="AK186" s="21"/>
      <c r="AL186" s="21"/>
      <c r="AM186" s="21"/>
      <c r="AN186" s="21"/>
      <c r="AO186" s="79"/>
      <c r="AP186" s="21"/>
      <c r="AQ186" s="21"/>
      <c r="AR186" s="21"/>
    </row>
    <row r="187" spans="1:44" ht="15.6" x14ac:dyDescent="0.3">
      <c r="A187" s="562">
        <v>152</v>
      </c>
      <c r="B187" s="563">
        <v>111</v>
      </c>
      <c r="C187" s="564">
        <f>IFERROR('Device Resistance Tables'!C175,NA())</f>
        <v>16285.264909410011</v>
      </c>
      <c r="D187" s="565">
        <f>IFERROR('Device Resistance Tables'!D175,NA())</f>
        <v>16533.26386742133</v>
      </c>
      <c r="E187" s="564">
        <f>IFERROR('Device Resistance Tables'!F175,NA())</f>
        <v>16781.262825432648</v>
      </c>
      <c r="F187" s="566">
        <f t="shared" si="29"/>
        <v>2.3146569414389861</v>
      </c>
      <c r="G187" s="564">
        <f t="shared" si="30"/>
        <v>92.979641553658439</v>
      </c>
      <c r="H187" s="566">
        <f t="shared" si="24"/>
        <v>0.32405197180145806</v>
      </c>
      <c r="I187" s="302">
        <f t="shared" si="25"/>
        <v>-1.4999999999999984</v>
      </c>
      <c r="J187" s="302">
        <f t="shared" si="26"/>
        <v>1.4999999999999876</v>
      </c>
      <c r="K187" s="298">
        <f t="shared" si="31"/>
        <v>1.301714981751223E-2</v>
      </c>
      <c r="L187" s="388"/>
      <c r="M187" s="571">
        <v>111</v>
      </c>
      <c r="N187" s="572">
        <v>699.1</v>
      </c>
      <c r="O187" s="572">
        <v>739.7</v>
      </c>
      <c r="P187" s="572">
        <v>782</v>
      </c>
      <c r="Q187" s="569">
        <f t="shared" si="27"/>
        <v>0.20662588340456436</v>
      </c>
      <c r="R187" s="564">
        <f t="shared" si="34"/>
        <v>18.299999999999955</v>
      </c>
      <c r="S187" s="570">
        <f t="shared" si="28"/>
        <v>0.83801223497863053</v>
      </c>
      <c r="T187" s="302">
        <f t="shared" si="32"/>
        <v>-5.4887116398539977</v>
      </c>
      <c r="U187" s="302">
        <f t="shared" si="33"/>
        <v>5.7185345410301407</v>
      </c>
      <c r="V187" s="298">
        <f t="shared" si="35"/>
        <v>4.7516960711746214E-3</v>
      </c>
      <c r="X187" s="13"/>
      <c r="Y187" s="13"/>
      <c r="Z187" s="13"/>
      <c r="AK187" s="21"/>
      <c r="AL187" s="21"/>
      <c r="AM187" s="21"/>
      <c r="AN187" s="21"/>
      <c r="AO187" s="79"/>
      <c r="AP187" s="21"/>
      <c r="AQ187" s="21"/>
      <c r="AR187" s="21"/>
    </row>
    <row r="188" spans="1:44" ht="15.6" x14ac:dyDescent="0.3">
      <c r="A188" s="562">
        <v>153</v>
      </c>
      <c r="B188" s="563">
        <v>112</v>
      </c>
      <c r="C188" s="564">
        <f>IFERROR('Device Resistance Tables'!C176,NA())</f>
        <v>16377.308947023575</v>
      </c>
      <c r="D188" s="565">
        <f>IFERROR('Device Resistance Tables'!D176,NA())</f>
        <v>16626.70959088688</v>
      </c>
      <c r="E188" s="564">
        <f>IFERROR('Device Resistance Tables'!F176,NA())</f>
        <v>16876.11023475018</v>
      </c>
      <c r="F188" s="566">
        <f t="shared" si="29"/>
        <v>2.3277393427241631</v>
      </c>
      <c r="G188" s="564">
        <f t="shared" si="30"/>
        <v>93.445723465549236</v>
      </c>
      <c r="H188" s="566">
        <f t="shared" si="24"/>
        <v>0.32588350798138277</v>
      </c>
      <c r="I188" s="302">
        <f t="shared" si="25"/>
        <v>-1.5000000000000058</v>
      </c>
      <c r="J188" s="302">
        <f t="shared" si="26"/>
        <v>1.4999999999999838</v>
      </c>
      <c r="K188" s="298">
        <f t="shared" si="31"/>
        <v>1.3082401285176903E-2</v>
      </c>
      <c r="L188" s="388"/>
      <c r="M188" s="571">
        <v>112</v>
      </c>
      <c r="N188" s="572">
        <v>682.1</v>
      </c>
      <c r="O188" s="572">
        <v>721.9</v>
      </c>
      <c r="P188" s="572">
        <v>763.4</v>
      </c>
      <c r="Q188" s="569">
        <f t="shared" si="27"/>
        <v>0.20198845353901826</v>
      </c>
      <c r="R188" s="564">
        <f t="shared" si="34"/>
        <v>17.800000000000068</v>
      </c>
      <c r="S188" s="570">
        <f t="shared" si="28"/>
        <v>0.83940346393829446</v>
      </c>
      <c r="T188" s="302">
        <f t="shared" si="32"/>
        <v>-5.5132289790829692</v>
      </c>
      <c r="U188" s="302">
        <f t="shared" si="33"/>
        <v>5.7487186590940578</v>
      </c>
      <c r="V188" s="298">
        <f t="shared" si="35"/>
        <v>4.6374298655461055E-3</v>
      </c>
      <c r="X188" s="13"/>
      <c r="Y188" s="13"/>
      <c r="Z188" s="13"/>
      <c r="AK188" s="21"/>
      <c r="AL188" s="21"/>
      <c r="AM188" s="21"/>
      <c r="AN188" s="21"/>
      <c r="AO188" s="79"/>
      <c r="AP188" s="21"/>
      <c r="AQ188" s="21"/>
      <c r="AR188" s="21"/>
    </row>
    <row r="189" spans="1:44" ht="15.6" x14ac:dyDescent="0.3">
      <c r="A189" s="562">
        <v>154</v>
      </c>
      <c r="B189" s="563">
        <v>113</v>
      </c>
      <c r="C189" s="564">
        <f>IFERROR('Device Resistance Tables'!C177,NA())</f>
        <v>16469.815863830747</v>
      </c>
      <c r="D189" s="565">
        <f>IFERROR('Device Resistance Tables'!D177,NA())</f>
        <v>16720.625242467762</v>
      </c>
      <c r="E189" s="564">
        <f>IFERROR('Device Resistance Tables'!F177,NA())</f>
        <v>16971.434621104778</v>
      </c>
      <c r="F189" s="566">
        <f t="shared" si="29"/>
        <v>2.3408875339454864</v>
      </c>
      <c r="G189" s="564">
        <f t="shared" si="30"/>
        <v>93.915651580882695</v>
      </c>
      <c r="H189" s="566">
        <f t="shared" si="24"/>
        <v>0.32772425475236805</v>
      </c>
      <c r="I189" s="302">
        <f t="shared" si="25"/>
        <v>-1.4999999999999942</v>
      </c>
      <c r="J189" s="302">
        <f t="shared" si="26"/>
        <v>1.4999999999999942</v>
      </c>
      <c r="K189" s="298">
        <f t="shared" si="31"/>
        <v>1.314819122132338E-2</v>
      </c>
      <c r="L189" s="388"/>
      <c r="M189" s="571">
        <v>113</v>
      </c>
      <c r="N189" s="572">
        <v>665.6</v>
      </c>
      <c r="O189" s="572">
        <v>704.6</v>
      </c>
      <c r="P189" s="572">
        <v>745.3</v>
      </c>
      <c r="Q189" s="569">
        <f t="shared" si="27"/>
        <v>0.19746650972479121</v>
      </c>
      <c r="R189" s="564">
        <f t="shared" si="34"/>
        <v>17.299999999999955</v>
      </c>
      <c r="S189" s="570">
        <f t="shared" si="28"/>
        <v>0.84076004708256258</v>
      </c>
      <c r="T189" s="302">
        <f t="shared" si="32"/>
        <v>-5.5350553505535052</v>
      </c>
      <c r="U189" s="302">
        <f t="shared" si="33"/>
        <v>5.7763269940391613</v>
      </c>
      <c r="V189" s="298">
        <f t="shared" si="35"/>
        <v>4.5219438142270474E-3</v>
      </c>
      <c r="X189" s="13"/>
      <c r="Y189" s="13"/>
      <c r="Z189" s="13"/>
      <c r="AK189" s="21"/>
      <c r="AL189" s="21"/>
      <c r="AM189" s="21"/>
      <c r="AN189" s="21"/>
      <c r="AO189" s="79"/>
      <c r="AP189" s="21"/>
      <c r="AQ189" s="21"/>
      <c r="AR189" s="21"/>
    </row>
    <row r="190" spans="1:44" ht="15.6" x14ac:dyDescent="0.3">
      <c r="A190" s="562">
        <v>155</v>
      </c>
      <c r="B190" s="563">
        <v>114</v>
      </c>
      <c r="C190" s="564">
        <f>IFERROR('Device Resistance Tables'!C178,NA())</f>
        <v>16562.789490944582</v>
      </c>
      <c r="D190" s="565">
        <f>IFERROR('Device Resistance Tables'!D178,NA())</f>
        <v>16815.014711618864</v>
      </c>
      <c r="E190" s="564">
        <f>IFERROR('Device Resistance Tables'!F178,NA())</f>
        <v>17067.239932293145</v>
      </c>
      <c r="F190" s="566">
        <f t="shared" si="29"/>
        <v>2.3541020596266407</v>
      </c>
      <c r="G190" s="564">
        <f t="shared" si="30"/>
        <v>94.389469151101366</v>
      </c>
      <c r="H190" s="566">
        <f t="shared" si="24"/>
        <v>0.32957428834772967</v>
      </c>
      <c r="I190" s="302">
        <f t="shared" si="25"/>
        <v>-1.4999999999999911</v>
      </c>
      <c r="J190" s="302">
        <f t="shared" si="26"/>
        <v>1.4999999999999911</v>
      </c>
      <c r="K190" s="298">
        <f t="shared" si="31"/>
        <v>1.3214525681154221E-2</v>
      </c>
      <c r="L190" s="388"/>
      <c r="M190" s="571">
        <v>114</v>
      </c>
      <c r="N190" s="572">
        <v>649.59999999999991</v>
      </c>
      <c r="O190" s="572">
        <v>687.8</v>
      </c>
      <c r="P190" s="572">
        <v>727.7</v>
      </c>
      <c r="Q190" s="569">
        <f t="shared" si="27"/>
        <v>0.19306124740358163</v>
      </c>
      <c r="R190" s="564">
        <f t="shared" si="34"/>
        <v>16.800000000000068</v>
      </c>
      <c r="S190" s="570">
        <f t="shared" si="28"/>
        <v>0.84208162577892542</v>
      </c>
      <c r="T190" s="302">
        <f t="shared" si="32"/>
        <v>-5.5539400988659571</v>
      </c>
      <c r="U190" s="302">
        <f t="shared" si="33"/>
        <v>5.801104972375704</v>
      </c>
      <c r="V190" s="298">
        <f t="shared" si="35"/>
        <v>4.4052623212095798E-3</v>
      </c>
      <c r="X190" s="13"/>
      <c r="Y190" s="13"/>
      <c r="Z190" s="13"/>
      <c r="AK190" s="21"/>
      <c r="AL190" s="21"/>
      <c r="AM190" s="21"/>
      <c r="AN190" s="21"/>
      <c r="AO190" s="79"/>
      <c r="AP190" s="21"/>
      <c r="AQ190" s="21"/>
      <c r="AR190" s="21"/>
    </row>
    <row r="191" spans="1:44" ht="15.6" x14ac:dyDescent="0.3">
      <c r="A191" s="562">
        <v>156</v>
      </c>
      <c r="B191" s="563">
        <v>115</v>
      </c>
      <c r="C191" s="564">
        <f>IFERROR('Device Resistance Tables'!C179,NA())</f>
        <v>16656.233702080815</v>
      </c>
      <c r="D191" s="565">
        <f>IFERROR('Device Resistance Tables'!D179,NA())</f>
        <v>16909.881931046515</v>
      </c>
      <c r="E191" s="564">
        <f>IFERROR('Device Resistance Tables'!F179,NA())</f>
        <v>17163.530160012211</v>
      </c>
      <c r="F191" s="566">
        <f t="shared" si="29"/>
        <v>2.3673834703465118</v>
      </c>
      <c r="G191" s="564">
        <f t="shared" si="30"/>
        <v>94.867219427651435</v>
      </c>
      <c r="H191" s="566">
        <f t="shared" si="24"/>
        <v>0.33143368584851163</v>
      </c>
      <c r="I191" s="302">
        <f t="shared" si="25"/>
        <v>-1.5000000000000115</v>
      </c>
      <c r="J191" s="302">
        <f t="shared" si="26"/>
        <v>1.49999999999999</v>
      </c>
      <c r="K191" s="298">
        <f t="shared" si="31"/>
        <v>1.3281410719871101E-2</v>
      </c>
      <c r="L191" s="388"/>
      <c r="M191" s="571">
        <v>115</v>
      </c>
      <c r="N191" s="572">
        <v>634</v>
      </c>
      <c r="O191" s="572">
        <v>671.5</v>
      </c>
      <c r="P191" s="572">
        <v>710.6</v>
      </c>
      <c r="Q191" s="569">
        <f t="shared" si="27"/>
        <v>0.18877383685517499</v>
      </c>
      <c r="R191" s="564">
        <f t="shared" si="34"/>
        <v>16.299999999999955</v>
      </c>
      <c r="S191" s="570">
        <f t="shared" si="28"/>
        <v>0.84336784894344752</v>
      </c>
      <c r="T191" s="302">
        <f t="shared" si="32"/>
        <v>-5.5845122859270289</v>
      </c>
      <c r="U191" s="302">
        <f t="shared" si="33"/>
        <v>5.8227848101265858</v>
      </c>
      <c r="V191" s="298">
        <f t="shared" si="35"/>
        <v>4.2874105484066449E-3</v>
      </c>
      <c r="X191" s="13"/>
      <c r="Y191" s="13"/>
      <c r="Z191" s="13"/>
      <c r="AK191" s="21"/>
      <c r="AL191" s="21"/>
      <c r="AM191" s="21"/>
      <c r="AN191" s="21"/>
      <c r="AO191" s="79"/>
      <c r="AP191" s="21"/>
      <c r="AQ191" s="21"/>
      <c r="AR191" s="21"/>
    </row>
    <row r="192" spans="1:44" ht="15.6" x14ac:dyDescent="0.3">
      <c r="A192" s="562">
        <v>157</v>
      </c>
      <c r="B192" s="563">
        <v>116</v>
      </c>
      <c r="C192" s="564">
        <f>IFERROR('Device Resistance Tables'!C180,NA())</f>
        <v>16750.152413557844</v>
      </c>
      <c r="D192" s="565">
        <f>IFERROR('Device Resistance Tables'!D180,NA())</f>
        <v>17005.230876708472</v>
      </c>
      <c r="E192" s="564">
        <f>IFERROR('Device Resistance Tables'!F180,NA())</f>
        <v>17260.309339859097</v>
      </c>
      <c r="F192" s="566">
        <f t="shared" si="29"/>
        <v>2.3807323227391861</v>
      </c>
      <c r="G192" s="564">
        <f t="shared" si="30"/>
        <v>95.348945661957259</v>
      </c>
      <c r="H192" s="566">
        <f t="shared" si="24"/>
        <v>0.33330252518348602</v>
      </c>
      <c r="I192" s="302">
        <f t="shared" si="25"/>
        <v>-1.5000000000000084</v>
      </c>
      <c r="J192" s="302">
        <f t="shared" si="26"/>
        <v>1.4999999999999871</v>
      </c>
      <c r="K192" s="298">
        <f t="shared" si="31"/>
        <v>1.334885239267436E-2</v>
      </c>
      <c r="L192" s="388"/>
      <c r="M192" s="571">
        <v>116</v>
      </c>
      <c r="N192" s="572">
        <v>618.80000000000007</v>
      </c>
      <c r="O192" s="572">
        <v>655.59999999999991</v>
      </c>
      <c r="P192" s="572">
        <v>693.9</v>
      </c>
      <c r="Q192" s="569">
        <f t="shared" si="27"/>
        <v>0.18457900071323996</v>
      </c>
      <c r="R192" s="564">
        <f t="shared" si="34"/>
        <v>15.900000000000091</v>
      </c>
      <c r="S192" s="570">
        <f t="shared" si="28"/>
        <v>0.84462629978602799</v>
      </c>
      <c r="T192" s="302">
        <f t="shared" si="32"/>
        <v>-5.6131787675411609</v>
      </c>
      <c r="U192" s="302">
        <f t="shared" si="33"/>
        <v>5.841976815131189</v>
      </c>
      <c r="V192" s="298">
        <f t="shared" si="35"/>
        <v>4.1948361419350266E-3</v>
      </c>
      <c r="X192" s="13"/>
      <c r="Y192" s="13"/>
      <c r="Z192" s="13"/>
      <c r="AK192" s="21"/>
      <c r="AL192" s="21"/>
      <c r="AM192" s="21"/>
      <c r="AN192" s="21"/>
      <c r="AO192" s="79"/>
      <c r="AP192" s="21"/>
      <c r="AQ192" s="21"/>
      <c r="AR192" s="21"/>
    </row>
    <row r="193" spans="1:44" ht="15.6" x14ac:dyDescent="0.3">
      <c r="A193" s="562">
        <v>158</v>
      </c>
      <c r="B193" s="563">
        <v>117</v>
      </c>
      <c r="C193" s="564">
        <f>IFERROR('Device Resistance Tables'!C181,NA())</f>
        <v>16844.549584296739</v>
      </c>
      <c r="D193" s="565">
        <f>IFERROR('Device Resistance Tables'!D181,NA())</f>
        <v>17101.065567813948</v>
      </c>
      <c r="E193" s="564">
        <f>IFERROR('Device Resistance Tables'!F181,NA())</f>
        <v>17357.581551331157</v>
      </c>
      <c r="F193" s="566">
        <f t="shared" si="29"/>
        <v>2.3941491794939527</v>
      </c>
      <c r="G193" s="564">
        <f t="shared" si="30"/>
        <v>95.83469110547594</v>
      </c>
      <c r="H193" s="566">
        <f t="shared" si="24"/>
        <v>0.33518088512915334</v>
      </c>
      <c r="I193" s="302">
        <f t="shared" si="25"/>
        <v>-1.4999999999999984</v>
      </c>
      <c r="J193" s="302">
        <f t="shared" si="26"/>
        <v>1.4999999999999984</v>
      </c>
      <c r="K193" s="298">
        <f t="shared" si="31"/>
        <v>1.341685675476656E-2</v>
      </c>
      <c r="L193" s="388"/>
      <c r="M193" s="571">
        <v>117</v>
      </c>
      <c r="N193" s="572">
        <v>604.1</v>
      </c>
      <c r="O193" s="572">
        <v>640.20000000000005</v>
      </c>
      <c r="P193" s="572">
        <v>677.8</v>
      </c>
      <c r="Q193" s="569">
        <f t="shared" si="27"/>
        <v>0.18050412586229581</v>
      </c>
      <c r="R193" s="564">
        <f t="shared" si="34"/>
        <v>15.399999999999864</v>
      </c>
      <c r="S193" s="570">
        <f t="shared" si="28"/>
        <v>0.845848762241311</v>
      </c>
      <c r="T193" s="302">
        <f t="shared" si="32"/>
        <v>-5.6388628553577043</v>
      </c>
      <c r="U193" s="302">
        <f t="shared" si="33"/>
        <v>5.8731646360512197</v>
      </c>
      <c r="V193" s="298">
        <f t="shared" si="35"/>
        <v>4.0748748509441546E-3</v>
      </c>
      <c r="X193" s="13"/>
      <c r="Y193" s="13"/>
      <c r="Z193" s="13"/>
      <c r="AK193" s="21"/>
      <c r="AL193" s="21"/>
      <c r="AM193" s="21"/>
      <c r="AN193" s="21"/>
      <c r="AO193" s="79"/>
      <c r="AP193" s="21"/>
      <c r="AQ193" s="21"/>
      <c r="AR193" s="21"/>
    </row>
    <row r="194" spans="1:44" ht="15.6" x14ac:dyDescent="0.3">
      <c r="A194" s="562">
        <v>159</v>
      </c>
      <c r="B194" s="563">
        <v>118</v>
      </c>
      <c r="C194" s="564">
        <f>IFERROR('Device Resistance Tables'!C182,NA())</f>
        <v>16939.429215821245</v>
      </c>
      <c r="D194" s="565">
        <f>IFERROR('Device Resistance Tables'!D182,NA())</f>
        <v>17197.390066823598</v>
      </c>
      <c r="E194" s="564">
        <f>IFERROR('Device Resistance Tables'!F182,NA())</f>
        <v>17455.350917825952</v>
      </c>
      <c r="F194" s="566">
        <f t="shared" si="29"/>
        <v>2.4076346093553034</v>
      </c>
      <c r="G194" s="564">
        <f t="shared" si="30"/>
        <v>96.324499009650026</v>
      </c>
      <c r="H194" s="566">
        <f t="shared" si="24"/>
        <v>0.33706884530974252</v>
      </c>
      <c r="I194" s="302">
        <f t="shared" si="25"/>
        <v>-1.4999999999999978</v>
      </c>
      <c r="J194" s="302">
        <f t="shared" si="26"/>
        <v>1.4999999999999978</v>
      </c>
      <c r="K194" s="298">
        <f t="shared" si="31"/>
        <v>1.3485429861350706E-2</v>
      </c>
      <c r="L194" s="388"/>
      <c r="M194" s="571">
        <v>118</v>
      </c>
      <c r="N194" s="572">
        <v>589.79999999999995</v>
      </c>
      <c r="O194" s="572">
        <v>625.19999999999993</v>
      </c>
      <c r="P194" s="572">
        <v>662</v>
      </c>
      <c r="Q194" s="569">
        <f t="shared" si="27"/>
        <v>0.17652373602379248</v>
      </c>
      <c r="R194" s="564">
        <f t="shared" si="34"/>
        <v>15.000000000000114</v>
      </c>
      <c r="S194" s="570">
        <f t="shared" si="28"/>
        <v>0.84704287919286214</v>
      </c>
      <c r="T194" s="302">
        <f t="shared" si="32"/>
        <v>-5.6621880998080583</v>
      </c>
      <c r="U194" s="302">
        <f t="shared" si="33"/>
        <v>5.8861164427383352</v>
      </c>
      <c r="V194" s="298">
        <f t="shared" si="35"/>
        <v>3.9803898385033232E-3</v>
      </c>
      <c r="X194" s="13"/>
      <c r="Y194" s="13"/>
      <c r="Z194" s="13"/>
      <c r="AK194" s="21"/>
      <c r="AL194" s="21"/>
      <c r="AM194" s="21"/>
      <c r="AN194" s="21"/>
      <c r="AO194" s="79"/>
      <c r="AP194" s="21"/>
      <c r="AQ194" s="21"/>
      <c r="AR194" s="21"/>
    </row>
    <row r="195" spans="1:44" ht="15.6" x14ac:dyDescent="0.3">
      <c r="A195" s="562">
        <v>160</v>
      </c>
      <c r="B195" s="563">
        <v>119</v>
      </c>
      <c r="C195" s="564">
        <f>IFERROR('Device Resistance Tables'!C183,NA())</f>
        <v>17034.795352257774</v>
      </c>
      <c r="D195" s="565">
        <f>IFERROR('Device Resistance Tables'!D183,NA())</f>
        <v>17294.208479449517</v>
      </c>
      <c r="E195" s="564">
        <f>IFERROR('Device Resistance Tables'!F183,NA())</f>
        <v>17553.621606641256</v>
      </c>
      <c r="F195" s="566">
        <f t="shared" si="29"/>
        <v>2.4211891871229323</v>
      </c>
      <c r="G195" s="564">
        <f t="shared" si="30"/>
        <v>96.818412625918427</v>
      </c>
      <c r="H195" s="566">
        <f t="shared" si="24"/>
        <v>0.33896648619721048</v>
      </c>
      <c r="I195" s="302">
        <f t="shared" si="25"/>
        <v>-1.500000000000002</v>
      </c>
      <c r="J195" s="302">
        <f t="shared" si="26"/>
        <v>1.4999999999999811</v>
      </c>
      <c r="K195" s="298">
        <f t="shared" si="31"/>
        <v>1.3554577767628917E-2</v>
      </c>
      <c r="L195" s="388"/>
      <c r="M195" s="571">
        <v>119</v>
      </c>
      <c r="N195" s="572">
        <v>575.9</v>
      </c>
      <c r="O195" s="572">
        <v>610.6</v>
      </c>
      <c r="P195" s="572">
        <v>646.70000000000005</v>
      </c>
      <c r="Q195" s="569">
        <f t="shared" si="27"/>
        <v>0.17263868207264432</v>
      </c>
      <c r="R195" s="564">
        <f t="shared" si="34"/>
        <v>14.599999999999909</v>
      </c>
      <c r="S195" s="570">
        <f t="shared" si="28"/>
        <v>0.84820839537820658</v>
      </c>
      <c r="T195" s="302">
        <f t="shared" si="32"/>
        <v>-5.6829348182116028</v>
      </c>
      <c r="U195" s="302">
        <f t="shared" si="33"/>
        <v>5.9122174909924698</v>
      </c>
      <c r="V195" s="298">
        <f t="shared" si="35"/>
        <v>3.8850539511481597E-3</v>
      </c>
      <c r="X195" s="13"/>
      <c r="Y195" s="13"/>
      <c r="Z195" s="13"/>
      <c r="AK195" s="21"/>
      <c r="AL195" s="21"/>
      <c r="AM195" s="21"/>
      <c r="AN195" s="21"/>
      <c r="AO195" s="79"/>
      <c r="AP195" s="21"/>
      <c r="AQ195" s="21"/>
      <c r="AR195" s="21"/>
    </row>
    <row r="196" spans="1:44" ht="15.6" x14ac:dyDescent="0.3">
      <c r="A196" s="562">
        <v>161</v>
      </c>
      <c r="B196" s="563">
        <v>120</v>
      </c>
      <c r="C196" s="564">
        <f>IFERROR('Device Resistance Tables'!C184,NA())</f>
        <v>17130.652080335392</v>
      </c>
      <c r="D196" s="565">
        <f>IFERROR('Device Resistance Tables'!D184,NA())</f>
        <v>17391.524954655222</v>
      </c>
      <c r="E196" s="564">
        <f>IFERROR('Device Resistance Tables'!F184,NA())</f>
        <v>17652.397828975048</v>
      </c>
      <c r="F196" s="566">
        <f t="shared" si="29"/>
        <v>2.4348134936517307</v>
      </c>
      <c r="G196" s="564">
        <f t="shared" si="30"/>
        <v>97.316475205705501</v>
      </c>
      <c r="H196" s="566">
        <f t="shared" si="24"/>
        <v>0.34087388911124233</v>
      </c>
      <c r="I196" s="302">
        <f t="shared" si="25"/>
        <v>-1.5000000000000089</v>
      </c>
      <c r="J196" s="302">
        <f t="shared" si="26"/>
        <v>1.4999999999999878</v>
      </c>
      <c r="K196" s="298">
        <f t="shared" si="31"/>
        <v>1.3624306528798424E-2</v>
      </c>
      <c r="L196" s="388"/>
      <c r="M196" s="571">
        <v>120</v>
      </c>
      <c r="N196" s="572">
        <v>562.4</v>
      </c>
      <c r="O196" s="572">
        <v>596.40000000000009</v>
      </c>
      <c r="P196" s="572">
        <v>631.80000000000007</v>
      </c>
      <c r="Q196" s="569">
        <f t="shared" si="27"/>
        <v>0.16884979804461897</v>
      </c>
      <c r="R196" s="564">
        <f t="shared" si="34"/>
        <v>14.199999999999932</v>
      </c>
      <c r="S196" s="570">
        <f t="shared" si="28"/>
        <v>0.84934506058661441</v>
      </c>
      <c r="T196" s="302">
        <f t="shared" si="32"/>
        <v>-5.7008718980550146</v>
      </c>
      <c r="U196" s="302">
        <f t="shared" si="33"/>
        <v>5.9356136820925505</v>
      </c>
      <c r="V196" s="298">
        <f t="shared" si="35"/>
        <v>3.7888840280253522E-3</v>
      </c>
      <c r="X196" s="13"/>
      <c r="Y196" s="13"/>
      <c r="Z196" s="13"/>
      <c r="AK196" s="21"/>
      <c r="AL196" s="21"/>
      <c r="AM196" s="21"/>
      <c r="AN196" s="21"/>
      <c r="AO196" s="79"/>
      <c r="AP196" s="21"/>
      <c r="AQ196" s="21"/>
      <c r="AR196" s="21"/>
    </row>
    <row r="197" spans="1:44" ht="15.6" x14ac:dyDescent="0.3">
      <c r="A197" s="562">
        <v>162</v>
      </c>
      <c r="B197" s="563">
        <v>121</v>
      </c>
      <c r="C197" s="564">
        <f>IFERROR('Device Resistance Tables'!C185,NA())</f>
        <v>17227.003529385864</v>
      </c>
      <c r="D197" s="565">
        <f>IFERROR('Device Resistance Tables'!D185,NA())</f>
        <v>17489.343684655698</v>
      </c>
      <c r="E197" s="564">
        <f>IFERROR('Device Resistance Tables'!F185,NA())</f>
        <v>17751.683839925532</v>
      </c>
      <c r="F197" s="566">
        <f t="shared" si="29"/>
        <v>2.4485081158517974</v>
      </c>
      <c r="G197" s="564">
        <f t="shared" si="30"/>
        <v>97.818730000475625</v>
      </c>
      <c r="H197" s="566">
        <f t="shared" si="24"/>
        <v>0.34279113621925167</v>
      </c>
      <c r="I197" s="302">
        <f t="shared" si="25"/>
        <v>-1.4999999999999929</v>
      </c>
      <c r="J197" s="302">
        <f t="shared" si="26"/>
        <v>1.4999999999999929</v>
      </c>
      <c r="K197" s="298">
        <f t="shared" si="31"/>
        <v>1.3694622200066675E-2</v>
      </c>
      <c r="L197" s="388"/>
      <c r="M197" s="571">
        <v>121</v>
      </c>
      <c r="N197" s="572">
        <v>549.29999999999995</v>
      </c>
      <c r="O197" s="572">
        <v>582.6</v>
      </c>
      <c r="P197" s="572">
        <v>617.4</v>
      </c>
      <c r="Q197" s="569">
        <f t="shared" si="27"/>
        <v>0.16515790070493072</v>
      </c>
      <c r="R197" s="564">
        <f t="shared" si="34"/>
        <v>13.800000000000068</v>
      </c>
      <c r="S197" s="570">
        <f t="shared" si="28"/>
        <v>0.85045262978852076</v>
      </c>
      <c r="T197" s="302">
        <f t="shared" si="32"/>
        <v>-5.7157569515963038</v>
      </c>
      <c r="U197" s="302">
        <f t="shared" si="33"/>
        <v>5.9732234809474694</v>
      </c>
      <c r="V197" s="298">
        <f t="shared" si="35"/>
        <v>3.6918973396882493E-3</v>
      </c>
      <c r="X197" s="13"/>
      <c r="Y197" s="13"/>
      <c r="Z197" s="13"/>
      <c r="AK197" s="21"/>
      <c r="AL197" s="21"/>
      <c r="AM197" s="21"/>
      <c r="AN197" s="21"/>
      <c r="AO197" s="79"/>
      <c r="AP197" s="21"/>
      <c r="AQ197" s="21"/>
      <c r="AR197" s="21"/>
    </row>
    <row r="198" spans="1:44" ht="15.6" x14ac:dyDescent="0.3">
      <c r="A198" s="562">
        <v>163</v>
      </c>
      <c r="B198" s="563">
        <v>122</v>
      </c>
      <c r="C198" s="564">
        <f>IFERROR('Device Resistance Tables'!C186,NA())</f>
        <v>17323.853871343599</v>
      </c>
      <c r="D198" s="565">
        <f>IFERROR('Device Resistance Tables'!D186,NA())</f>
        <v>17587.668904917358</v>
      </c>
      <c r="E198" s="564">
        <f>IFERROR('Device Resistance Tables'!F186,NA())</f>
        <v>17851.483938491117</v>
      </c>
      <c r="F198" s="566">
        <f t="shared" si="29"/>
        <v>2.4622736466884301</v>
      </c>
      <c r="G198" s="564">
        <f t="shared" si="30"/>
        <v>98.325220261660434</v>
      </c>
      <c r="H198" s="566">
        <f t="shared" si="24"/>
        <v>0.34471831053638019</v>
      </c>
      <c r="I198" s="302">
        <f t="shared" si="25"/>
        <v>-1.4999999999999929</v>
      </c>
      <c r="J198" s="302">
        <f t="shared" si="26"/>
        <v>1.4999999999999929</v>
      </c>
      <c r="K198" s="298">
        <f t="shared" si="31"/>
        <v>1.3765530836632678E-2</v>
      </c>
      <c r="L198" s="388"/>
      <c r="M198" s="571">
        <v>122</v>
      </c>
      <c r="N198" s="572">
        <v>536.5</v>
      </c>
      <c r="O198" s="572">
        <v>569.20000000000005</v>
      </c>
      <c r="P198" s="572">
        <v>603.29999999999995</v>
      </c>
      <c r="Q198" s="569">
        <f t="shared" si="27"/>
        <v>0.16156378912311245</v>
      </c>
      <c r="R198" s="564">
        <f t="shared" si="34"/>
        <v>13.399999999999977</v>
      </c>
      <c r="S198" s="570">
        <f t="shared" si="28"/>
        <v>0.85153086326306626</v>
      </c>
      <c r="T198" s="302">
        <f t="shared" si="32"/>
        <v>-5.7449051300070355</v>
      </c>
      <c r="U198" s="302">
        <f t="shared" si="33"/>
        <v>5.990864371047067</v>
      </c>
      <c r="V198" s="298">
        <f t="shared" si="35"/>
        <v>3.5941115818182712E-3</v>
      </c>
      <c r="X198" s="13"/>
      <c r="Y198" s="13"/>
      <c r="Z198" s="13"/>
      <c r="AK198" s="21"/>
      <c r="AL198" s="21"/>
      <c r="AM198" s="21"/>
      <c r="AN198" s="21"/>
      <c r="AO198" s="79"/>
      <c r="AP198" s="21"/>
      <c r="AQ198" s="21"/>
      <c r="AR198" s="21"/>
    </row>
    <row r="199" spans="1:44" ht="15.6" x14ac:dyDescent="0.3">
      <c r="A199" s="562">
        <v>164</v>
      </c>
      <c r="B199" s="563">
        <v>123</v>
      </c>
      <c r="C199" s="564">
        <f>IFERROR('Device Resistance Tables'!C187,NA())</f>
        <v>17421.207320745685</v>
      </c>
      <c r="D199" s="565">
        <f>IFERROR('Device Resistance Tables'!D187,NA())</f>
        <v>17686.504894158057</v>
      </c>
      <c r="E199" s="564">
        <f>IFERROR('Device Resistance Tables'!F187,NA())</f>
        <v>17951.802467570426</v>
      </c>
      <c r="F199" s="566">
        <f t="shared" si="29"/>
        <v>2.4761106851821277</v>
      </c>
      <c r="G199" s="564">
        <f t="shared" si="30"/>
        <v>98.835989240698837</v>
      </c>
      <c r="H199" s="566">
        <f t="shared" si="24"/>
        <v>0.34665549592549783</v>
      </c>
      <c r="I199" s="302">
        <f t="shared" si="25"/>
        <v>-1.5000000000000064</v>
      </c>
      <c r="J199" s="302">
        <f t="shared" si="26"/>
        <v>1.4999999999999858</v>
      </c>
      <c r="K199" s="298">
        <f t="shared" si="31"/>
        <v>1.3837038493697662E-2</v>
      </c>
      <c r="L199" s="388"/>
      <c r="M199" s="571">
        <v>123</v>
      </c>
      <c r="N199" s="572">
        <v>524.1</v>
      </c>
      <c r="O199" s="572">
        <v>556.20000000000005</v>
      </c>
      <c r="P199" s="572">
        <v>589.6</v>
      </c>
      <c r="Q199" s="569">
        <f t="shared" si="27"/>
        <v>0.15806824425456131</v>
      </c>
      <c r="R199" s="564">
        <f t="shared" si="34"/>
        <v>13</v>
      </c>
      <c r="S199" s="570">
        <f t="shared" si="28"/>
        <v>0.85257952672363146</v>
      </c>
      <c r="T199" s="302">
        <f t="shared" si="32"/>
        <v>-5.7713052858683964</v>
      </c>
      <c r="U199" s="302">
        <f t="shared" si="33"/>
        <v>6.0050341603739614</v>
      </c>
      <c r="V199" s="298">
        <f t="shared" si="35"/>
        <v>3.495544868551137E-3</v>
      </c>
      <c r="X199" s="13"/>
      <c r="Y199" s="13"/>
      <c r="Z199" s="13"/>
      <c r="AK199" s="21"/>
      <c r="AL199" s="21"/>
      <c r="AM199" s="21"/>
      <c r="AN199" s="21"/>
      <c r="AO199" s="79"/>
      <c r="AP199" s="21"/>
      <c r="AQ199" s="21"/>
      <c r="AR199" s="21"/>
    </row>
    <row r="200" spans="1:44" ht="15.6" x14ac:dyDescent="0.3">
      <c r="A200" s="562">
        <v>165</v>
      </c>
      <c r="B200" s="563">
        <v>124</v>
      </c>
      <c r="C200" s="564">
        <f>IFERROR('Device Resistance Tables'!C188,NA())</f>
        <v>17519.068134731893</v>
      </c>
      <c r="D200" s="565">
        <f>IFERROR('Device Resistance Tables'!D188,NA())</f>
        <v>17785.855974347101</v>
      </c>
      <c r="E200" s="564">
        <f>IFERROR('Device Resistance Tables'!F188,NA())</f>
        <v>18052.643813962306</v>
      </c>
      <c r="F200" s="566">
        <f t="shared" si="29"/>
        <v>2.4900198364085941</v>
      </c>
      <c r="G200" s="564">
        <f t="shared" si="30"/>
        <v>99.351080189044296</v>
      </c>
      <c r="H200" s="566">
        <f t="shared" si="24"/>
        <v>0.34860277709720316</v>
      </c>
      <c r="I200" s="302">
        <f t="shared" si="25"/>
        <v>-1.5000000000000095</v>
      </c>
      <c r="J200" s="302">
        <f t="shared" si="26"/>
        <v>1.4999999999999891</v>
      </c>
      <c r="K200" s="298">
        <f t="shared" si="31"/>
        <v>1.390915122646641E-2</v>
      </c>
      <c r="L200" s="388"/>
      <c r="M200" s="571">
        <v>124</v>
      </c>
      <c r="N200" s="572">
        <v>512.1</v>
      </c>
      <c r="O200" s="572">
        <v>543.5</v>
      </c>
      <c r="P200" s="572">
        <v>576.30000000000007</v>
      </c>
      <c r="Q200" s="569">
        <f t="shared" si="27"/>
        <v>0.15464504196898562</v>
      </c>
      <c r="R200" s="564">
        <f t="shared" si="34"/>
        <v>12.700000000000045</v>
      </c>
      <c r="S200" s="570">
        <f t="shared" si="28"/>
        <v>0.85360648740930412</v>
      </c>
      <c r="T200" s="302">
        <f t="shared" si="32"/>
        <v>-5.7773689052437867</v>
      </c>
      <c r="U200" s="302">
        <f t="shared" si="33"/>
        <v>6.0349586016559469</v>
      </c>
      <c r="V200" s="298">
        <f t="shared" si="35"/>
        <v>3.4232022855756883E-3</v>
      </c>
      <c r="X200" s="13"/>
      <c r="Y200" s="13"/>
      <c r="Z200" s="13"/>
      <c r="AK200" s="21"/>
      <c r="AL200" s="21"/>
      <c r="AM200" s="21"/>
      <c r="AN200" s="21"/>
      <c r="AO200" s="79"/>
      <c r="AP200" s="21"/>
      <c r="AQ200" s="21"/>
      <c r="AR200" s="21"/>
    </row>
    <row r="201" spans="1:44" ht="15.6" x14ac:dyDescent="0.3">
      <c r="A201" s="562">
        <v>166</v>
      </c>
      <c r="B201" s="563">
        <v>125</v>
      </c>
      <c r="C201" s="564">
        <f>IFERROR('Device Resistance Tables'!C189,NA())</f>
        <v>17617.44061304464</v>
      </c>
      <c r="D201" s="565">
        <f>IFERROR('Device Resistance Tables'!D189,NA())</f>
        <v>17885.726510705219</v>
      </c>
      <c r="E201" s="564">
        <f>IFERROR('Device Resistance Tables'!F189,NA())</f>
        <v>18154.012408365794</v>
      </c>
      <c r="F201" s="566">
        <f t="shared" si="29"/>
        <v>2.5040017114987303</v>
      </c>
      <c r="G201" s="564">
        <f t="shared" si="30"/>
        <v>99.870536358117533</v>
      </c>
      <c r="H201" s="566">
        <f t="shared" si="24"/>
        <v>0.35056023960982224</v>
      </c>
      <c r="I201" s="302">
        <f t="shared" si="25"/>
        <v>-1.5000000000000011</v>
      </c>
      <c r="J201" s="302">
        <f t="shared" si="26"/>
        <v>1.4999999999999809</v>
      </c>
      <c r="K201" s="298">
        <f t="shared" si="31"/>
        <v>1.3981875090136153E-2</v>
      </c>
      <c r="L201" s="388"/>
      <c r="M201" s="571">
        <v>125</v>
      </c>
      <c r="N201" s="572">
        <v>500.29999999999995</v>
      </c>
      <c r="O201" s="572">
        <v>531.1</v>
      </c>
      <c r="P201" s="572">
        <v>563.4</v>
      </c>
      <c r="Q201" s="569">
        <f t="shared" si="27"/>
        <v>0.15129473654224154</v>
      </c>
      <c r="R201" s="564">
        <f t="shared" si="34"/>
        <v>12.399999999999977</v>
      </c>
      <c r="S201" s="570">
        <f t="shared" si="28"/>
        <v>0.85461157903732754</v>
      </c>
      <c r="T201" s="302">
        <f t="shared" si="32"/>
        <v>-5.7992845038599254</v>
      </c>
      <c r="U201" s="302">
        <f t="shared" si="33"/>
        <v>6.0817171907361987</v>
      </c>
      <c r="V201" s="298">
        <f t="shared" si="35"/>
        <v>3.3503054267440824E-3</v>
      </c>
      <c r="X201" s="13"/>
      <c r="Y201" s="13"/>
      <c r="Z201" s="13"/>
      <c r="AK201" s="21"/>
      <c r="AL201" s="21"/>
      <c r="AM201" s="21"/>
      <c r="AN201" s="21"/>
      <c r="AO201" s="79"/>
      <c r="AP201" s="21"/>
      <c r="AQ201" s="21"/>
      <c r="AR201" s="21"/>
    </row>
    <row r="202" spans="1:44" ht="15.6" x14ac:dyDescent="0.3">
      <c r="A202" s="562">
        <v>167</v>
      </c>
      <c r="B202" s="563">
        <v>126</v>
      </c>
      <c r="C202" s="564" t="e">
        <f>IFERROR('Device Resistance Tables'!C190,NA())</f>
        <v>#N/A</v>
      </c>
      <c r="D202" s="565" t="e">
        <f>IFERROR('Device Resistance Tables'!D190,NA())</f>
        <v>#N/A</v>
      </c>
      <c r="E202" s="564" t="e">
        <f>IFERROR('Device Resistance Tables'!F190,NA())</f>
        <v>#N/A</v>
      </c>
      <c r="F202" s="566" t="e">
        <f t="shared" si="29"/>
        <v>#N/A</v>
      </c>
      <c r="G202" s="564" t="e">
        <f t="shared" si="30"/>
        <v>#N/A</v>
      </c>
      <c r="H202" s="566" t="e">
        <f t="shared" si="24"/>
        <v>#N/A</v>
      </c>
      <c r="I202" s="302" t="e">
        <f t="shared" si="25"/>
        <v>#N/A</v>
      </c>
      <c r="J202" s="302" t="e">
        <f t="shared" si="26"/>
        <v>#N/A</v>
      </c>
      <c r="K202" s="298" t="e">
        <f t="shared" si="31"/>
        <v>#N/A</v>
      </c>
      <c r="L202" s="388"/>
      <c r="M202" s="571">
        <v>126</v>
      </c>
      <c r="N202" s="575" t="e">
        <v>#N/A</v>
      </c>
      <c r="O202" s="575" t="e">
        <v>#N/A</v>
      </c>
      <c r="P202" s="575" t="e">
        <v>#N/A</v>
      </c>
      <c r="Q202" s="569" t="e">
        <f t="shared" si="27"/>
        <v>#N/A</v>
      </c>
      <c r="R202" s="564" t="e">
        <f t="shared" si="34"/>
        <v>#N/A</v>
      </c>
      <c r="S202" s="570" t="e">
        <f t="shared" si="28"/>
        <v>#N/A</v>
      </c>
      <c r="T202" s="302" t="e">
        <f t="shared" si="32"/>
        <v>#N/A</v>
      </c>
      <c r="U202" s="302" t="e">
        <f t="shared" si="33"/>
        <v>#N/A</v>
      </c>
      <c r="V202" s="298" t="e">
        <f t="shared" si="35"/>
        <v>#N/A</v>
      </c>
      <c r="X202" s="13"/>
      <c r="Y202" s="13"/>
      <c r="Z202" s="13"/>
      <c r="AK202" s="21"/>
      <c r="AL202" s="21"/>
      <c r="AM202" s="21"/>
      <c r="AN202" s="21"/>
      <c r="AO202" s="79"/>
      <c r="AP202" s="21"/>
      <c r="AQ202" s="21"/>
      <c r="AR202" s="21"/>
    </row>
    <row r="203" spans="1:44" ht="15.6" x14ac:dyDescent="0.3">
      <c r="A203" s="562">
        <v>168</v>
      </c>
      <c r="B203" s="563">
        <v>127</v>
      </c>
      <c r="C203" s="564" t="e">
        <f>IFERROR('Device Resistance Tables'!C191,NA())</f>
        <v>#N/A</v>
      </c>
      <c r="D203" s="565" t="e">
        <f>IFERROR('Device Resistance Tables'!D191,NA())</f>
        <v>#N/A</v>
      </c>
      <c r="E203" s="564" t="e">
        <f>IFERROR('Device Resistance Tables'!F191,NA())</f>
        <v>#N/A</v>
      </c>
      <c r="F203" s="566" t="e">
        <f t="shared" si="29"/>
        <v>#N/A</v>
      </c>
      <c r="G203" s="564" t="e">
        <f t="shared" si="30"/>
        <v>#N/A</v>
      </c>
      <c r="H203" s="566" t="e">
        <f t="shared" si="24"/>
        <v>#N/A</v>
      </c>
      <c r="I203" s="302" t="e">
        <f t="shared" si="25"/>
        <v>#N/A</v>
      </c>
      <c r="J203" s="302" t="e">
        <f t="shared" si="26"/>
        <v>#N/A</v>
      </c>
      <c r="K203" s="298" t="e">
        <f t="shared" si="31"/>
        <v>#N/A</v>
      </c>
      <c r="L203" s="388"/>
      <c r="M203" s="571">
        <v>127</v>
      </c>
      <c r="N203" s="575" t="e">
        <v>#N/A</v>
      </c>
      <c r="O203" s="575" t="e">
        <v>#N/A</v>
      </c>
      <c r="P203" s="575" t="e">
        <v>#N/A</v>
      </c>
      <c r="Q203" s="569" t="e">
        <f t="shared" si="27"/>
        <v>#N/A</v>
      </c>
      <c r="R203" s="564" t="e">
        <f t="shared" si="34"/>
        <v>#N/A</v>
      </c>
      <c r="S203" s="570" t="e">
        <f t="shared" si="28"/>
        <v>#N/A</v>
      </c>
      <c r="T203" s="302" t="e">
        <f t="shared" si="32"/>
        <v>#N/A</v>
      </c>
      <c r="U203" s="302" t="e">
        <f t="shared" si="33"/>
        <v>#N/A</v>
      </c>
      <c r="V203" s="298" t="e">
        <f t="shared" si="35"/>
        <v>#N/A</v>
      </c>
      <c r="X203" s="13"/>
      <c r="Y203" s="13"/>
      <c r="Z203" s="13"/>
      <c r="AK203" s="21"/>
      <c r="AL203" s="21"/>
      <c r="AM203" s="21"/>
      <c r="AN203" s="21"/>
      <c r="AO203" s="79"/>
      <c r="AP203" s="21"/>
      <c r="AQ203" s="21"/>
      <c r="AR203" s="21"/>
    </row>
    <row r="204" spans="1:44" ht="15.6" x14ac:dyDescent="0.3">
      <c r="A204" s="562">
        <v>169</v>
      </c>
      <c r="B204" s="563">
        <v>128</v>
      </c>
      <c r="C204" s="564" t="e">
        <f>IFERROR('Device Resistance Tables'!C192,NA())</f>
        <v>#N/A</v>
      </c>
      <c r="D204" s="565" t="e">
        <f>IFERROR('Device Resistance Tables'!D192,NA())</f>
        <v>#N/A</v>
      </c>
      <c r="E204" s="564" t="e">
        <f>IFERROR('Device Resistance Tables'!F192,NA())</f>
        <v>#N/A</v>
      </c>
      <c r="F204" s="566" t="e">
        <f t="shared" si="29"/>
        <v>#N/A</v>
      </c>
      <c r="G204" s="564" t="e">
        <f t="shared" si="30"/>
        <v>#N/A</v>
      </c>
      <c r="H204" s="566" t="e">
        <f t="shared" si="24"/>
        <v>#N/A</v>
      </c>
      <c r="I204" s="302" t="e">
        <f t="shared" si="25"/>
        <v>#N/A</v>
      </c>
      <c r="J204" s="302" t="e">
        <f t="shared" si="26"/>
        <v>#N/A</v>
      </c>
      <c r="K204" s="298" t="e">
        <f t="shared" si="31"/>
        <v>#N/A</v>
      </c>
      <c r="L204" s="388"/>
      <c r="M204" s="571">
        <v>128</v>
      </c>
      <c r="N204" s="575" t="e">
        <v>#N/A</v>
      </c>
      <c r="O204" s="575" t="e">
        <v>#N/A</v>
      </c>
      <c r="P204" s="575" t="e">
        <v>#N/A</v>
      </c>
      <c r="Q204" s="569" t="e">
        <f t="shared" si="27"/>
        <v>#N/A</v>
      </c>
      <c r="R204" s="564" t="e">
        <f t="shared" si="34"/>
        <v>#N/A</v>
      </c>
      <c r="S204" s="570" t="e">
        <f t="shared" si="28"/>
        <v>#N/A</v>
      </c>
      <c r="T204" s="302" t="e">
        <f t="shared" si="32"/>
        <v>#N/A</v>
      </c>
      <c r="U204" s="302" t="e">
        <f t="shared" si="33"/>
        <v>#N/A</v>
      </c>
      <c r="V204" s="298" t="e">
        <f t="shared" si="35"/>
        <v>#N/A</v>
      </c>
      <c r="X204" s="13"/>
      <c r="Y204" s="13"/>
      <c r="Z204" s="13"/>
      <c r="AK204" s="21"/>
      <c r="AL204" s="21"/>
      <c r="AM204" s="21"/>
      <c r="AN204" s="21"/>
      <c r="AO204" s="79"/>
      <c r="AP204" s="21"/>
      <c r="AQ204" s="21"/>
      <c r="AR204" s="21"/>
    </row>
    <row r="205" spans="1:44" ht="15.6" x14ac:dyDescent="0.3">
      <c r="A205" s="562">
        <v>170</v>
      </c>
      <c r="B205" s="563">
        <v>129</v>
      </c>
      <c r="C205" s="564" t="e">
        <f>IFERROR('Device Resistance Tables'!C193,NA())</f>
        <v>#N/A</v>
      </c>
      <c r="D205" s="565" t="e">
        <f>IFERROR('Device Resistance Tables'!D193,NA())</f>
        <v>#N/A</v>
      </c>
      <c r="E205" s="564" t="e">
        <f>IFERROR('Device Resistance Tables'!F193,NA())</f>
        <v>#N/A</v>
      </c>
      <c r="F205" s="566" t="e">
        <f t="shared" si="29"/>
        <v>#N/A</v>
      </c>
      <c r="G205" s="564" t="e">
        <f t="shared" si="30"/>
        <v>#N/A</v>
      </c>
      <c r="H205" s="566" t="e">
        <f t="shared" si="24"/>
        <v>#N/A</v>
      </c>
      <c r="I205" s="302" t="e">
        <f t="shared" si="25"/>
        <v>#N/A</v>
      </c>
      <c r="J205" s="302" t="e">
        <f t="shared" si="26"/>
        <v>#N/A</v>
      </c>
      <c r="K205" s="298" t="e">
        <f t="shared" si="31"/>
        <v>#N/A</v>
      </c>
      <c r="L205" s="388"/>
      <c r="M205" s="571">
        <v>129</v>
      </c>
      <c r="N205" s="575" t="e">
        <v>#N/A</v>
      </c>
      <c r="O205" s="575" t="e">
        <v>#N/A</v>
      </c>
      <c r="P205" s="575" t="e">
        <v>#N/A</v>
      </c>
      <c r="Q205" s="569" t="e">
        <f t="shared" si="27"/>
        <v>#N/A</v>
      </c>
      <c r="R205" s="564" t="e">
        <f t="shared" si="34"/>
        <v>#N/A</v>
      </c>
      <c r="S205" s="570" t="e">
        <f t="shared" si="28"/>
        <v>#N/A</v>
      </c>
      <c r="T205" s="302" t="e">
        <f t="shared" si="32"/>
        <v>#N/A</v>
      </c>
      <c r="U205" s="302" t="e">
        <f t="shared" si="33"/>
        <v>#N/A</v>
      </c>
      <c r="V205" s="298" t="e">
        <f t="shared" si="35"/>
        <v>#N/A</v>
      </c>
      <c r="X205" s="13"/>
      <c r="Y205" s="13"/>
      <c r="Z205" s="13"/>
      <c r="AK205" s="21"/>
      <c r="AL205" s="21"/>
      <c r="AM205" s="21"/>
      <c r="AN205" s="21"/>
      <c r="AO205" s="79"/>
      <c r="AP205" s="21"/>
      <c r="AQ205" s="21"/>
      <c r="AR205" s="21"/>
    </row>
    <row r="206" spans="1:44" ht="15.6" x14ac:dyDescent="0.3">
      <c r="A206" s="562">
        <v>171</v>
      </c>
      <c r="B206" s="563">
        <v>130</v>
      </c>
      <c r="C206" s="564" t="e">
        <f>IFERROR('Device Resistance Tables'!C194,NA())</f>
        <v>#N/A</v>
      </c>
      <c r="D206" s="565" t="e">
        <f>IFERROR('Device Resistance Tables'!D194,NA())</f>
        <v>#N/A</v>
      </c>
      <c r="E206" s="564" t="e">
        <f>IFERROR('Device Resistance Tables'!F194,NA())</f>
        <v>#N/A</v>
      </c>
      <c r="F206" s="566" t="e">
        <f t="shared" si="29"/>
        <v>#N/A</v>
      </c>
      <c r="G206" s="564" t="e">
        <f t="shared" si="30"/>
        <v>#N/A</v>
      </c>
      <c r="H206" s="566" t="e">
        <f t="shared" si="24"/>
        <v>#N/A</v>
      </c>
      <c r="I206" s="302" t="e">
        <f t="shared" si="25"/>
        <v>#N/A</v>
      </c>
      <c r="J206" s="302" t="e">
        <f t="shared" si="26"/>
        <v>#N/A</v>
      </c>
      <c r="K206" s="298" t="e">
        <f t="shared" si="31"/>
        <v>#N/A</v>
      </c>
      <c r="L206" s="388"/>
      <c r="M206" s="571">
        <v>130</v>
      </c>
      <c r="N206" s="575" t="e">
        <v>#N/A</v>
      </c>
      <c r="O206" s="575" t="e">
        <v>#N/A</v>
      </c>
      <c r="P206" s="575" t="e">
        <v>#N/A</v>
      </c>
      <c r="Q206" s="569" t="e">
        <f t="shared" si="27"/>
        <v>#N/A</v>
      </c>
      <c r="R206" s="564" t="e">
        <f t="shared" si="34"/>
        <v>#N/A</v>
      </c>
      <c r="S206" s="570" t="e">
        <f t="shared" si="28"/>
        <v>#N/A</v>
      </c>
      <c r="T206" s="302" t="e">
        <f t="shared" si="32"/>
        <v>#N/A</v>
      </c>
      <c r="U206" s="302" t="e">
        <f t="shared" si="33"/>
        <v>#N/A</v>
      </c>
      <c r="V206" s="298" t="e">
        <f t="shared" si="35"/>
        <v>#N/A</v>
      </c>
      <c r="X206" s="13"/>
      <c r="Y206" s="13"/>
      <c r="Z206" s="13"/>
      <c r="AK206" s="21"/>
      <c r="AL206" s="21"/>
      <c r="AM206" s="21"/>
      <c r="AN206" s="21"/>
      <c r="AO206" s="79"/>
      <c r="AP206" s="21"/>
      <c r="AQ206" s="21"/>
      <c r="AR206" s="21"/>
    </row>
    <row r="207" spans="1:44" ht="15.6" x14ac:dyDescent="0.3">
      <c r="A207" s="562">
        <v>172</v>
      </c>
      <c r="B207" s="563">
        <v>131</v>
      </c>
      <c r="C207" s="564" t="e">
        <f>IFERROR('Device Resistance Tables'!C195,NA())</f>
        <v>#N/A</v>
      </c>
      <c r="D207" s="565" t="e">
        <f>IFERROR('Device Resistance Tables'!D195,NA())</f>
        <v>#N/A</v>
      </c>
      <c r="E207" s="564" t="e">
        <f>IFERROR('Device Resistance Tables'!F195,NA())</f>
        <v>#N/A</v>
      </c>
      <c r="F207" s="566" t="e">
        <f t="shared" si="29"/>
        <v>#N/A</v>
      </c>
      <c r="G207" s="564" t="e">
        <f t="shared" si="30"/>
        <v>#N/A</v>
      </c>
      <c r="H207" s="566" t="e">
        <f t="shared" si="24"/>
        <v>#N/A</v>
      </c>
      <c r="I207" s="302" t="e">
        <f t="shared" si="25"/>
        <v>#N/A</v>
      </c>
      <c r="J207" s="302" t="e">
        <f t="shared" si="26"/>
        <v>#N/A</v>
      </c>
      <c r="K207" s="298" t="e">
        <f t="shared" si="31"/>
        <v>#N/A</v>
      </c>
      <c r="L207" s="388"/>
      <c r="M207" s="571">
        <v>131</v>
      </c>
      <c r="N207" s="575" t="e">
        <v>#N/A</v>
      </c>
      <c r="O207" s="575" t="e">
        <v>#N/A</v>
      </c>
      <c r="P207" s="575" t="e">
        <v>#N/A</v>
      </c>
      <c r="Q207" s="569" t="e">
        <f t="shared" si="27"/>
        <v>#N/A</v>
      </c>
      <c r="R207" s="564" t="e">
        <f t="shared" si="34"/>
        <v>#N/A</v>
      </c>
      <c r="S207" s="570" t="e">
        <f t="shared" si="28"/>
        <v>#N/A</v>
      </c>
      <c r="T207" s="302" t="e">
        <f t="shared" si="32"/>
        <v>#N/A</v>
      </c>
      <c r="U207" s="302" t="e">
        <f t="shared" si="33"/>
        <v>#N/A</v>
      </c>
      <c r="V207" s="298" t="e">
        <f t="shared" si="35"/>
        <v>#N/A</v>
      </c>
      <c r="X207" s="13"/>
      <c r="Y207" s="13"/>
      <c r="Z207" s="13"/>
      <c r="AK207" s="21"/>
      <c r="AL207" s="21"/>
      <c r="AM207" s="21"/>
      <c r="AN207" s="21"/>
      <c r="AO207" s="79"/>
      <c r="AP207" s="21"/>
      <c r="AQ207" s="21"/>
      <c r="AR207" s="21"/>
    </row>
    <row r="208" spans="1:44" ht="15.6" x14ac:dyDescent="0.3">
      <c r="A208" s="562">
        <v>173</v>
      </c>
      <c r="B208" s="563">
        <v>132</v>
      </c>
      <c r="C208" s="564" t="e">
        <f>IFERROR('Device Resistance Tables'!C196,NA())</f>
        <v>#N/A</v>
      </c>
      <c r="D208" s="565" t="e">
        <f>IFERROR('Device Resistance Tables'!D196,NA())</f>
        <v>#N/A</v>
      </c>
      <c r="E208" s="564" t="e">
        <f>IFERROR('Device Resistance Tables'!F196,NA())</f>
        <v>#N/A</v>
      </c>
      <c r="F208" s="566" t="e">
        <f t="shared" si="29"/>
        <v>#N/A</v>
      </c>
      <c r="G208" s="564" t="e">
        <f t="shared" si="30"/>
        <v>#N/A</v>
      </c>
      <c r="H208" s="566" t="e">
        <f t="shared" si="24"/>
        <v>#N/A</v>
      </c>
      <c r="I208" s="302" t="e">
        <f t="shared" si="25"/>
        <v>#N/A</v>
      </c>
      <c r="J208" s="302" t="e">
        <f t="shared" si="26"/>
        <v>#N/A</v>
      </c>
      <c r="K208" s="298" t="e">
        <f t="shared" si="31"/>
        <v>#N/A</v>
      </c>
      <c r="L208" s="388"/>
      <c r="M208" s="571">
        <v>132</v>
      </c>
      <c r="N208" s="575" t="e">
        <v>#N/A</v>
      </c>
      <c r="O208" s="575" t="e">
        <v>#N/A</v>
      </c>
      <c r="P208" s="575" t="e">
        <v>#N/A</v>
      </c>
      <c r="Q208" s="569" t="e">
        <f t="shared" si="27"/>
        <v>#N/A</v>
      </c>
      <c r="R208" s="564" t="e">
        <f t="shared" si="34"/>
        <v>#N/A</v>
      </c>
      <c r="S208" s="570" t="e">
        <f t="shared" si="28"/>
        <v>#N/A</v>
      </c>
      <c r="T208" s="302" t="e">
        <f t="shared" si="32"/>
        <v>#N/A</v>
      </c>
      <c r="U208" s="302" t="e">
        <f t="shared" si="33"/>
        <v>#N/A</v>
      </c>
      <c r="V208" s="298" t="e">
        <f t="shared" si="35"/>
        <v>#N/A</v>
      </c>
      <c r="X208" s="13"/>
      <c r="Y208" s="13"/>
      <c r="Z208" s="13"/>
      <c r="AK208" s="21"/>
      <c r="AL208" s="21"/>
      <c r="AM208" s="21"/>
      <c r="AN208" s="21"/>
      <c r="AO208" s="79"/>
      <c r="AP208" s="21"/>
      <c r="AQ208" s="21"/>
      <c r="AR208" s="21"/>
    </row>
    <row r="209" spans="1:44" ht="15.6" x14ac:dyDescent="0.3">
      <c r="A209" s="562">
        <v>174</v>
      </c>
      <c r="B209" s="563">
        <v>133</v>
      </c>
      <c r="C209" s="564" t="e">
        <f>IFERROR('Device Resistance Tables'!C197,NA())</f>
        <v>#N/A</v>
      </c>
      <c r="D209" s="565" t="e">
        <f>IFERROR('Device Resistance Tables'!D197,NA())</f>
        <v>#N/A</v>
      </c>
      <c r="E209" s="564" t="e">
        <f>IFERROR('Device Resistance Tables'!F197,NA())</f>
        <v>#N/A</v>
      </c>
      <c r="F209" s="566" t="e">
        <f t="shared" si="29"/>
        <v>#N/A</v>
      </c>
      <c r="G209" s="564" t="e">
        <f t="shared" si="30"/>
        <v>#N/A</v>
      </c>
      <c r="H209" s="566" t="e">
        <f t="shared" si="24"/>
        <v>#N/A</v>
      </c>
      <c r="I209" s="302" t="e">
        <f t="shared" si="25"/>
        <v>#N/A</v>
      </c>
      <c r="J209" s="302" t="e">
        <f t="shared" si="26"/>
        <v>#N/A</v>
      </c>
      <c r="K209" s="298" t="e">
        <f t="shared" si="31"/>
        <v>#N/A</v>
      </c>
      <c r="L209" s="388"/>
      <c r="M209" s="571">
        <v>133</v>
      </c>
      <c r="N209" s="575" t="e">
        <v>#N/A</v>
      </c>
      <c r="O209" s="575" t="e">
        <v>#N/A</v>
      </c>
      <c r="P209" s="575" t="e">
        <v>#N/A</v>
      </c>
      <c r="Q209" s="569" t="e">
        <f t="shared" si="27"/>
        <v>#N/A</v>
      </c>
      <c r="R209" s="564" t="e">
        <f t="shared" si="34"/>
        <v>#N/A</v>
      </c>
      <c r="S209" s="570" t="e">
        <f t="shared" si="28"/>
        <v>#N/A</v>
      </c>
      <c r="T209" s="302" t="e">
        <f t="shared" si="32"/>
        <v>#N/A</v>
      </c>
      <c r="U209" s="302" t="e">
        <f t="shared" si="33"/>
        <v>#N/A</v>
      </c>
      <c r="V209" s="298" t="e">
        <f t="shared" si="35"/>
        <v>#N/A</v>
      </c>
      <c r="X209" s="13"/>
      <c r="Y209" s="13"/>
      <c r="Z209" s="13"/>
      <c r="AK209" s="21"/>
      <c r="AL209" s="21"/>
      <c r="AM209" s="21"/>
      <c r="AN209" s="21"/>
      <c r="AO209" s="79"/>
      <c r="AP209" s="21"/>
      <c r="AQ209" s="21"/>
      <c r="AR209" s="21"/>
    </row>
    <row r="210" spans="1:44" ht="15.6" x14ac:dyDescent="0.3">
      <c r="A210" s="562">
        <v>175</v>
      </c>
      <c r="B210" s="563">
        <v>134</v>
      </c>
      <c r="C210" s="564" t="e">
        <f>IFERROR('Device Resistance Tables'!C198,NA())</f>
        <v>#N/A</v>
      </c>
      <c r="D210" s="565" t="e">
        <f>IFERROR('Device Resistance Tables'!D198,NA())</f>
        <v>#N/A</v>
      </c>
      <c r="E210" s="564" t="e">
        <f>IFERROR('Device Resistance Tables'!F198,NA())</f>
        <v>#N/A</v>
      </c>
      <c r="F210" s="566" t="e">
        <f t="shared" si="29"/>
        <v>#N/A</v>
      </c>
      <c r="G210" s="564" t="e">
        <f t="shared" si="30"/>
        <v>#N/A</v>
      </c>
      <c r="H210" s="566" t="e">
        <f t="shared" si="24"/>
        <v>#N/A</v>
      </c>
      <c r="I210" s="302" t="e">
        <f t="shared" si="25"/>
        <v>#N/A</v>
      </c>
      <c r="J210" s="302" t="e">
        <f t="shared" si="26"/>
        <v>#N/A</v>
      </c>
      <c r="K210" s="298" t="e">
        <f t="shared" si="31"/>
        <v>#N/A</v>
      </c>
      <c r="L210" s="388"/>
      <c r="M210" s="571">
        <v>134</v>
      </c>
      <c r="N210" s="575" t="e">
        <v>#N/A</v>
      </c>
      <c r="O210" s="575" t="e">
        <v>#N/A</v>
      </c>
      <c r="P210" s="575" t="e">
        <v>#N/A</v>
      </c>
      <c r="Q210" s="569" t="e">
        <f t="shared" si="27"/>
        <v>#N/A</v>
      </c>
      <c r="R210" s="564" t="e">
        <f t="shared" si="34"/>
        <v>#N/A</v>
      </c>
      <c r="S210" s="570" t="e">
        <f t="shared" si="28"/>
        <v>#N/A</v>
      </c>
      <c r="T210" s="302" t="e">
        <f t="shared" si="32"/>
        <v>#N/A</v>
      </c>
      <c r="U210" s="302" t="e">
        <f t="shared" si="33"/>
        <v>#N/A</v>
      </c>
      <c r="V210" s="298" t="e">
        <f t="shared" si="35"/>
        <v>#N/A</v>
      </c>
      <c r="X210" s="13"/>
      <c r="Y210" s="13"/>
      <c r="Z210" s="13"/>
      <c r="AK210" s="21"/>
      <c r="AL210" s="21"/>
      <c r="AM210" s="21"/>
      <c r="AN210" s="21"/>
      <c r="AO210" s="79"/>
      <c r="AP210" s="21"/>
      <c r="AQ210" s="21"/>
      <c r="AR210" s="21"/>
    </row>
    <row r="211" spans="1:44" ht="15.6" x14ac:dyDescent="0.3">
      <c r="A211" s="562">
        <v>176</v>
      </c>
      <c r="B211" s="563">
        <v>135</v>
      </c>
      <c r="C211" s="564" t="e">
        <f>IFERROR('Device Resistance Tables'!C199,NA())</f>
        <v>#N/A</v>
      </c>
      <c r="D211" s="565" t="e">
        <f>IFERROR('Device Resistance Tables'!D199,NA())</f>
        <v>#N/A</v>
      </c>
      <c r="E211" s="564" t="e">
        <f>IFERROR('Device Resistance Tables'!F199,NA())</f>
        <v>#N/A</v>
      </c>
      <c r="F211" s="566" t="e">
        <f t="shared" si="29"/>
        <v>#N/A</v>
      </c>
      <c r="G211" s="564" t="e">
        <f t="shared" si="30"/>
        <v>#N/A</v>
      </c>
      <c r="H211" s="566" t="e">
        <f t="shared" si="24"/>
        <v>#N/A</v>
      </c>
      <c r="I211" s="302" t="e">
        <f t="shared" si="25"/>
        <v>#N/A</v>
      </c>
      <c r="J211" s="302" t="e">
        <f t="shared" si="26"/>
        <v>#N/A</v>
      </c>
      <c r="K211" s="298" t="e">
        <f t="shared" si="31"/>
        <v>#N/A</v>
      </c>
      <c r="L211" s="388"/>
      <c r="M211" s="571">
        <v>135</v>
      </c>
      <c r="N211" s="575" t="e">
        <v>#N/A</v>
      </c>
      <c r="O211" s="575" t="e">
        <v>#N/A</v>
      </c>
      <c r="P211" s="575" t="e">
        <v>#N/A</v>
      </c>
      <c r="Q211" s="569" t="e">
        <f t="shared" si="27"/>
        <v>#N/A</v>
      </c>
      <c r="R211" s="564" t="e">
        <f t="shared" si="34"/>
        <v>#N/A</v>
      </c>
      <c r="S211" s="570" t="e">
        <f t="shared" si="28"/>
        <v>#N/A</v>
      </c>
      <c r="T211" s="302" t="e">
        <f t="shared" si="32"/>
        <v>#N/A</v>
      </c>
      <c r="U211" s="302" t="e">
        <f t="shared" si="33"/>
        <v>#N/A</v>
      </c>
      <c r="V211" s="298" t="e">
        <f t="shared" si="35"/>
        <v>#N/A</v>
      </c>
      <c r="X211" s="13"/>
      <c r="Y211" s="13"/>
      <c r="Z211" s="13"/>
      <c r="AK211" s="21"/>
      <c r="AL211" s="21"/>
      <c r="AM211" s="21"/>
      <c r="AN211" s="21"/>
      <c r="AO211" s="79"/>
      <c r="AP211" s="21"/>
      <c r="AQ211" s="21"/>
      <c r="AR211" s="21"/>
    </row>
    <row r="212" spans="1:44" ht="15.6" x14ac:dyDescent="0.3">
      <c r="A212" s="562">
        <v>177</v>
      </c>
      <c r="B212" s="563">
        <v>136</v>
      </c>
      <c r="C212" s="564" t="e">
        <f>IFERROR('Device Resistance Tables'!C200,NA())</f>
        <v>#N/A</v>
      </c>
      <c r="D212" s="565" t="e">
        <f>IFERROR('Device Resistance Tables'!D200,NA())</f>
        <v>#N/A</v>
      </c>
      <c r="E212" s="564" t="e">
        <f>IFERROR('Device Resistance Tables'!F200,NA())</f>
        <v>#N/A</v>
      </c>
      <c r="F212" s="566" t="e">
        <f t="shared" si="29"/>
        <v>#N/A</v>
      </c>
      <c r="G212" s="564" t="e">
        <f t="shared" si="30"/>
        <v>#N/A</v>
      </c>
      <c r="H212" s="566" t="e">
        <f t="shared" si="24"/>
        <v>#N/A</v>
      </c>
      <c r="I212" s="302" t="e">
        <f t="shared" si="25"/>
        <v>#N/A</v>
      </c>
      <c r="J212" s="302" t="e">
        <f t="shared" si="26"/>
        <v>#N/A</v>
      </c>
      <c r="K212" s="298" t="e">
        <f t="shared" si="31"/>
        <v>#N/A</v>
      </c>
      <c r="L212" s="388"/>
      <c r="M212" s="571">
        <v>136</v>
      </c>
      <c r="N212" s="575" t="e">
        <v>#N/A</v>
      </c>
      <c r="O212" s="575" t="e">
        <v>#N/A</v>
      </c>
      <c r="P212" s="575" t="e">
        <v>#N/A</v>
      </c>
      <c r="Q212" s="569" t="e">
        <f t="shared" si="27"/>
        <v>#N/A</v>
      </c>
      <c r="R212" s="564" t="e">
        <f t="shared" si="34"/>
        <v>#N/A</v>
      </c>
      <c r="S212" s="570" t="e">
        <f t="shared" si="28"/>
        <v>#N/A</v>
      </c>
      <c r="T212" s="302" t="e">
        <f t="shared" si="32"/>
        <v>#N/A</v>
      </c>
      <c r="U212" s="302" t="e">
        <f t="shared" si="33"/>
        <v>#N/A</v>
      </c>
      <c r="V212" s="298" t="e">
        <f t="shared" si="35"/>
        <v>#N/A</v>
      </c>
      <c r="X212" s="13"/>
      <c r="Y212" s="13"/>
      <c r="Z212" s="13"/>
      <c r="AK212" s="21"/>
      <c r="AL212" s="21"/>
      <c r="AM212" s="21"/>
      <c r="AN212" s="21"/>
      <c r="AO212" s="79"/>
      <c r="AP212" s="21"/>
      <c r="AQ212" s="21"/>
      <c r="AR212" s="21"/>
    </row>
    <row r="213" spans="1:44" ht="15.6" x14ac:dyDescent="0.3">
      <c r="A213" s="562">
        <v>178</v>
      </c>
      <c r="B213" s="563">
        <v>137</v>
      </c>
      <c r="C213" s="564" t="e">
        <f>IFERROR('Device Resistance Tables'!C201,NA())</f>
        <v>#N/A</v>
      </c>
      <c r="D213" s="565" t="e">
        <f>IFERROR('Device Resistance Tables'!D201,NA())</f>
        <v>#N/A</v>
      </c>
      <c r="E213" s="564" t="e">
        <f>IFERROR('Device Resistance Tables'!F201,NA())</f>
        <v>#N/A</v>
      </c>
      <c r="F213" s="566" t="e">
        <f t="shared" si="29"/>
        <v>#N/A</v>
      </c>
      <c r="G213" s="564" t="e">
        <f t="shared" si="30"/>
        <v>#N/A</v>
      </c>
      <c r="H213" s="566" t="e">
        <f t="shared" si="24"/>
        <v>#N/A</v>
      </c>
      <c r="I213" s="302" t="e">
        <f t="shared" si="25"/>
        <v>#N/A</v>
      </c>
      <c r="J213" s="302" t="e">
        <f t="shared" si="26"/>
        <v>#N/A</v>
      </c>
      <c r="K213" s="298" t="e">
        <f t="shared" si="31"/>
        <v>#N/A</v>
      </c>
      <c r="L213" s="388"/>
      <c r="M213" s="571">
        <v>137</v>
      </c>
      <c r="N213" s="575" t="e">
        <v>#N/A</v>
      </c>
      <c r="O213" s="575" t="e">
        <v>#N/A</v>
      </c>
      <c r="P213" s="575" t="e">
        <v>#N/A</v>
      </c>
      <c r="Q213" s="569" t="e">
        <f t="shared" si="27"/>
        <v>#N/A</v>
      </c>
      <c r="R213" s="564" t="e">
        <f t="shared" si="34"/>
        <v>#N/A</v>
      </c>
      <c r="S213" s="570" t="e">
        <f t="shared" si="28"/>
        <v>#N/A</v>
      </c>
      <c r="T213" s="302" t="e">
        <f t="shared" si="32"/>
        <v>#N/A</v>
      </c>
      <c r="U213" s="302" t="e">
        <f t="shared" si="33"/>
        <v>#N/A</v>
      </c>
      <c r="V213" s="298" t="e">
        <f t="shared" si="35"/>
        <v>#N/A</v>
      </c>
      <c r="X213" s="13"/>
      <c r="Y213" s="13"/>
      <c r="Z213" s="13"/>
      <c r="AK213" s="21"/>
      <c r="AL213" s="21"/>
      <c r="AM213" s="21"/>
      <c r="AN213" s="21"/>
      <c r="AO213" s="79"/>
      <c r="AP213" s="21"/>
      <c r="AQ213" s="21"/>
      <c r="AR213" s="21"/>
    </row>
    <row r="214" spans="1:44" ht="15.6" x14ac:dyDescent="0.3">
      <c r="A214" s="562">
        <v>179</v>
      </c>
      <c r="B214" s="563">
        <v>138</v>
      </c>
      <c r="C214" s="564" t="e">
        <f>IFERROR('Device Resistance Tables'!C202,NA())</f>
        <v>#N/A</v>
      </c>
      <c r="D214" s="565" t="e">
        <f>IFERROR('Device Resistance Tables'!D202,NA())</f>
        <v>#N/A</v>
      </c>
      <c r="E214" s="564" t="e">
        <f>IFERROR('Device Resistance Tables'!F202,NA())</f>
        <v>#N/A</v>
      </c>
      <c r="F214" s="566" t="e">
        <f t="shared" si="29"/>
        <v>#N/A</v>
      </c>
      <c r="G214" s="564" t="e">
        <f t="shared" si="30"/>
        <v>#N/A</v>
      </c>
      <c r="H214" s="566" t="e">
        <f t="shared" si="24"/>
        <v>#N/A</v>
      </c>
      <c r="I214" s="302" t="e">
        <f t="shared" si="25"/>
        <v>#N/A</v>
      </c>
      <c r="J214" s="302" t="e">
        <f t="shared" si="26"/>
        <v>#N/A</v>
      </c>
      <c r="K214" s="298" t="e">
        <f t="shared" si="31"/>
        <v>#N/A</v>
      </c>
      <c r="L214" s="388"/>
      <c r="M214" s="571">
        <v>138</v>
      </c>
      <c r="N214" s="575" t="e">
        <v>#N/A</v>
      </c>
      <c r="O214" s="575" t="e">
        <v>#N/A</v>
      </c>
      <c r="P214" s="575" t="e">
        <v>#N/A</v>
      </c>
      <c r="Q214" s="569" t="e">
        <f t="shared" si="27"/>
        <v>#N/A</v>
      </c>
      <c r="R214" s="564" t="e">
        <f t="shared" si="34"/>
        <v>#N/A</v>
      </c>
      <c r="S214" s="570" t="e">
        <f t="shared" si="28"/>
        <v>#N/A</v>
      </c>
      <c r="T214" s="302" t="e">
        <f t="shared" si="32"/>
        <v>#N/A</v>
      </c>
      <c r="U214" s="302" t="e">
        <f t="shared" si="33"/>
        <v>#N/A</v>
      </c>
      <c r="V214" s="298" t="e">
        <f t="shared" si="35"/>
        <v>#N/A</v>
      </c>
      <c r="X214" s="13"/>
      <c r="Y214" s="13"/>
      <c r="Z214" s="13"/>
      <c r="AK214" s="21"/>
      <c r="AL214" s="21"/>
      <c r="AM214" s="21"/>
      <c r="AN214" s="21"/>
      <c r="AO214" s="79"/>
      <c r="AP214" s="21"/>
      <c r="AQ214" s="21"/>
      <c r="AR214" s="21"/>
    </row>
    <row r="215" spans="1:44" ht="15.6" x14ac:dyDescent="0.3">
      <c r="A215" s="562">
        <v>180</v>
      </c>
      <c r="B215" s="563">
        <v>139</v>
      </c>
      <c r="C215" s="564" t="e">
        <f>IFERROR('Device Resistance Tables'!C203,NA())</f>
        <v>#N/A</v>
      </c>
      <c r="D215" s="565" t="e">
        <f>IFERROR('Device Resistance Tables'!D203,NA())</f>
        <v>#N/A</v>
      </c>
      <c r="E215" s="564" t="e">
        <f>IFERROR('Device Resistance Tables'!F203,NA())</f>
        <v>#N/A</v>
      </c>
      <c r="F215" s="566" t="e">
        <f t="shared" si="29"/>
        <v>#N/A</v>
      </c>
      <c r="G215" s="564" t="e">
        <f t="shared" si="30"/>
        <v>#N/A</v>
      </c>
      <c r="H215" s="566" t="e">
        <f t="shared" si="24"/>
        <v>#N/A</v>
      </c>
      <c r="I215" s="302" t="e">
        <f t="shared" si="25"/>
        <v>#N/A</v>
      </c>
      <c r="J215" s="302" t="e">
        <f t="shared" si="26"/>
        <v>#N/A</v>
      </c>
      <c r="K215" s="298" t="e">
        <f t="shared" si="31"/>
        <v>#N/A</v>
      </c>
      <c r="L215" s="388"/>
      <c r="M215" s="571">
        <v>139</v>
      </c>
      <c r="N215" s="575" t="e">
        <v>#N/A</v>
      </c>
      <c r="O215" s="575" t="e">
        <v>#N/A</v>
      </c>
      <c r="P215" s="575" t="e">
        <v>#N/A</v>
      </c>
      <c r="Q215" s="569" t="e">
        <f t="shared" si="27"/>
        <v>#N/A</v>
      </c>
      <c r="R215" s="564" t="e">
        <f t="shared" si="34"/>
        <v>#N/A</v>
      </c>
      <c r="S215" s="570" t="e">
        <f t="shared" si="28"/>
        <v>#N/A</v>
      </c>
      <c r="T215" s="302" t="e">
        <f t="shared" si="32"/>
        <v>#N/A</v>
      </c>
      <c r="U215" s="302" t="e">
        <f t="shared" si="33"/>
        <v>#N/A</v>
      </c>
      <c r="V215" s="298" t="e">
        <f t="shared" si="35"/>
        <v>#N/A</v>
      </c>
      <c r="X215" s="13"/>
      <c r="Y215" s="13"/>
      <c r="Z215" s="13"/>
      <c r="AK215" s="21"/>
      <c r="AL215" s="21"/>
      <c r="AM215" s="21"/>
      <c r="AN215" s="21"/>
      <c r="AO215" s="79"/>
      <c r="AP215" s="21"/>
      <c r="AQ215" s="21"/>
      <c r="AR215" s="21"/>
    </row>
    <row r="216" spans="1:44" ht="15.6" x14ac:dyDescent="0.3">
      <c r="A216" s="562">
        <v>181</v>
      </c>
      <c r="B216" s="563">
        <v>140</v>
      </c>
      <c r="C216" s="564" t="e">
        <f>IFERROR('Device Resistance Tables'!C204,NA())</f>
        <v>#N/A</v>
      </c>
      <c r="D216" s="565" t="e">
        <f>IFERROR('Device Resistance Tables'!D204,NA())</f>
        <v>#N/A</v>
      </c>
      <c r="E216" s="564" t="e">
        <f>IFERROR('Device Resistance Tables'!F204,NA())</f>
        <v>#N/A</v>
      </c>
      <c r="F216" s="566" t="e">
        <f t="shared" si="29"/>
        <v>#N/A</v>
      </c>
      <c r="G216" s="564" t="e">
        <f t="shared" si="30"/>
        <v>#N/A</v>
      </c>
      <c r="H216" s="566" t="e">
        <f t="shared" si="24"/>
        <v>#N/A</v>
      </c>
      <c r="I216" s="302" t="e">
        <f t="shared" si="25"/>
        <v>#N/A</v>
      </c>
      <c r="J216" s="302" t="e">
        <f t="shared" si="26"/>
        <v>#N/A</v>
      </c>
      <c r="K216" s="298" t="e">
        <f t="shared" si="31"/>
        <v>#N/A</v>
      </c>
      <c r="L216" s="388"/>
      <c r="M216" s="571">
        <v>140</v>
      </c>
      <c r="N216" s="575" t="e">
        <v>#N/A</v>
      </c>
      <c r="O216" s="575" t="e">
        <v>#N/A</v>
      </c>
      <c r="P216" s="575" t="e">
        <v>#N/A</v>
      </c>
      <c r="Q216" s="569" t="e">
        <f t="shared" si="27"/>
        <v>#N/A</v>
      </c>
      <c r="R216" s="564" t="e">
        <f t="shared" si="34"/>
        <v>#N/A</v>
      </c>
      <c r="S216" s="570" t="e">
        <f t="shared" si="28"/>
        <v>#N/A</v>
      </c>
      <c r="T216" s="302" t="e">
        <f t="shared" si="32"/>
        <v>#N/A</v>
      </c>
      <c r="U216" s="302" t="e">
        <f t="shared" si="33"/>
        <v>#N/A</v>
      </c>
      <c r="V216" s="298" t="e">
        <f t="shared" si="35"/>
        <v>#N/A</v>
      </c>
      <c r="X216" s="13"/>
      <c r="Y216" s="13"/>
      <c r="Z216" s="13"/>
      <c r="AK216" s="21"/>
      <c r="AL216" s="21"/>
      <c r="AM216" s="21"/>
      <c r="AN216" s="21"/>
      <c r="AO216" s="79"/>
      <c r="AP216" s="21"/>
      <c r="AQ216" s="21"/>
      <c r="AR216" s="21"/>
    </row>
    <row r="217" spans="1:44" ht="15.6" x14ac:dyDescent="0.3">
      <c r="A217" s="562">
        <v>182</v>
      </c>
      <c r="B217" s="563">
        <v>141</v>
      </c>
      <c r="C217" s="564" t="e">
        <f>IFERROR('Device Resistance Tables'!C205,NA())</f>
        <v>#N/A</v>
      </c>
      <c r="D217" s="565" t="e">
        <f>IFERROR('Device Resistance Tables'!D205,NA())</f>
        <v>#N/A</v>
      </c>
      <c r="E217" s="564" t="e">
        <f>IFERROR('Device Resistance Tables'!F205,NA())</f>
        <v>#N/A</v>
      </c>
      <c r="F217" s="566" t="e">
        <f t="shared" si="29"/>
        <v>#N/A</v>
      </c>
      <c r="G217" s="564" t="e">
        <f t="shared" si="30"/>
        <v>#N/A</v>
      </c>
      <c r="H217" s="566" t="e">
        <f t="shared" si="24"/>
        <v>#N/A</v>
      </c>
      <c r="I217" s="302" t="e">
        <f t="shared" si="25"/>
        <v>#N/A</v>
      </c>
      <c r="J217" s="302" t="e">
        <f t="shared" si="26"/>
        <v>#N/A</v>
      </c>
      <c r="K217" s="298" t="e">
        <f t="shared" si="31"/>
        <v>#N/A</v>
      </c>
      <c r="L217" s="388"/>
      <c r="M217" s="571">
        <v>141</v>
      </c>
      <c r="N217" s="575" t="e">
        <v>#N/A</v>
      </c>
      <c r="O217" s="575" t="e">
        <v>#N/A</v>
      </c>
      <c r="P217" s="575" t="e">
        <v>#N/A</v>
      </c>
      <c r="Q217" s="569" t="e">
        <f t="shared" si="27"/>
        <v>#N/A</v>
      </c>
      <c r="R217" s="564" t="e">
        <f t="shared" si="34"/>
        <v>#N/A</v>
      </c>
      <c r="S217" s="570" t="e">
        <f t="shared" si="28"/>
        <v>#N/A</v>
      </c>
      <c r="T217" s="302" t="e">
        <f t="shared" si="32"/>
        <v>#N/A</v>
      </c>
      <c r="U217" s="302" t="e">
        <f t="shared" si="33"/>
        <v>#N/A</v>
      </c>
      <c r="V217" s="298" t="e">
        <f t="shared" si="35"/>
        <v>#N/A</v>
      </c>
      <c r="X217" s="13"/>
      <c r="Y217" s="13"/>
      <c r="Z217" s="13"/>
      <c r="AK217" s="21"/>
      <c r="AL217" s="21"/>
      <c r="AM217" s="21"/>
      <c r="AN217" s="21"/>
      <c r="AO217" s="79"/>
      <c r="AP217" s="21"/>
      <c r="AQ217" s="21"/>
      <c r="AR217" s="21"/>
    </row>
    <row r="218" spans="1:44" ht="15.6" x14ac:dyDescent="0.3">
      <c r="A218" s="562">
        <v>183</v>
      </c>
      <c r="B218" s="563">
        <v>142</v>
      </c>
      <c r="C218" s="564" t="e">
        <f>IFERROR('Device Resistance Tables'!C206,NA())</f>
        <v>#N/A</v>
      </c>
      <c r="D218" s="565" t="e">
        <f>IFERROR('Device Resistance Tables'!D206,NA())</f>
        <v>#N/A</v>
      </c>
      <c r="E218" s="564" t="e">
        <f>IFERROR('Device Resistance Tables'!F206,NA())</f>
        <v>#N/A</v>
      </c>
      <c r="F218" s="566" t="e">
        <f t="shared" si="29"/>
        <v>#N/A</v>
      </c>
      <c r="G218" s="564" t="e">
        <f t="shared" si="30"/>
        <v>#N/A</v>
      </c>
      <c r="H218" s="566" t="e">
        <f t="shared" si="24"/>
        <v>#N/A</v>
      </c>
      <c r="I218" s="302" t="e">
        <f t="shared" si="25"/>
        <v>#N/A</v>
      </c>
      <c r="J218" s="302" t="e">
        <f t="shared" si="26"/>
        <v>#N/A</v>
      </c>
      <c r="K218" s="298" t="e">
        <f t="shared" si="31"/>
        <v>#N/A</v>
      </c>
      <c r="L218" s="388"/>
      <c r="M218" s="571">
        <v>142</v>
      </c>
      <c r="N218" s="575" t="e">
        <v>#N/A</v>
      </c>
      <c r="O218" s="575" t="e">
        <v>#N/A</v>
      </c>
      <c r="P218" s="575" t="e">
        <v>#N/A</v>
      </c>
      <c r="Q218" s="569" t="e">
        <f t="shared" si="27"/>
        <v>#N/A</v>
      </c>
      <c r="R218" s="564" t="e">
        <f t="shared" si="34"/>
        <v>#N/A</v>
      </c>
      <c r="S218" s="570" t="e">
        <f t="shared" si="28"/>
        <v>#N/A</v>
      </c>
      <c r="T218" s="302" t="e">
        <f t="shared" si="32"/>
        <v>#N/A</v>
      </c>
      <c r="U218" s="302" t="e">
        <f t="shared" si="33"/>
        <v>#N/A</v>
      </c>
      <c r="V218" s="298" t="e">
        <f t="shared" si="35"/>
        <v>#N/A</v>
      </c>
      <c r="X218" s="13"/>
      <c r="Y218" s="13"/>
      <c r="Z218" s="13"/>
      <c r="AK218" s="21"/>
      <c r="AL218" s="21"/>
      <c r="AM218" s="21"/>
      <c r="AN218" s="21"/>
      <c r="AO218" s="79"/>
      <c r="AP218" s="21"/>
      <c r="AQ218" s="21"/>
      <c r="AR218" s="21"/>
    </row>
    <row r="219" spans="1:44" ht="15.6" x14ac:dyDescent="0.3">
      <c r="A219" s="562">
        <v>184</v>
      </c>
      <c r="B219" s="563">
        <v>143</v>
      </c>
      <c r="C219" s="564" t="e">
        <f>IFERROR('Device Resistance Tables'!C207,NA())</f>
        <v>#N/A</v>
      </c>
      <c r="D219" s="565" t="e">
        <f>IFERROR('Device Resistance Tables'!D207,NA())</f>
        <v>#N/A</v>
      </c>
      <c r="E219" s="564" t="e">
        <f>IFERROR('Device Resistance Tables'!F207,NA())</f>
        <v>#N/A</v>
      </c>
      <c r="F219" s="566" t="e">
        <f t="shared" si="29"/>
        <v>#N/A</v>
      </c>
      <c r="G219" s="564" t="e">
        <f t="shared" si="30"/>
        <v>#N/A</v>
      </c>
      <c r="H219" s="566" t="e">
        <f t="shared" si="24"/>
        <v>#N/A</v>
      </c>
      <c r="I219" s="302" t="e">
        <f t="shared" si="25"/>
        <v>#N/A</v>
      </c>
      <c r="J219" s="302" t="e">
        <f t="shared" si="26"/>
        <v>#N/A</v>
      </c>
      <c r="K219" s="298" t="e">
        <f t="shared" si="31"/>
        <v>#N/A</v>
      </c>
      <c r="L219" s="388"/>
      <c r="M219" s="571">
        <v>143</v>
      </c>
      <c r="N219" s="575" t="e">
        <v>#N/A</v>
      </c>
      <c r="O219" s="575" t="e">
        <v>#N/A</v>
      </c>
      <c r="P219" s="575" t="e">
        <v>#N/A</v>
      </c>
      <c r="Q219" s="569" t="e">
        <f t="shared" si="27"/>
        <v>#N/A</v>
      </c>
      <c r="R219" s="564" t="e">
        <f t="shared" si="34"/>
        <v>#N/A</v>
      </c>
      <c r="S219" s="570" t="e">
        <f t="shared" si="28"/>
        <v>#N/A</v>
      </c>
      <c r="T219" s="302" t="e">
        <f t="shared" si="32"/>
        <v>#N/A</v>
      </c>
      <c r="U219" s="302" t="e">
        <f t="shared" si="33"/>
        <v>#N/A</v>
      </c>
      <c r="V219" s="298" t="e">
        <f t="shared" si="35"/>
        <v>#N/A</v>
      </c>
      <c r="X219" s="13"/>
      <c r="Y219" s="13"/>
      <c r="Z219" s="13"/>
      <c r="AK219" s="21"/>
      <c r="AL219" s="21"/>
      <c r="AM219" s="21"/>
      <c r="AN219" s="21"/>
      <c r="AO219" s="79"/>
      <c r="AP219" s="21"/>
      <c r="AQ219" s="21"/>
      <c r="AR219" s="21"/>
    </row>
    <row r="220" spans="1:44" ht="15.6" x14ac:dyDescent="0.3">
      <c r="A220" s="562">
        <v>185</v>
      </c>
      <c r="B220" s="563">
        <v>144</v>
      </c>
      <c r="C220" s="564" t="e">
        <f>IFERROR('Device Resistance Tables'!C208,NA())</f>
        <v>#N/A</v>
      </c>
      <c r="D220" s="565" t="e">
        <f>IFERROR('Device Resistance Tables'!D208,NA())</f>
        <v>#N/A</v>
      </c>
      <c r="E220" s="564" t="e">
        <f>IFERROR('Device Resistance Tables'!F208,NA())</f>
        <v>#N/A</v>
      </c>
      <c r="F220" s="566" t="e">
        <f t="shared" si="29"/>
        <v>#N/A</v>
      </c>
      <c r="G220" s="564" t="e">
        <f t="shared" si="30"/>
        <v>#N/A</v>
      </c>
      <c r="H220" s="566" t="e">
        <f t="shared" si="24"/>
        <v>#N/A</v>
      </c>
      <c r="I220" s="302" t="e">
        <f t="shared" si="25"/>
        <v>#N/A</v>
      </c>
      <c r="J220" s="302" t="e">
        <f t="shared" si="26"/>
        <v>#N/A</v>
      </c>
      <c r="K220" s="298" t="e">
        <f t="shared" si="31"/>
        <v>#N/A</v>
      </c>
      <c r="L220" s="388"/>
      <c r="M220" s="571">
        <v>144</v>
      </c>
      <c r="N220" s="575" t="e">
        <v>#N/A</v>
      </c>
      <c r="O220" s="575" t="e">
        <v>#N/A</v>
      </c>
      <c r="P220" s="575" t="e">
        <v>#N/A</v>
      </c>
      <c r="Q220" s="569" t="e">
        <f t="shared" si="27"/>
        <v>#N/A</v>
      </c>
      <c r="R220" s="564" t="e">
        <f t="shared" si="34"/>
        <v>#N/A</v>
      </c>
      <c r="S220" s="570" t="e">
        <f t="shared" si="28"/>
        <v>#N/A</v>
      </c>
      <c r="T220" s="302" t="e">
        <f t="shared" si="32"/>
        <v>#N/A</v>
      </c>
      <c r="U220" s="302" t="e">
        <f t="shared" si="33"/>
        <v>#N/A</v>
      </c>
      <c r="V220" s="298" t="e">
        <f t="shared" si="35"/>
        <v>#N/A</v>
      </c>
      <c r="X220" s="13"/>
      <c r="Y220" s="13"/>
      <c r="Z220" s="13"/>
      <c r="AK220" s="21"/>
      <c r="AL220" s="21"/>
      <c r="AM220" s="21"/>
      <c r="AN220" s="21"/>
      <c r="AO220" s="79"/>
      <c r="AP220" s="21"/>
      <c r="AQ220" s="21"/>
      <c r="AR220" s="21"/>
    </row>
    <row r="221" spans="1:44" ht="15.6" x14ac:dyDescent="0.3">
      <c r="A221" s="562">
        <v>186</v>
      </c>
      <c r="B221" s="563">
        <v>145</v>
      </c>
      <c r="C221" s="564" t="e">
        <f>IFERROR('Device Resistance Tables'!C209,NA())</f>
        <v>#N/A</v>
      </c>
      <c r="D221" s="565" t="e">
        <f>IFERROR('Device Resistance Tables'!D209,NA())</f>
        <v>#N/A</v>
      </c>
      <c r="E221" s="564" t="e">
        <f>IFERROR('Device Resistance Tables'!F209,NA())</f>
        <v>#N/A</v>
      </c>
      <c r="F221" s="566" t="e">
        <f t="shared" si="29"/>
        <v>#N/A</v>
      </c>
      <c r="G221" s="564" t="e">
        <f t="shared" si="30"/>
        <v>#N/A</v>
      </c>
      <c r="H221" s="566" t="e">
        <f t="shared" si="24"/>
        <v>#N/A</v>
      </c>
      <c r="I221" s="302" t="e">
        <f t="shared" si="25"/>
        <v>#N/A</v>
      </c>
      <c r="J221" s="302" t="e">
        <f t="shared" si="26"/>
        <v>#N/A</v>
      </c>
      <c r="K221" s="298" t="e">
        <f t="shared" si="31"/>
        <v>#N/A</v>
      </c>
      <c r="L221" s="388"/>
      <c r="M221" s="571">
        <v>145</v>
      </c>
      <c r="N221" s="575" t="e">
        <v>#N/A</v>
      </c>
      <c r="O221" s="575" t="e">
        <v>#N/A</v>
      </c>
      <c r="P221" s="575" t="e">
        <v>#N/A</v>
      </c>
      <c r="Q221" s="569" t="e">
        <f t="shared" si="27"/>
        <v>#N/A</v>
      </c>
      <c r="R221" s="564" t="e">
        <f t="shared" si="34"/>
        <v>#N/A</v>
      </c>
      <c r="S221" s="570" t="e">
        <f t="shared" si="28"/>
        <v>#N/A</v>
      </c>
      <c r="T221" s="302" t="e">
        <f t="shared" si="32"/>
        <v>#N/A</v>
      </c>
      <c r="U221" s="302" t="e">
        <f t="shared" si="33"/>
        <v>#N/A</v>
      </c>
      <c r="V221" s="298" t="e">
        <f t="shared" si="35"/>
        <v>#N/A</v>
      </c>
      <c r="X221" s="13"/>
      <c r="Y221" s="13"/>
      <c r="Z221" s="13"/>
      <c r="AK221" s="21"/>
      <c r="AL221" s="21"/>
      <c r="AM221" s="21"/>
      <c r="AN221" s="21"/>
      <c r="AO221" s="79"/>
      <c r="AP221" s="21"/>
      <c r="AQ221" s="21"/>
      <c r="AR221" s="21"/>
    </row>
    <row r="222" spans="1:44" ht="15.6" x14ac:dyDescent="0.3">
      <c r="A222" s="562">
        <v>187</v>
      </c>
      <c r="B222" s="563">
        <v>146</v>
      </c>
      <c r="C222" s="564" t="e">
        <f>IFERROR('Device Resistance Tables'!C210,NA())</f>
        <v>#N/A</v>
      </c>
      <c r="D222" s="565" t="e">
        <f>IFERROR('Device Resistance Tables'!D210,NA())</f>
        <v>#N/A</v>
      </c>
      <c r="E222" s="564" t="e">
        <f>IFERROR('Device Resistance Tables'!F210,NA())</f>
        <v>#N/A</v>
      </c>
      <c r="F222" s="566" t="e">
        <f t="shared" si="29"/>
        <v>#N/A</v>
      </c>
      <c r="G222" s="564" t="e">
        <f t="shared" si="30"/>
        <v>#N/A</v>
      </c>
      <c r="H222" s="566" t="e">
        <f t="shared" si="24"/>
        <v>#N/A</v>
      </c>
      <c r="I222" s="302" t="e">
        <f t="shared" si="25"/>
        <v>#N/A</v>
      </c>
      <c r="J222" s="302" t="e">
        <f t="shared" si="26"/>
        <v>#N/A</v>
      </c>
      <c r="K222" s="298" t="e">
        <f t="shared" si="31"/>
        <v>#N/A</v>
      </c>
      <c r="L222" s="388"/>
      <c r="M222" s="571">
        <v>146</v>
      </c>
      <c r="N222" s="575" t="e">
        <v>#N/A</v>
      </c>
      <c r="O222" s="575" t="e">
        <v>#N/A</v>
      </c>
      <c r="P222" s="575" t="e">
        <v>#N/A</v>
      </c>
      <c r="Q222" s="569" t="e">
        <f t="shared" si="27"/>
        <v>#N/A</v>
      </c>
      <c r="R222" s="564" t="e">
        <f t="shared" si="34"/>
        <v>#N/A</v>
      </c>
      <c r="S222" s="570" t="e">
        <f t="shared" si="28"/>
        <v>#N/A</v>
      </c>
      <c r="T222" s="302" t="e">
        <f t="shared" si="32"/>
        <v>#N/A</v>
      </c>
      <c r="U222" s="302" t="e">
        <f t="shared" si="33"/>
        <v>#N/A</v>
      </c>
      <c r="V222" s="298" t="e">
        <f t="shared" si="35"/>
        <v>#N/A</v>
      </c>
      <c r="X222" s="13"/>
      <c r="Y222" s="13"/>
      <c r="Z222" s="13"/>
      <c r="AK222" s="21"/>
      <c r="AL222" s="21"/>
      <c r="AM222" s="21"/>
      <c r="AN222" s="21"/>
      <c r="AO222" s="79"/>
      <c r="AP222" s="21"/>
      <c r="AQ222" s="21"/>
      <c r="AR222" s="21"/>
    </row>
    <row r="223" spans="1:44" ht="15.6" x14ac:dyDescent="0.3">
      <c r="A223" s="562">
        <v>188</v>
      </c>
      <c r="B223" s="563">
        <v>147</v>
      </c>
      <c r="C223" s="564" t="e">
        <f>IFERROR('Device Resistance Tables'!C211,NA())</f>
        <v>#N/A</v>
      </c>
      <c r="D223" s="565" t="e">
        <f>IFERROR('Device Resistance Tables'!D211,NA())</f>
        <v>#N/A</v>
      </c>
      <c r="E223" s="564" t="e">
        <f>IFERROR('Device Resistance Tables'!F211,NA())</f>
        <v>#N/A</v>
      </c>
      <c r="F223" s="566" t="e">
        <f t="shared" si="29"/>
        <v>#N/A</v>
      </c>
      <c r="G223" s="564" t="e">
        <f t="shared" si="30"/>
        <v>#N/A</v>
      </c>
      <c r="H223" s="566" t="e">
        <f t="shared" si="24"/>
        <v>#N/A</v>
      </c>
      <c r="I223" s="302" t="e">
        <f t="shared" si="25"/>
        <v>#N/A</v>
      </c>
      <c r="J223" s="302" t="e">
        <f t="shared" si="26"/>
        <v>#N/A</v>
      </c>
      <c r="K223" s="298" t="e">
        <f t="shared" si="31"/>
        <v>#N/A</v>
      </c>
      <c r="L223" s="388"/>
      <c r="M223" s="571">
        <v>147</v>
      </c>
      <c r="N223" s="575" t="e">
        <v>#N/A</v>
      </c>
      <c r="O223" s="575" t="e">
        <v>#N/A</v>
      </c>
      <c r="P223" s="575" t="e">
        <v>#N/A</v>
      </c>
      <c r="Q223" s="569" t="e">
        <f t="shared" si="27"/>
        <v>#N/A</v>
      </c>
      <c r="R223" s="564" t="e">
        <f t="shared" si="34"/>
        <v>#N/A</v>
      </c>
      <c r="S223" s="570" t="e">
        <f t="shared" si="28"/>
        <v>#N/A</v>
      </c>
      <c r="T223" s="302" t="e">
        <f t="shared" si="32"/>
        <v>#N/A</v>
      </c>
      <c r="U223" s="302" t="e">
        <f t="shared" si="33"/>
        <v>#N/A</v>
      </c>
      <c r="V223" s="298" t="e">
        <f t="shared" si="35"/>
        <v>#N/A</v>
      </c>
      <c r="X223" s="13"/>
      <c r="Y223" s="13"/>
      <c r="Z223" s="13"/>
      <c r="AK223" s="21"/>
      <c r="AL223" s="21"/>
      <c r="AM223" s="21"/>
      <c r="AN223" s="21"/>
      <c r="AO223" s="79"/>
      <c r="AP223" s="21"/>
      <c r="AQ223" s="21"/>
      <c r="AR223" s="21"/>
    </row>
    <row r="224" spans="1:44" ht="15.6" x14ac:dyDescent="0.3">
      <c r="A224" s="562">
        <v>189</v>
      </c>
      <c r="B224" s="563">
        <v>148</v>
      </c>
      <c r="C224" s="564" t="e">
        <f>IFERROR('Device Resistance Tables'!C212,NA())</f>
        <v>#N/A</v>
      </c>
      <c r="D224" s="565" t="e">
        <f>IFERROR('Device Resistance Tables'!D212,NA())</f>
        <v>#N/A</v>
      </c>
      <c r="E224" s="564" t="e">
        <f>IFERROR('Device Resistance Tables'!F212,NA())</f>
        <v>#N/A</v>
      </c>
      <c r="F224" s="566" t="e">
        <f t="shared" si="29"/>
        <v>#N/A</v>
      </c>
      <c r="G224" s="564" t="e">
        <f t="shared" si="30"/>
        <v>#N/A</v>
      </c>
      <c r="H224" s="566" t="e">
        <f t="shared" si="24"/>
        <v>#N/A</v>
      </c>
      <c r="I224" s="302" t="e">
        <f t="shared" si="25"/>
        <v>#N/A</v>
      </c>
      <c r="J224" s="302" t="e">
        <f t="shared" si="26"/>
        <v>#N/A</v>
      </c>
      <c r="K224" s="298" t="e">
        <f t="shared" si="31"/>
        <v>#N/A</v>
      </c>
      <c r="L224" s="388"/>
      <c r="M224" s="571">
        <v>148</v>
      </c>
      <c r="N224" s="575" t="e">
        <v>#N/A</v>
      </c>
      <c r="O224" s="575" t="e">
        <v>#N/A</v>
      </c>
      <c r="P224" s="575" t="e">
        <v>#N/A</v>
      </c>
      <c r="Q224" s="569" t="e">
        <f t="shared" si="27"/>
        <v>#N/A</v>
      </c>
      <c r="R224" s="564" t="e">
        <f t="shared" si="34"/>
        <v>#N/A</v>
      </c>
      <c r="S224" s="570" t="e">
        <f t="shared" si="28"/>
        <v>#N/A</v>
      </c>
      <c r="T224" s="302" t="e">
        <f t="shared" si="32"/>
        <v>#N/A</v>
      </c>
      <c r="U224" s="302" t="e">
        <f t="shared" si="33"/>
        <v>#N/A</v>
      </c>
      <c r="V224" s="298" t="e">
        <f t="shared" si="35"/>
        <v>#N/A</v>
      </c>
      <c r="X224" s="13"/>
      <c r="Y224" s="13"/>
      <c r="Z224" s="13"/>
      <c r="AK224" s="21"/>
      <c r="AL224" s="21"/>
      <c r="AM224" s="21"/>
      <c r="AN224" s="21"/>
      <c r="AO224" s="79"/>
      <c r="AP224" s="21"/>
      <c r="AQ224" s="21"/>
      <c r="AR224" s="21"/>
    </row>
    <row r="225" spans="1:44" ht="15.6" x14ac:dyDescent="0.3">
      <c r="A225" s="562">
        <v>190</v>
      </c>
      <c r="B225" s="563">
        <v>149</v>
      </c>
      <c r="C225" s="564" t="e">
        <f>IFERROR('Device Resistance Tables'!C213,NA())</f>
        <v>#N/A</v>
      </c>
      <c r="D225" s="565" t="e">
        <f>IFERROR('Device Resistance Tables'!D213,NA())</f>
        <v>#N/A</v>
      </c>
      <c r="E225" s="564" t="e">
        <f>IFERROR('Device Resistance Tables'!F213,NA())</f>
        <v>#N/A</v>
      </c>
      <c r="F225" s="566" t="e">
        <f t="shared" si="29"/>
        <v>#N/A</v>
      </c>
      <c r="G225" s="564" t="e">
        <f t="shared" si="30"/>
        <v>#N/A</v>
      </c>
      <c r="H225" s="566" t="e">
        <f t="shared" si="24"/>
        <v>#N/A</v>
      </c>
      <c r="I225" s="302" t="e">
        <f t="shared" si="25"/>
        <v>#N/A</v>
      </c>
      <c r="J225" s="302" t="e">
        <f t="shared" si="26"/>
        <v>#N/A</v>
      </c>
      <c r="K225" s="298" t="e">
        <f t="shared" si="31"/>
        <v>#N/A</v>
      </c>
      <c r="L225" s="388"/>
      <c r="M225" s="571">
        <v>149</v>
      </c>
      <c r="N225" s="575" t="e">
        <v>#N/A</v>
      </c>
      <c r="O225" s="575" t="e">
        <v>#N/A</v>
      </c>
      <c r="P225" s="575" t="e">
        <v>#N/A</v>
      </c>
      <c r="Q225" s="569" t="e">
        <f t="shared" si="27"/>
        <v>#N/A</v>
      </c>
      <c r="R225" s="564" t="e">
        <f t="shared" si="34"/>
        <v>#N/A</v>
      </c>
      <c r="S225" s="570" t="e">
        <f t="shared" si="28"/>
        <v>#N/A</v>
      </c>
      <c r="T225" s="302" t="e">
        <f t="shared" si="32"/>
        <v>#N/A</v>
      </c>
      <c r="U225" s="302" t="e">
        <f t="shared" si="33"/>
        <v>#N/A</v>
      </c>
      <c r="V225" s="298" t="e">
        <f t="shared" si="35"/>
        <v>#N/A</v>
      </c>
      <c r="X225" s="13"/>
      <c r="Y225" s="13"/>
      <c r="Z225" s="13"/>
      <c r="AK225" s="21"/>
      <c r="AL225" s="21"/>
      <c r="AM225" s="21"/>
      <c r="AN225" s="21"/>
      <c r="AO225" s="79"/>
      <c r="AP225" s="21"/>
      <c r="AQ225" s="21"/>
      <c r="AR225" s="21"/>
    </row>
    <row r="226" spans="1:44" ht="15.6" x14ac:dyDescent="0.3">
      <c r="A226" s="562">
        <v>191</v>
      </c>
      <c r="B226" s="563">
        <v>150</v>
      </c>
      <c r="C226" s="564" t="e">
        <f>IFERROR('Device Resistance Tables'!C214,NA())</f>
        <v>#N/A</v>
      </c>
      <c r="D226" s="565" t="e">
        <f>IFERROR('Device Resistance Tables'!D214,NA())</f>
        <v>#N/A</v>
      </c>
      <c r="E226" s="564" t="e">
        <f>IFERROR('Device Resistance Tables'!F214,NA())</f>
        <v>#N/A</v>
      </c>
      <c r="F226" s="566" t="e">
        <f t="shared" si="29"/>
        <v>#N/A</v>
      </c>
      <c r="G226" s="564" t="e">
        <f t="shared" si="30"/>
        <v>#N/A</v>
      </c>
      <c r="H226" s="566" t="e">
        <f t="shared" si="24"/>
        <v>#N/A</v>
      </c>
      <c r="I226" s="302" t="e">
        <f t="shared" si="25"/>
        <v>#N/A</v>
      </c>
      <c r="J226" s="302" t="e">
        <f t="shared" si="26"/>
        <v>#N/A</v>
      </c>
      <c r="K226" s="298" t="e">
        <f t="shared" si="31"/>
        <v>#N/A</v>
      </c>
      <c r="L226" s="388"/>
      <c r="M226" s="571">
        <v>150</v>
      </c>
      <c r="N226" s="575" t="e">
        <v>#N/A</v>
      </c>
      <c r="O226" s="575" t="e">
        <v>#N/A</v>
      </c>
      <c r="P226" s="575" t="e">
        <v>#N/A</v>
      </c>
      <c r="Q226" s="569" t="e">
        <f t="shared" si="27"/>
        <v>#N/A</v>
      </c>
      <c r="R226" s="564" t="e">
        <f t="shared" si="34"/>
        <v>#N/A</v>
      </c>
      <c r="S226" s="570" t="e">
        <f t="shared" si="28"/>
        <v>#N/A</v>
      </c>
      <c r="T226" s="302" t="e">
        <f t="shared" si="32"/>
        <v>#N/A</v>
      </c>
      <c r="U226" s="302" t="e">
        <f t="shared" si="33"/>
        <v>#N/A</v>
      </c>
      <c r="V226" s="298" t="e">
        <f t="shared" si="35"/>
        <v>#N/A</v>
      </c>
      <c r="X226" s="13"/>
      <c r="Y226" s="13"/>
      <c r="Z226" s="13"/>
      <c r="AK226" s="21"/>
      <c r="AL226" s="21"/>
      <c r="AM226" s="21"/>
      <c r="AN226" s="21"/>
      <c r="AO226" s="79"/>
      <c r="AP226" s="21"/>
      <c r="AQ226" s="21"/>
      <c r="AR226" s="21"/>
    </row>
    <row r="227" spans="1:44" ht="15.6" x14ac:dyDescent="0.3">
      <c r="A227" s="562">
        <v>192</v>
      </c>
      <c r="B227" s="563">
        <v>151</v>
      </c>
      <c r="C227" s="564" t="e">
        <f>IFERROR('Device Resistance Tables'!C215,NA())</f>
        <v>#N/A</v>
      </c>
      <c r="D227" s="565" t="e">
        <f>IFERROR('Device Resistance Tables'!D215,NA())</f>
        <v>#N/A</v>
      </c>
      <c r="E227" s="564" t="e">
        <f>IFERROR('Device Resistance Tables'!F215,NA())</f>
        <v>#N/A</v>
      </c>
      <c r="F227" s="566" t="e">
        <f t="shared" si="29"/>
        <v>#N/A</v>
      </c>
      <c r="G227" s="564" t="e">
        <f t="shared" si="30"/>
        <v>#N/A</v>
      </c>
      <c r="H227" s="566" t="e">
        <f t="shared" si="24"/>
        <v>#N/A</v>
      </c>
      <c r="I227" s="302" t="e">
        <f t="shared" si="25"/>
        <v>#N/A</v>
      </c>
      <c r="J227" s="302" t="e">
        <f t="shared" si="26"/>
        <v>#N/A</v>
      </c>
      <c r="K227" s="298" t="e">
        <f t="shared" si="31"/>
        <v>#N/A</v>
      </c>
      <c r="L227" s="388"/>
      <c r="M227" s="571">
        <v>151</v>
      </c>
      <c r="N227" s="575" t="e">
        <v>#N/A</v>
      </c>
      <c r="O227" s="575" t="e">
        <v>#N/A</v>
      </c>
      <c r="P227" s="575" t="e">
        <v>#N/A</v>
      </c>
      <c r="Q227" s="569" t="e">
        <f t="shared" si="27"/>
        <v>#N/A</v>
      </c>
      <c r="R227" s="564" t="e">
        <f t="shared" ref="R227:R246" si="36">IFERROR(O226-O227,NA())</f>
        <v>#N/A</v>
      </c>
      <c r="S227" s="570" t="e">
        <f t="shared" si="28"/>
        <v>#N/A</v>
      </c>
      <c r="T227" s="302" t="e">
        <f t="shared" ref="T227:T246" si="37">IFERROR(((O227-N227)/O227)*-100,NA())</f>
        <v>#N/A</v>
      </c>
      <c r="U227" s="302" t="e">
        <f t="shared" ref="U227:U246" si="38">IFERROR(((P227-O227)/O227)*100,NA())</f>
        <v>#N/A</v>
      </c>
      <c r="AK227" s="21"/>
      <c r="AL227" s="21"/>
      <c r="AM227" s="21"/>
      <c r="AN227" s="21"/>
      <c r="AO227" s="79"/>
      <c r="AP227" s="21"/>
      <c r="AQ227" s="21"/>
      <c r="AR227" s="21"/>
    </row>
    <row r="228" spans="1:44" s="253" customFormat="1" ht="15.6" x14ac:dyDescent="0.3">
      <c r="A228" s="562">
        <v>193</v>
      </c>
      <c r="B228" s="563">
        <v>152</v>
      </c>
      <c r="C228" s="564" t="e">
        <f>IFERROR('Device Resistance Tables'!C216,NA())</f>
        <v>#N/A</v>
      </c>
      <c r="D228" s="565" t="e">
        <f>IFERROR('Device Resistance Tables'!D216,NA())</f>
        <v>#N/A</v>
      </c>
      <c r="E228" s="564" t="e">
        <f>IFERROR('Device Resistance Tables'!F216,NA())</f>
        <v>#N/A</v>
      </c>
      <c r="F228" s="566" t="e">
        <f t="shared" si="29"/>
        <v>#N/A</v>
      </c>
      <c r="G228" s="564" t="e">
        <f t="shared" si="30"/>
        <v>#N/A</v>
      </c>
      <c r="H228" s="566" t="e">
        <f t="shared" ref="H228:H246" si="39">IFERROR(($B$19/1000000)^2*(D228)*1000,NA())</f>
        <v>#N/A</v>
      </c>
      <c r="I228" s="302" t="e">
        <f t="shared" ref="I228:I246" si="40">IFERROR(((D228-C228)/D228)*-100,NA())</f>
        <v>#N/A</v>
      </c>
      <c r="J228" s="302" t="e">
        <f t="shared" ref="J228:J246" si="41">IFERROR(((E228-D228)/D228)*100,NA())</f>
        <v>#N/A</v>
      </c>
      <c r="K228" s="298" t="e">
        <f t="shared" si="31"/>
        <v>#N/A</v>
      </c>
      <c r="L228" s="388"/>
      <c r="M228" s="571">
        <v>152</v>
      </c>
      <c r="N228" s="575" t="e">
        <v>#N/A</v>
      </c>
      <c r="O228" s="575" t="e">
        <v>#N/A</v>
      </c>
      <c r="P228" s="575" t="e">
        <v>#N/A</v>
      </c>
      <c r="Q228" s="569" t="e">
        <f t="shared" ref="Q228:Q246" si="42">IFERROR((($B$26/(O228+$M$26))*O228),NA())</f>
        <v>#N/A</v>
      </c>
      <c r="R228" s="564" t="e">
        <f t="shared" si="36"/>
        <v>#N/A</v>
      </c>
      <c r="S228" s="570" t="e">
        <f t="shared" ref="S228:S246" si="43">IFERROR((($B$26/(O228+$M$26))^2*($M$26+O228))*1000,NA())</f>
        <v>#N/A</v>
      </c>
      <c r="T228" s="302" t="e">
        <f t="shared" si="37"/>
        <v>#N/A</v>
      </c>
      <c r="U228" s="302" t="e">
        <f t="shared" si="38"/>
        <v>#N/A</v>
      </c>
      <c r="AK228" s="255"/>
      <c r="AL228" s="255"/>
      <c r="AM228" s="255"/>
      <c r="AN228" s="255"/>
      <c r="AO228" s="206"/>
      <c r="AP228" s="255"/>
      <c r="AQ228" s="255"/>
      <c r="AR228" s="255"/>
    </row>
    <row r="229" spans="1:44" s="253" customFormat="1" ht="15.6" x14ac:dyDescent="0.3">
      <c r="A229" s="562">
        <v>194</v>
      </c>
      <c r="B229" s="563">
        <v>153</v>
      </c>
      <c r="C229" s="564" t="e">
        <f>IFERROR('Device Resistance Tables'!C217,NA())</f>
        <v>#N/A</v>
      </c>
      <c r="D229" s="565" t="e">
        <f>IFERROR('Device Resistance Tables'!D217,NA())</f>
        <v>#N/A</v>
      </c>
      <c r="E229" s="564" t="e">
        <f>IFERROR('Device Resistance Tables'!F217,NA())</f>
        <v>#N/A</v>
      </c>
      <c r="F229" s="566" t="e">
        <f t="shared" ref="F229:F246" si="44">IFERROR(D229*(($B$19/1000000)),NA())</f>
        <v>#N/A</v>
      </c>
      <c r="G229" s="564" t="e">
        <f t="shared" ref="G229:G246" si="45">IFERROR(D229-D228,NA())</f>
        <v>#N/A</v>
      </c>
      <c r="H229" s="566" t="e">
        <f t="shared" si="39"/>
        <v>#N/A</v>
      </c>
      <c r="I229" s="302" t="e">
        <f t="shared" si="40"/>
        <v>#N/A</v>
      </c>
      <c r="J229" s="302" t="e">
        <f t="shared" si="41"/>
        <v>#N/A</v>
      </c>
      <c r="K229" s="298" t="e">
        <f t="shared" ref="K229:K246" si="46">IFERROR(F229-F228,NA())</f>
        <v>#N/A</v>
      </c>
      <c r="L229" s="388"/>
      <c r="M229" s="571">
        <v>153</v>
      </c>
      <c r="N229" s="575" t="e">
        <v>#N/A</v>
      </c>
      <c r="O229" s="575" t="e">
        <v>#N/A</v>
      </c>
      <c r="P229" s="575" t="e">
        <v>#N/A</v>
      </c>
      <c r="Q229" s="569" t="e">
        <f t="shared" si="42"/>
        <v>#N/A</v>
      </c>
      <c r="R229" s="564" t="e">
        <f t="shared" si="36"/>
        <v>#N/A</v>
      </c>
      <c r="S229" s="570" t="e">
        <f t="shared" si="43"/>
        <v>#N/A</v>
      </c>
      <c r="T229" s="302" t="e">
        <f t="shared" si="37"/>
        <v>#N/A</v>
      </c>
      <c r="U229" s="302" t="e">
        <f t="shared" si="38"/>
        <v>#N/A</v>
      </c>
      <c r="AK229" s="255"/>
      <c r="AL229" s="255"/>
      <c r="AM229" s="255"/>
      <c r="AN229" s="255"/>
      <c r="AO229" s="206"/>
      <c r="AP229" s="255"/>
      <c r="AQ229" s="255"/>
      <c r="AR229" s="255"/>
    </row>
    <row r="230" spans="1:44" s="253" customFormat="1" ht="15.6" x14ac:dyDescent="0.3">
      <c r="A230" s="562">
        <v>195</v>
      </c>
      <c r="B230" s="563">
        <v>154</v>
      </c>
      <c r="C230" s="564" t="e">
        <f>IFERROR('Device Resistance Tables'!C218,NA())</f>
        <v>#N/A</v>
      </c>
      <c r="D230" s="565" t="e">
        <f>IFERROR('Device Resistance Tables'!D218,NA())</f>
        <v>#N/A</v>
      </c>
      <c r="E230" s="564" t="e">
        <f>IFERROR('Device Resistance Tables'!F218,NA())</f>
        <v>#N/A</v>
      </c>
      <c r="F230" s="566" t="e">
        <f t="shared" si="44"/>
        <v>#N/A</v>
      </c>
      <c r="G230" s="564" t="e">
        <f t="shared" si="45"/>
        <v>#N/A</v>
      </c>
      <c r="H230" s="566" t="e">
        <f t="shared" si="39"/>
        <v>#N/A</v>
      </c>
      <c r="I230" s="302" t="e">
        <f t="shared" si="40"/>
        <v>#N/A</v>
      </c>
      <c r="J230" s="302" t="e">
        <f t="shared" si="41"/>
        <v>#N/A</v>
      </c>
      <c r="K230" s="298" t="e">
        <f t="shared" si="46"/>
        <v>#N/A</v>
      </c>
      <c r="L230" s="388"/>
      <c r="M230" s="571">
        <v>154</v>
      </c>
      <c r="N230" s="575" t="e">
        <v>#N/A</v>
      </c>
      <c r="O230" s="575" t="e">
        <v>#N/A</v>
      </c>
      <c r="P230" s="575" t="e">
        <v>#N/A</v>
      </c>
      <c r="Q230" s="569" t="e">
        <f t="shared" si="42"/>
        <v>#N/A</v>
      </c>
      <c r="R230" s="564" t="e">
        <f t="shared" si="36"/>
        <v>#N/A</v>
      </c>
      <c r="S230" s="570" t="e">
        <f t="shared" si="43"/>
        <v>#N/A</v>
      </c>
      <c r="T230" s="302" t="e">
        <f t="shared" si="37"/>
        <v>#N/A</v>
      </c>
      <c r="U230" s="302" t="e">
        <f t="shared" si="38"/>
        <v>#N/A</v>
      </c>
      <c r="AK230" s="255"/>
      <c r="AL230" s="255"/>
      <c r="AM230" s="255"/>
      <c r="AN230" s="255"/>
      <c r="AO230" s="206"/>
      <c r="AP230" s="255"/>
      <c r="AQ230" s="255"/>
      <c r="AR230" s="255"/>
    </row>
    <row r="231" spans="1:44" s="253" customFormat="1" ht="15.6" x14ac:dyDescent="0.3">
      <c r="A231" s="562">
        <v>196</v>
      </c>
      <c r="B231" s="563">
        <v>155</v>
      </c>
      <c r="C231" s="564" t="e">
        <f>IFERROR('Device Resistance Tables'!C219,NA())</f>
        <v>#N/A</v>
      </c>
      <c r="D231" s="565" t="e">
        <f>IFERROR('Device Resistance Tables'!D219,NA())</f>
        <v>#N/A</v>
      </c>
      <c r="E231" s="564" t="e">
        <f>IFERROR('Device Resistance Tables'!F219,NA())</f>
        <v>#N/A</v>
      </c>
      <c r="F231" s="566" t="e">
        <f t="shared" si="44"/>
        <v>#N/A</v>
      </c>
      <c r="G231" s="564" t="e">
        <f t="shared" si="45"/>
        <v>#N/A</v>
      </c>
      <c r="H231" s="566" t="e">
        <f t="shared" si="39"/>
        <v>#N/A</v>
      </c>
      <c r="I231" s="302" t="e">
        <f t="shared" si="40"/>
        <v>#N/A</v>
      </c>
      <c r="J231" s="302" t="e">
        <f t="shared" si="41"/>
        <v>#N/A</v>
      </c>
      <c r="K231" s="298" t="e">
        <f t="shared" si="46"/>
        <v>#N/A</v>
      </c>
      <c r="L231" s="388"/>
      <c r="M231" s="571">
        <v>155</v>
      </c>
      <c r="N231" s="575" t="e">
        <v>#N/A</v>
      </c>
      <c r="O231" s="575" t="e">
        <v>#N/A</v>
      </c>
      <c r="P231" s="575" t="e">
        <v>#N/A</v>
      </c>
      <c r="Q231" s="569" t="e">
        <f t="shared" si="42"/>
        <v>#N/A</v>
      </c>
      <c r="R231" s="564" t="e">
        <f t="shared" si="36"/>
        <v>#N/A</v>
      </c>
      <c r="S231" s="570" t="e">
        <f t="shared" si="43"/>
        <v>#N/A</v>
      </c>
      <c r="T231" s="302" t="e">
        <f t="shared" si="37"/>
        <v>#N/A</v>
      </c>
      <c r="U231" s="302" t="e">
        <f t="shared" si="38"/>
        <v>#N/A</v>
      </c>
      <c r="AK231" s="255"/>
      <c r="AL231" s="255"/>
      <c r="AM231" s="255"/>
      <c r="AN231" s="255"/>
      <c r="AO231" s="206"/>
      <c r="AP231" s="255"/>
      <c r="AQ231" s="255"/>
      <c r="AR231" s="255"/>
    </row>
    <row r="232" spans="1:44" s="253" customFormat="1" ht="15.6" x14ac:dyDescent="0.3">
      <c r="A232" s="562">
        <v>197</v>
      </c>
      <c r="B232" s="563">
        <v>156</v>
      </c>
      <c r="C232" s="564" t="e">
        <f>IFERROR('Device Resistance Tables'!C220,NA())</f>
        <v>#N/A</v>
      </c>
      <c r="D232" s="565" t="e">
        <f>IFERROR('Device Resistance Tables'!D220,NA())</f>
        <v>#N/A</v>
      </c>
      <c r="E232" s="564" t="e">
        <f>IFERROR('Device Resistance Tables'!F220,NA())</f>
        <v>#N/A</v>
      </c>
      <c r="F232" s="566" t="e">
        <f t="shared" si="44"/>
        <v>#N/A</v>
      </c>
      <c r="G232" s="564" t="e">
        <f t="shared" si="45"/>
        <v>#N/A</v>
      </c>
      <c r="H232" s="566" t="e">
        <f t="shared" si="39"/>
        <v>#N/A</v>
      </c>
      <c r="I232" s="302" t="e">
        <f t="shared" si="40"/>
        <v>#N/A</v>
      </c>
      <c r="J232" s="302" t="e">
        <f t="shared" si="41"/>
        <v>#N/A</v>
      </c>
      <c r="K232" s="298" t="e">
        <f t="shared" si="46"/>
        <v>#N/A</v>
      </c>
      <c r="L232" s="388"/>
      <c r="M232" s="571">
        <v>156</v>
      </c>
      <c r="N232" s="575" t="e">
        <v>#N/A</v>
      </c>
      <c r="O232" s="575" t="e">
        <v>#N/A</v>
      </c>
      <c r="P232" s="575" t="e">
        <v>#N/A</v>
      </c>
      <c r="Q232" s="569" t="e">
        <f t="shared" si="42"/>
        <v>#N/A</v>
      </c>
      <c r="R232" s="564" t="e">
        <f t="shared" si="36"/>
        <v>#N/A</v>
      </c>
      <c r="S232" s="570" t="e">
        <f t="shared" si="43"/>
        <v>#N/A</v>
      </c>
      <c r="T232" s="302" t="e">
        <f t="shared" si="37"/>
        <v>#N/A</v>
      </c>
      <c r="U232" s="302" t="e">
        <f t="shared" si="38"/>
        <v>#N/A</v>
      </c>
      <c r="AK232" s="255"/>
      <c r="AL232" s="255"/>
      <c r="AM232" s="255"/>
      <c r="AN232" s="255"/>
      <c r="AO232" s="206"/>
      <c r="AP232" s="255"/>
      <c r="AQ232" s="255"/>
      <c r="AR232" s="255"/>
    </row>
    <row r="233" spans="1:44" s="253" customFormat="1" ht="15.6" x14ac:dyDescent="0.3">
      <c r="A233" s="562">
        <v>198</v>
      </c>
      <c r="B233" s="563">
        <v>157</v>
      </c>
      <c r="C233" s="564" t="e">
        <f>IFERROR('Device Resistance Tables'!C221,NA())</f>
        <v>#N/A</v>
      </c>
      <c r="D233" s="565" t="e">
        <f>IFERROR('Device Resistance Tables'!D221,NA())</f>
        <v>#N/A</v>
      </c>
      <c r="E233" s="564" t="e">
        <f>IFERROR('Device Resistance Tables'!F221,NA())</f>
        <v>#N/A</v>
      </c>
      <c r="F233" s="566" t="e">
        <f t="shared" si="44"/>
        <v>#N/A</v>
      </c>
      <c r="G233" s="564" t="e">
        <f t="shared" si="45"/>
        <v>#N/A</v>
      </c>
      <c r="H233" s="566" t="e">
        <f t="shared" si="39"/>
        <v>#N/A</v>
      </c>
      <c r="I233" s="302" t="e">
        <f t="shared" si="40"/>
        <v>#N/A</v>
      </c>
      <c r="J233" s="302" t="e">
        <f t="shared" si="41"/>
        <v>#N/A</v>
      </c>
      <c r="K233" s="298" t="e">
        <f t="shared" si="46"/>
        <v>#N/A</v>
      </c>
      <c r="L233" s="388"/>
      <c r="M233" s="571">
        <v>157</v>
      </c>
      <c r="N233" s="575" t="e">
        <v>#N/A</v>
      </c>
      <c r="O233" s="575" t="e">
        <v>#N/A</v>
      </c>
      <c r="P233" s="575" t="e">
        <v>#N/A</v>
      </c>
      <c r="Q233" s="569" t="e">
        <f t="shared" si="42"/>
        <v>#N/A</v>
      </c>
      <c r="R233" s="564" t="e">
        <f t="shared" si="36"/>
        <v>#N/A</v>
      </c>
      <c r="S233" s="570" t="e">
        <f t="shared" si="43"/>
        <v>#N/A</v>
      </c>
      <c r="T233" s="302" t="e">
        <f t="shared" si="37"/>
        <v>#N/A</v>
      </c>
      <c r="U233" s="302" t="e">
        <f t="shared" si="38"/>
        <v>#N/A</v>
      </c>
      <c r="AK233" s="255"/>
      <c r="AL233" s="255"/>
      <c r="AM233" s="255"/>
      <c r="AN233" s="255"/>
      <c r="AO233" s="206"/>
      <c r="AP233" s="255"/>
      <c r="AQ233" s="255"/>
      <c r="AR233" s="255"/>
    </row>
    <row r="234" spans="1:44" s="253" customFormat="1" ht="15.6" x14ac:dyDescent="0.3">
      <c r="A234" s="562">
        <v>199</v>
      </c>
      <c r="B234" s="563">
        <v>158</v>
      </c>
      <c r="C234" s="564" t="e">
        <f>IFERROR('Device Resistance Tables'!C222,NA())</f>
        <v>#N/A</v>
      </c>
      <c r="D234" s="565" t="e">
        <f>IFERROR('Device Resistance Tables'!D222,NA())</f>
        <v>#N/A</v>
      </c>
      <c r="E234" s="564" t="e">
        <f>IFERROR('Device Resistance Tables'!F222,NA())</f>
        <v>#N/A</v>
      </c>
      <c r="F234" s="566" t="e">
        <f t="shared" si="44"/>
        <v>#N/A</v>
      </c>
      <c r="G234" s="564" t="e">
        <f t="shared" si="45"/>
        <v>#N/A</v>
      </c>
      <c r="H234" s="566" t="e">
        <f t="shared" si="39"/>
        <v>#N/A</v>
      </c>
      <c r="I234" s="302" t="e">
        <f t="shared" si="40"/>
        <v>#N/A</v>
      </c>
      <c r="J234" s="302" t="e">
        <f t="shared" si="41"/>
        <v>#N/A</v>
      </c>
      <c r="K234" s="298" t="e">
        <f t="shared" si="46"/>
        <v>#N/A</v>
      </c>
      <c r="L234" s="388"/>
      <c r="M234" s="571">
        <v>158</v>
      </c>
      <c r="N234" s="575" t="e">
        <v>#N/A</v>
      </c>
      <c r="O234" s="575" t="e">
        <v>#N/A</v>
      </c>
      <c r="P234" s="575" t="e">
        <v>#N/A</v>
      </c>
      <c r="Q234" s="569" t="e">
        <f t="shared" si="42"/>
        <v>#N/A</v>
      </c>
      <c r="R234" s="564" t="e">
        <f t="shared" si="36"/>
        <v>#N/A</v>
      </c>
      <c r="S234" s="570" t="e">
        <f t="shared" si="43"/>
        <v>#N/A</v>
      </c>
      <c r="T234" s="302" t="e">
        <f t="shared" si="37"/>
        <v>#N/A</v>
      </c>
      <c r="U234" s="302" t="e">
        <f t="shared" si="38"/>
        <v>#N/A</v>
      </c>
      <c r="AK234" s="255"/>
      <c r="AL234" s="255"/>
      <c r="AM234" s="255"/>
      <c r="AN234" s="255"/>
      <c r="AO234" s="206"/>
      <c r="AP234" s="255"/>
      <c r="AQ234" s="255"/>
      <c r="AR234" s="255"/>
    </row>
    <row r="235" spans="1:44" s="253" customFormat="1" ht="15.6" x14ac:dyDescent="0.3">
      <c r="A235" s="562">
        <v>200</v>
      </c>
      <c r="B235" s="563">
        <v>159</v>
      </c>
      <c r="C235" s="564" t="e">
        <f>IFERROR('Device Resistance Tables'!C223,NA())</f>
        <v>#N/A</v>
      </c>
      <c r="D235" s="565" t="e">
        <f>IFERROR('Device Resistance Tables'!D223,NA())</f>
        <v>#N/A</v>
      </c>
      <c r="E235" s="564" t="e">
        <f>IFERROR('Device Resistance Tables'!F223,NA())</f>
        <v>#N/A</v>
      </c>
      <c r="F235" s="566" t="e">
        <f t="shared" si="44"/>
        <v>#N/A</v>
      </c>
      <c r="G235" s="564" t="e">
        <f t="shared" si="45"/>
        <v>#N/A</v>
      </c>
      <c r="H235" s="566" t="e">
        <f t="shared" si="39"/>
        <v>#N/A</v>
      </c>
      <c r="I235" s="302" t="e">
        <f t="shared" si="40"/>
        <v>#N/A</v>
      </c>
      <c r="J235" s="302" t="e">
        <f t="shared" si="41"/>
        <v>#N/A</v>
      </c>
      <c r="K235" s="298" t="e">
        <f t="shared" si="46"/>
        <v>#N/A</v>
      </c>
      <c r="L235" s="388"/>
      <c r="M235" s="571">
        <v>159</v>
      </c>
      <c r="N235" s="575" t="e">
        <v>#N/A</v>
      </c>
      <c r="O235" s="575" t="e">
        <v>#N/A</v>
      </c>
      <c r="P235" s="575" t="e">
        <v>#N/A</v>
      </c>
      <c r="Q235" s="569" t="e">
        <f t="shared" si="42"/>
        <v>#N/A</v>
      </c>
      <c r="R235" s="564" t="e">
        <f t="shared" si="36"/>
        <v>#N/A</v>
      </c>
      <c r="S235" s="570" t="e">
        <f t="shared" si="43"/>
        <v>#N/A</v>
      </c>
      <c r="T235" s="302" t="e">
        <f t="shared" si="37"/>
        <v>#N/A</v>
      </c>
      <c r="U235" s="302" t="e">
        <f t="shared" si="38"/>
        <v>#N/A</v>
      </c>
      <c r="AK235" s="255"/>
      <c r="AL235" s="255"/>
      <c r="AM235" s="255"/>
      <c r="AN235" s="255"/>
      <c r="AO235" s="206"/>
      <c r="AP235" s="255"/>
      <c r="AQ235" s="255"/>
      <c r="AR235" s="255"/>
    </row>
    <row r="236" spans="1:44" s="253" customFormat="1" ht="15.6" x14ac:dyDescent="0.3">
      <c r="A236" s="562">
        <v>201</v>
      </c>
      <c r="B236" s="563">
        <v>160</v>
      </c>
      <c r="C236" s="564" t="e">
        <f>IFERROR('Device Resistance Tables'!C224,NA())</f>
        <v>#N/A</v>
      </c>
      <c r="D236" s="565" t="e">
        <f>IFERROR('Device Resistance Tables'!D224,NA())</f>
        <v>#N/A</v>
      </c>
      <c r="E236" s="564" t="e">
        <f>IFERROR('Device Resistance Tables'!F224,NA())</f>
        <v>#N/A</v>
      </c>
      <c r="F236" s="566" t="e">
        <f t="shared" si="44"/>
        <v>#N/A</v>
      </c>
      <c r="G236" s="564" t="e">
        <f t="shared" si="45"/>
        <v>#N/A</v>
      </c>
      <c r="H236" s="566" t="e">
        <f t="shared" si="39"/>
        <v>#N/A</v>
      </c>
      <c r="I236" s="302" t="e">
        <f t="shared" si="40"/>
        <v>#N/A</v>
      </c>
      <c r="J236" s="302" t="e">
        <f t="shared" si="41"/>
        <v>#N/A</v>
      </c>
      <c r="K236" s="298" t="e">
        <f t="shared" si="46"/>
        <v>#N/A</v>
      </c>
      <c r="L236" s="388"/>
      <c r="M236" s="571">
        <v>160</v>
      </c>
      <c r="N236" s="575" t="e">
        <v>#N/A</v>
      </c>
      <c r="O236" s="575" t="e">
        <v>#N/A</v>
      </c>
      <c r="P236" s="575" t="e">
        <v>#N/A</v>
      </c>
      <c r="Q236" s="569" t="e">
        <f t="shared" si="42"/>
        <v>#N/A</v>
      </c>
      <c r="R236" s="564" t="e">
        <f t="shared" si="36"/>
        <v>#N/A</v>
      </c>
      <c r="S236" s="570" t="e">
        <f t="shared" si="43"/>
        <v>#N/A</v>
      </c>
      <c r="T236" s="302" t="e">
        <f t="shared" si="37"/>
        <v>#N/A</v>
      </c>
      <c r="U236" s="302" t="e">
        <f t="shared" si="38"/>
        <v>#N/A</v>
      </c>
      <c r="AK236" s="255"/>
      <c r="AL236" s="255"/>
      <c r="AM236" s="255"/>
      <c r="AN236" s="255"/>
      <c r="AO236" s="206"/>
      <c r="AP236" s="255"/>
      <c r="AQ236" s="255"/>
      <c r="AR236" s="255"/>
    </row>
    <row r="237" spans="1:44" s="253" customFormat="1" ht="15.6" x14ac:dyDescent="0.3">
      <c r="A237" s="562">
        <v>202</v>
      </c>
      <c r="B237" s="563">
        <v>161</v>
      </c>
      <c r="C237" s="564" t="e">
        <f>IFERROR('Device Resistance Tables'!C225,NA())</f>
        <v>#N/A</v>
      </c>
      <c r="D237" s="565" t="e">
        <f>IFERROR('Device Resistance Tables'!D225,NA())</f>
        <v>#N/A</v>
      </c>
      <c r="E237" s="564" t="e">
        <f>IFERROR('Device Resistance Tables'!F225,NA())</f>
        <v>#N/A</v>
      </c>
      <c r="F237" s="566" t="e">
        <f t="shared" si="44"/>
        <v>#N/A</v>
      </c>
      <c r="G237" s="564" t="e">
        <f t="shared" si="45"/>
        <v>#N/A</v>
      </c>
      <c r="H237" s="566" t="e">
        <f t="shared" si="39"/>
        <v>#N/A</v>
      </c>
      <c r="I237" s="302" t="e">
        <f t="shared" si="40"/>
        <v>#N/A</v>
      </c>
      <c r="J237" s="302" t="e">
        <f t="shared" si="41"/>
        <v>#N/A</v>
      </c>
      <c r="K237" s="298" t="e">
        <f t="shared" si="46"/>
        <v>#N/A</v>
      </c>
      <c r="L237" s="388"/>
      <c r="M237" s="571">
        <v>161</v>
      </c>
      <c r="N237" s="575" t="e">
        <v>#N/A</v>
      </c>
      <c r="O237" s="575" t="e">
        <v>#N/A</v>
      </c>
      <c r="P237" s="575" t="e">
        <v>#N/A</v>
      </c>
      <c r="Q237" s="569" t="e">
        <f t="shared" si="42"/>
        <v>#N/A</v>
      </c>
      <c r="R237" s="564" t="e">
        <f t="shared" si="36"/>
        <v>#N/A</v>
      </c>
      <c r="S237" s="570" t="e">
        <f t="shared" si="43"/>
        <v>#N/A</v>
      </c>
      <c r="T237" s="302" t="e">
        <f t="shared" si="37"/>
        <v>#N/A</v>
      </c>
      <c r="U237" s="302" t="e">
        <f t="shared" si="38"/>
        <v>#N/A</v>
      </c>
      <c r="AK237" s="255"/>
      <c r="AL237" s="255"/>
      <c r="AM237" s="255"/>
      <c r="AN237" s="255"/>
      <c r="AO237" s="206"/>
      <c r="AP237" s="255"/>
      <c r="AQ237" s="255"/>
      <c r="AR237" s="255"/>
    </row>
    <row r="238" spans="1:44" s="253" customFormat="1" ht="15.6" x14ac:dyDescent="0.3">
      <c r="A238" s="562">
        <v>203</v>
      </c>
      <c r="B238" s="563">
        <v>162</v>
      </c>
      <c r="C238" s="564" t="e">
        <f>IFERROR('Device Resistance Tables'!C226,NA())</f>
        <v>#N/A</v>
      </c>
      <c r="D238" s="565" t="e">
        <f>IFERROR('Device Resistance Tables'!D226,NA())</f>
        <v>#N/A</v>
      </c>
      <c r="E238" s="564" t="e">
        <f>IFERROR('Device Resistance Tables'!F226,NA())</f>
        <v>#N/A</v>
      </c>
      <c r="F238" s="566" t="e">
        <f t="shared" si="44"/>
        <v>#N/A</v>
      </c>
      <c r="G238" s="564" t="e">
        <f t="shared" si="45"/>
        <v>#N/A</v>
      </c>
      <c r="H238" s="566" t="e">
        <f t="shared" si="39"/>
        <v>#N/A</v>
      </c>
      <c r="I238" s="302" t="e">
        <f t="shared" si="40"/>
        <v>#N/A</v>
      </c>
      <c r="J238" s="302" t="e">
        <f t="shared" si="41"/>
        <v>#N/A</v>
      </c>
      <c r="K238" s="298" t="e">
        <f t="shared" si="46"/>
        <v>#N/A</v>
      </c>
      <c r="L238" s="388"/>
      <c r="M238" s="571">
        <v>162</v>
      </c>
      <c r="N238" s="575" t="e">
        <v>#N/A</v>
      </c>
      <c r="O238" s="575" t="e">
        <v>#N/A</v>
      </c>
      <c r="P238" s="575" t="e">
        <v>#N/A</v>
      </c>
      <c r="Q238" s="569" t="e">
        <f t="shared" si="42"/>
        <v>#N/A</v>
      </c>
      <c r="R238" s="564" t="e">
        <f t="shared" si="36"/>
        <v>#N/A</v>
      </c>
      <c r="S238" s="570" t="e">
        <f t="shared" si="43"/>
        <v>#N/A</v>
      </c>
      <c r="T238" s="302" t="e">
        <f t="shared" si="37"/>
        <v>#N/A</v>
      </c>
      <c r="U238" s="302" t="e">
        <f t="shared" si="38"/>
        <v>#N/A</v>
      </c>
      <c r="AK238" s="255"/>
      <c r="AL238" s="255"/>
      <c r="AM238" s="255"/>
      <c r="AN238" s="255"/>
      <c r="AO238" s="206"/>
      <c r="AP238" s="255"/>
      <c r="AQ238" s="255"/>
      <c r="AR238" s="255"/>
    </row>
    <row r="239" spans="1:44" s="253" customFormat="1" ht="15.6" x14ac:dyDescent="0.3">
      <c r="A239" s="562">
        <v>204</v>
      </c>
      <c r="B239" s="563">
        <v>163</v>
      </c>
      <c r="C239" s="564" t="e">
        <f>IFERROR('Device Resistance Tables'!C227,NA())</f>
        <v>#N/A</v>
      </c>
      <c r="D239" s="565" t="e">
        <f>IFERROR('Device Resistance Tables'!D227,NA())</f>
        <v>#N/A</v>
      </c>
      <c r="E239" s="564" t="e">
        <f>IFERROR('Device Resistance Tables'!F227,NA())</f>
        <v>#N/A</v>
      </c>
      <c r="F239" s="566" t="e">
        <f t="shared" si="44"/>
        <v>#N/A</v>
      </c>
      <c r="G239" s="564" t="e">
        <f t="shared" si="45"/>
        <v>#N/A</v>
      </c>
      <c r="H239" s="566" t="e">
        <f t="shared" si="39"/>
        <v>#N/A</v>
      </c>
      <c r="I239" s="302" t="e">
        <f t="shared" si="40"/>
        <v>#N/A</v>
      </c>
      <c r="J239" s="302" t="e">
        <f t="shared" si="41"/>
        <v>#N/A</v>
      </c>
      <c r="K239" s="298" t="e">
        <f t="shared" si="46"/>
        <v>#N/A</v>
      </c>
      <c r="L239" s="388"/>
      <c r="M239" s="571">
        <v>163</v>
      </c>
      <c r="N239" s="575" t="e">
        <v>#N/A</v>
      </c>
      <c r="O239" s="575" t="e">
        <v>#N/A</v>
      </c>
      <c r="P239" s="575" t="e">
        <v>#N/A</v>
      </c>
      <c r="Q239" s="569" t="e">
        <f t="shared" si="42"/>
        <v>#N/A</v>
      </c>
      <c r="R239" s="564" t="e">
        <f t="shared" si="36"/>
        <v>#N/A</v>
      </c>
      <c r="S239" s="570" t="e">
        <f t="shared" si="43"/>
        <v>#N/A</v>
      </c>
      <c r="T239" s="302" t="e">
        <f t="shared" si="37"/>
        <v>#N/A</v>
      </c>
      <c r="U239" s="302" t="e">
        <f t="shared" si="38"/>
        <v>#N/A</v>
      </c>
      <c r="AK239" s="255"/>
      <c r="AL239" s="255"/>
      <c r="AM239" s="255"/>
      <c r="AN239" s="255"/>
      <c r="AO239" s="206"/>
      <c r="AP239" s="255"/>
      <c r="AQ239" s="255"/>
      <c r="AR239" s="255"/>
    </row>
    <row r="240" spans="1:44" s="253" customFormat="1" ht="15.6" x14ac:dyDescent="0.3">
      <c r="A240" s="562">
        <v>205</v>
      </c>
      <c r="B240" s="563">
        <v>164</v>
      </c>
      <c r="C240" s="564" t="e">
        <f>IFERROR('Device Resistance Tables'!C228,NA())</f>
        <v>#N/A</v>
      </c>
      <c r="D240" s="565" t="e">
        <f>IFERROR('Device Resistance Tables'!D228,NA())</f>
        <v>#N/A</v>
      </c>
      <c r="E240" s="564" t="e">
        <f>IFERROR('Device Resistance Tables'!F228,NA())</f>
        <v>#N/A</v>
      </c>
      <c r="F240" s="566" t="e">
        <f t="shared" si="44"/>
        <v>#N/A</v>
      </c>
      <c r="G240" s="564" t="e">
        <f t="shared" si="45"/>
        <v>#N/A</v>
      </c>
      <c r="H240" s="566" t="e">
        <f t="shared" si="39"/>
        <v>#N/A</v>
      </c>
      <c r="I240" s="302" t="e">
        <f t="shared" si="40"/>
        <v>#N/A</v>
      </c>
      <c r="J240" s="302" t="e">
        <f t="shared" si="41"/>
        <v>#N/A</v>
      </c>
      <c r="K240" s="298" t="e">
        <f t="shared" si="46"/>
        <v>#N/A</v>
      </c>
      <c r="L240" s="388"/>
      <c r="M240" s="571">
        <v>164</v>
      </c>
      <c r="N240" s="575" t="e">
        <v>#N/A</v>
      </c>
      <c r="O240" s="575" t="e">
        <v>#N/A</v>
      </c>
      <c r="P240" s="575" t="e">
        <v>#N/A</v>
      </c>
      <c r="Q240" s="569" t="e">
        <f t="shared" si="42"/>
        <v>#N/A</v>
      </c>
      <c r="R240" s="564" t="e">
        <f t="shared" si="36"/>
        <v>#N/A</v>
      </c>
      <c r="S240" s="570" t="e">
        <f t="shared" si="43"/>
        <v>#N/A</v>
      </c>
      <c r="T240" s="302" t="e">
        <f t="shared" si="37"/>
        <v>#N/A</v>
      </c>
      <c r="U240" s="302" t="e">
        <f t="shared" si="38"/>
        <v>#N/A</v>
      </c>
      <c r="AK240" s="255"/>
      <c r="AL240" s="255"/>
      <c r="AM240" s="255"/>
      <c r="AN240" s="255"/>
      <c r="AO240" s="206"/>
      <c r="AP240" s="255"/>
      <c r="AQ240" s="255"/>
      <c r="AR240" s="255"/>
    </row>
    <row r="241" spans="1:44" s="253" customFormat="1" ht="15.6" x14ac:dyDescent="0.3">
      <c r="A241" s="562">
        <v>206</v>
      </c>
      <c r="B241" s="563">
        <v>165</v>
      </c>
      <c r="C241" s="564" t="e">
        <f>IFERROR('Device Resistance Tables'!C229,NA())</f>
        <v>#N/A</v>
      </c>
      <c r="D241" s="565" t="e">
        <f>IFERROR('Device Resistance Tables'!D229,NA())</f>
        <v>#N/A</v>
      </c>
      <c r="E241" s="564" t="e">
        <f>IFERROR('Device Resistance Tables'!F229,NA())</f>
        <v>#N/A</v>
      </c>
      <c r="F241" s="566" t="e">
        <f t="shared" si="44"/>
        <v>#N/A</v>
      </c>
      <c r="G241" s="564" t="e">
        <f t="shared" si="45"/>
        <v>#N/A</v>
      </c>
      <c r="H241" s="566" t="e">
        <f t="shared" si="39"/>
        <v>#N/A</v>
      </c>
      <c r="I241" s="302" t="e">
        <f t="shared" si="40"/>
        <v>#N/A</v>
      </c>
      <c r="J241" s="302" t="e">
        <f t="shared" si="41"/>
        <v>#N/A</v>
      </c>
      <c r="K241" s="298" t="e">
        <f t="shared" si="46"/>
        <v>#N/A</v>
      </c>
      <c r="L241" s="388"/>
      <c r="M241" s="571">
        <v>165</v>
      </c>
      <c r="N241" s="575" t="e">
        <v>#N/A</v>
      </c>
      <c r="O241" s="575" t="e">
        <v>#N/A</v>
      </c>
      <c r="P241" s="575" t="e">
        <v>#N/A</v>
      </c>
      <c r="Q241" s="569" t="e">
        <f t="shared" si="42"/>
        <v>#N/A</v>
      </c>
      <c r="R241" s="564" t="e">
        <f t="shared" si="36"/>
        <v>#N/A</v>
      </c>
      <c r="S241" s="570" t="e">
        <f t="shared" si="43"/>
        <v>#N/A</v>
      </c>
      <c r="T241" s="302" t="e">
        <f t="shared" si="37"/>
        <v>#N/A</v>
      </c>
      <c r="U241" s="302" t="e">
        <f t="shared" si="38"/>
        <v>#N/A</v>
      </c>
      <c r="AK241" s="255"/>
      <c r="AL241" s="255"/>
      <c r="AM241" s="255"/>
      <c r="AN241" s="255"/>
      <c r="AO241" s="206"/>
      <c r="AP241" s="255"/>
      <c r="AQ241" s="255"/>
      <c r="AR241" s="255"/>
    </row>
    <row r="242" spans="1:44" s="253" customFormat="1" ht="15.6" x14ac:dyDescent="0.3">
      <c r="A242" s="562">
        <v>207</v>
      </c>
      <c r="B242" s="563">
        <v>166</v>
      </c>
      <c r="C242" s="564" t="e">
        <f>IFERROR('Device Resistance Tables'!C230,NA())</f>
        <v>#N/A</v>
      </c>
      <c r="D242" s="565" t="e">
        <f>IFERROR('Device Resistance Tables'!D230,NA())</f>
        <v>#N/A</v>
      </c>
      <c r="E242" s="564" t="e">
        <f>IFERROR('Device Resistance Tables'!F230,NA())</f>
        <v>#N/A</v>
      </c>
      <c r="F242" s="566" t="e">
        <f t="shared" si="44"/>
        <v>#N/A</v>
      </c>
      <c r="G242" s="564" t="e">
        <f t="shared" si="45"/>
        <v>#N/A</v>
      </c>
      <c r="H242" s="566" t="e">
        <f t="shared" si="39"/>
        <v>#N/A</v>
      </c>
      <c r="I242" s="302" t="e">
        <f t="shared" si="40"/>
        <v>#N/A</v>
      </c>
      <c r="J242" s="302" t="e">
        <f t="shared" si="41"/>
        <v>#N/A</v>
      </c>
      <c r="K242" s="298" t="e">
        <f t="shared" si="46"/>
        <v>#N/A</v>
      </c>
      <c r="L242" s="388"/>
      <c r="M242" s="571">
        <v>166</v>
      </c>
      <c r="N242" s="575" t="e">
        <v>#N/A</v>
      </c>
      <c r="O242" s="575" t="e">
        <v>#N/A</v>
      </c>
      <c r="P242" s="575" t="e">
        <v>#N/A</v>
      </c>
      <c r="Q242" s="569" t="e">
        <f t="shared" si="42"/>
        <v>#N/A</v>
      </c>
      <c r="R242" s="564" t="e">
        <f t="shared" si="36"/>
        <v>#N/A</v>
      </c>
      <c r="S242" s="570" t="e">
        <f t="shared" si="43"/>
        <v>#N/A</v>
      </c>
      <c r="T242" s="302" t="e">
        <f t="shared" si="37"/>
        <v>#N/A</v>
      </c>
      <c r="U242" s="302" t="e">
        <f t="shared" si="38"/>
        <v>#N/A</v>
      </c>
      <c r="AK242" s="255"/>
      <c r="AL242" s="255"/>
      <c r="AM242" s="255"/>
      <c r="AN242" s="255"/>
      <c r="AO242" s="206"/>
      <c r="AP242" s="255"/>
      <c r="AQ242" s="255"/>
      <c r="AR242" s="255"/>
    </row>
    <row r="243" spans="1:44" s="253" customFormat="1" ht="15.6" x14ac:dyDescent="0.3">
      <c r="A243" s="562">
        <v>208</v>
      </c>
      <c r="B243" s="563">
        <v>167</v>
      </c>
      <c r="C243" s="564" t="e">
        <f>IFERROR('Device Resistance Tables'!C231,NA())</f>
        <v>#N/A</v>
      </c>
      <c r="D243" s="565" t="e">
        <f>IFERROR('Device Resistance Tables'!D231,NA())</f>
        <v>#N/A</v>
      </c>
      <c r="E243" s="564" t="e">
        <f>IFERROR('Device Resistance Tables'!F231,NA())</f>
        <v>#N/A</v>
      </c>
      <c r="F243" s="566" t="e">
        <f t="shared" si="44"/>
        <v>#N/A</v>
      </c>
      <c r="G243" s="564" t="e">
        <f t="shared" si="45"/>
        <v>#N/A</v>
      </c>
      <c r="H243" s="566" t="e">
        <f t="shared" si="39"/>
        <v>#N/A</v>
      </c>
      <c r="I243" s="302" t="e">
        <f t="shared" si="40"/>
        <v>#N/A</v>
      </c>
      <c r="J243" s="302" t="e">
        <f t="shared" si="41"/>
        <v>#N/A</v>
      </c>
      <c r="K243" s="298" t="e">
        <f t="shared" si="46"/>
        <v>#N/A</v>
      </c>
      <c r="L243" s="388"/>
      <c r="M243" s="571">
        <v>167</v>
      </c>
      <c r="N243" s="575" t="e">
        <v>#N/A</v>
      </c>
      <c r="O243" s="575" t="e">
        <v>#N/A</v>
      </c>
      <c r="P243" s="575" t="e">
        <v>#N/A</v>
      </c>
      <c r="Q243" s="569" t="e">
        <f t="shared" si="42"/>
        <v>#N/A</v>
      </c>
      <c r="R243" s="564" t="e">
        <f t="shared" si="36"/>
        <v>#N/A</v>
      </c>
      <c r="S243" s="570" t="e">
        <f t="shared" si="43"/>
        <v>#N/A</v>
      </c>
      <c r="T243" s="302" t="e">
        <f t="shared" si="37"/>
        <v>#N/A</v>
      </c>
      <c r="U243" s="302" t="e">
        <f t="shared" si="38"/>
        <v>#N/A</v>
      </c>
      <c r="AK243" s="255"/>
      <c r="AL243" s="255"/>
      <c r="AM243" s="255"/>
      <c r="AN243" s="255"/>
      <c r="AO243" s="206"/>
      <c r="AP243" s="255"/>
      <c r="AQ243" s="255"/>
      <c r="AR243" s="255"/>
    </row>
    <row r="244" spans="1:44" s="253" customFormat="1" ht="15.6" x14ac:dyDescent="0.3">
      <c r="A244" s="562">
        <v>209</v>
      </c>
      <c r="B244" s="563">
        <v>168</v>
      </c>
      <c r="C244" s="564" t="e">
        <f>IFERROR('Device Resistance Tables'!C232,NA())</f>
        <v>#N/A</v>
      </c>
      <c r="D244" s="565" t="e">
        <f>IFERROR('Device Resistance Tables'!D232,NA())</f>
        <v>#N/A</v>
      </c>
      <c r="E244" s="564" t="e">
        <f>IFERROR('Device Resistance Tables'!F232,NA())</f>
        <v>#N/A</v>
      </c>
      <c r="F244" s="566" t="e">
        <f t="shared" si="44"/>
        <v>#N/A</v>
      </c>
      <c r="G244" s="564" t="e">
        <f t="shared" si="45"/>
        <v>#N/A</v>
      </c>
      <c r="H244" s="566" t="e">
        <f t="shared" si="39"/>
        <v>#N/A</v>
      </c>
      <c r="I244" s="302" t="e">
        <f t="shared" si="40"/>
        <v>#N/A</v>
      </c>
      <c r="J244" s="302" t="e">
        <f t="shared" si="41"/>
        <v>#N/A</v>
      </c>
      <c r="K244" s="298" t="e">
        <f t="shared" si="46"/>
        <v>#N/A</v>
      </c>
      <c r="L244" s="388"/>
      <c r="M244" s="571">
        <v>168</v>
      </c>
      <c r="N244" s="575" t="e">
        <v>#N/A</v>
      </c>
      <c r="O244" s="575" t="e">
        <v>#N/A</v>
      </c>
      <c r="P244" s="575" t="e">
        <v>#N/A</v>
      </c>
      <c r="Q244" s="569" t="e">
        <f t="shared" si="42"/>
        <v>#N/A</v>
      </c>
      <c r="R244" s="564" t="e">
        <f t="shared" si="36"/>
        <v>#N/A</v>
      </c>
      <c r="S244" s="570" t="e">
        <f t="shared" si="43"/>
        <v>#N/A</v>
      </c>
      <c r="T244" s="302" t="e">
        <f t="shared" si="37"/>
        <v>#N/A</v>
      </c>
      <c r="U244" s="302" t="e">
        <f t="shared" si="38"/>
        <v>#N/A</v>
      </c>
      <c r="AK244" s="255"/>
      <c r="AL244" s="255"/>
      <c r="AM244" s="255"/>
      <c r="AN244" s="255"/>
      <c r="AO244" s="206"/>
      <c r="AP244" s="255"/>
      <c r="AQ244" s="255"/>
      <c r="AR244" s="255"/>
    </row>
    <row r="245" spans="1:44" s="253" customFormat="1" ht="15.6" x14ac:dyDescent="0.3">
      <c r="A245" s="562">
        <v>210</v>
      </c>
      <c r="B245" s="563">
        <v>169</v>
      </c>
      <c r="C245" s="564" t="e">
        <f>IFERROR('Device Resistance Tables'!C233,NA())</f>
        <v>#N/A</v>
      </c>
      <c r="D245" s="565" t="e">
        <f>IFERROR('Device Resistance Tables'!D233,NA())</f>
        <v>#N/A</v>
      </c>
      <c r="E245" s="564" t="e">
        <f>IFERROR('Device Resistance Tables'!F233,NA())</f>
        <v>#N/A</v>
      </c>
      <c r="F245" s="566" t="e">
        <f t="shared" si="44"/>
        <v>#N/A</v>
      </c>
      <c r="G245" s="564" t="e">
        <f t="shared" si="45"/>
        <v>#N/A</v>
      </c>
      <c r="H245" s="566" t="e">
        <f t="shared" si="39"/>
        <v>#N/A</v>
      </c>
      <c r="I245" s="302" t="e">
        <f t="shared" si="40"/>
        <v>#N/A</v>
      </c>
      <c r="J245" s="302" t="e">
        <f t="shared" si="41"/>
        <v>#N/A</v>
      </c>
      <c r="K245" s="298" t="e">
        <f t="shared" si="46"/>
        <v>#N/A</v>
      </c>
      <c r="L245" s="388"/>
      <c r="M245" s="571">
        <v>169</v>
      </c>
      <c r="N245" s="575" t="e">
        <v>#N/A</v>
      </c>
      <c r="O245" s="575" t="e">
        <v>#N/A</v>
      </c>
      <c r="P245" s="575" t="e">
        <v>#N/A</v>
      </c>
      <c r="Q245" s="569" t="e">
        <f t="shared" si="42"/>
        <v>#N/A</v>
      </c>
      <c r="R245" s="564" t="e">
        <f t="shared" si="36"/>
        <v>#N/A</v>
      </c>
      <c r="S245" s="570" t="e">
        <f t="shared" si="43"/>
        <v>#N/A</v>
      </c>
      <c r="T245" s="302" t="e">
        <f t="shared" si="37"/>
        <v>#N/A</v>
      </c>
      <c r="U245" s="302" t="e">
        <f t="shared" si="38"/>
        <v>#N/A</v>
      </c>
      <c r="AK245" s="255"/>
      <c r="AL245" s="255"/>
      <c r="AM245" s="255"/>
      <c r="AN245" s="255"/>
      <c r="AO245" s="206"/>
      <c r="AP245" s="255"/>
      <c r="AQ245" s="255"/>
      <c r="AR245" s="255"/>
    </row>
    <row r="246" spans="1:44" s="253" customFormat="1" ht="16.2" thickBot="1" x14ac:dyDescent="0.35">
      <c r="A246" s="562">
        <v>211</v>
      </c>
      <c r="B246" s="563">
        <v>170</v>
      </c>
      <c r="C246" s="564" t="e">
        <f>IFERROR('Device Resistance Tables'!C234,NA())</f>
        <v>#N/A</v>
      </c>
      <c r="D246" s="565" t="e">
        <f>IFERROR('Device Resistance Tables'!D234,NA())</f>
        <v>#N/A</v>
      </c>
      <c r="E246" s="564" t="e">
        <f>IFERROR('Device Resistance Tables'!F234,NA())</f>
        <v>#N/A</v>
      </c>
      <c r="F246" s="566" t="e">
        <f t="shared" si="44"/>
        <v>#N/A</v>
      </c>
      <c r="G246" s="564" t="e">
        <f t="shared" si="45"/>
        <v>#N/A</v>
      </c>
      <c r="H246" s="566" t="e">
        <f t="shared" si="39"/>
        <v>#N/A</v>
      </c>
      <c r="I246" s="302" t="e">
        <f t="shared" si="40"/>
        <v>#N/A</v>
      </c>
      <c r="J246" s="302" t="e">
        <f t="shared" si="41"/>
        <v>#N/A</v>
      </c>
      <c r="K246" s="298" t="e">
        <f t="shared" si="46"/>
        <v>#N/A</v>
      </c>
      <c r="L246" s="388"/>
      <c r="M246" s="571">
        <v>170</v>
      </c>
      <c r="N246" s="576" t="e">
        <v>#N/A</v>
      </c>
      <c r="O246" s="576" t="e">
        <v>#N/A</v>
      </c>
      <c r="P246" s="576" t="e">
        <v>#N/A</v>
      </c>
      <c r="Q246" s="569" t="e">
        <f t="shared" si="42"/>
        <v>#N/A</v>
      </c>
      <c r="R246" s="564" t="e">
        <f t="shared" si="36"/>
        <v>#N/A</v>
      </c>
      <c r="S246" s="570" t="e">
        <f t="shared" si="43"/>
        <v>#N/A</v>
      </c>
      <c r="T246" s="302" t="e">
        <f t="shared" si="37"/>
        <v>#N/A</v>
      </c>
      <c r="U246" s="302" t="e">
        <f t="shared" si="38"/>
        <v>#N/A</v>
      </c>
      <c r="AK246" s="255"/>
      <c r="AL246" s="255"/>
      <c r="AM246" s="255"/>
      <c r="AN246" s="255"/>
      <c r="AO246" s="206"/>
      <c r="AP246" s="255"/>
      <c r="AQ246" s="255"/>
      <c r="AR246" s="255"/>
    </row>
    <row r="247" spans="1:44" s="253" customFormat="1" ht="15.6" x14ac:dyDescent="0.3">
      <c r="A247" s="468"/>
      <c r="B247" s="469"/>
      <c r="C247" s="470"/>
      <c r="D247" s="472"/>
      <c r="E247" s="470"/>
      <c r="F247" s="477"/>
      <c r="G247" s="470"/>
      <c r="H247" s="477"/>
      <c r="I247" s="478"/>
      <c r="J247" s="478"/>
      <c r="K247" s="479"/>
      <c r="L247" s="19"/>
      <c r="M247" s="469"/>
      <c r="N247" s="476"/>
      <c r="O247" s="476"/>
      <c r="P247" s="476"/>
      <c r="Q247" s="473"/>
      <c r="R247" s="470"/>
      <c r="S247" s="473"/>
      <c r="T247" s="478"/>
      <c r="U247" s="478"/>
      <c r="AK247" s="255"/>
      <c r="AL247" s="255"/>
      <c r="AM247" s="255"/>
      <c r="AN247" s="255"/>
      <c r="AO247" s="206"/>
      <c r="AP247" s="255"/>
      <c r="AQ247" s="255"/>
      <c r="AR247" s="255"/>
    </row>
    <row r="248" spans="1:44" s="253" customFormat="1" ht="15.6" x14ac:dyDescent="0.3">
      <c r="A248" s="467"/>
      <c r="B248" s="19"/>
      <c r="C248" s="310"/>
      <c r="D248" s="265"/>
      <c r="E248" s="310"/>
      <c r="F248" s="473"/>
      <c r="G248" s="310"/>
      <c r="H248" s="473"/>
      <c r="I248" s="474"/>
      <c r="J248" s="474"/>
      <c r="K248" s="475"/>
      <c r="L248" s="19"/>
      <c r="M248" s="19"/>
      <c r="N248" s="476"/>
      <c r="O248" s="476"/>
      <c r="P248" s="476"/>
      <c r="Q248" s="473"/>
      <c r="R248" s="310"/>
      <c r="S248" s="473"/>
      <c r="T248" s="474"/>
      <c r="U248" s="474"/>
      <c r="AK248" s="255"/>
      <c r="AL248" s="255"/>
      <c r="AM248" s="255"/>
      <c r="AN248" s="255"/>
      <c r="AO248" s="206"/>
      <c r="AP248" s="255"/>
      <c r="AQ248" s="255"/>
      <c r="AR248" s="255"/>
    </row>
    <row r="249" spans="1:44" s="253" customFormat="1" ht="15.6" x14ac:dyDescent="0.3">
      <c r="A249" s="467"/>
      <c r="B249" s="19"/>
      <c r="C249" s="310"/>
      <c r="D249" s="265"/>
      <c r="E249" s="310"/>
      <c r="F249" s="473"/>
      <c r="G249" s="310"/>
      <c r="H249" s="473"/>
      <c r="I249" s="474"/>
      <c r="J249" s="474"/>
      <c r="K249" s="475"/>
      <c r="L249" s="19"/>
      <c r="M249" s="19"/>
      <c r="N249" s="476"/>
      <c r="O249" s="476"/>
      <c r="P249" s="476"/>
      <c r="Q249" s="473"/>
      <c r="R249" s="310"/>
      <c r="S249" s="473"/>
      <c r="T249" s="474"/>
      <c r="U249" s="474"/>
      <c r="AK249" s="255"/>
      <c r="AL249" s="255"/>
      <c r="AM249" s="255"/>
      <c r="AN249" s="255"/>
      <c r="AO249" s="206"/>
      <c r="AP249" s="255"/>
      <c r="AQ249" s="255"/>
      <c r="AR249" s="255"/>
    </row>
    <row r="250" spans="1:44" s="253" customFormat="1" ht="15.6" x14ac:dyDescent="0.3">
      <c r="A250" s="467"/>
      <c r="B250" s="19"/>
      <c r="C250" s="310"/>
      <c r="D250" s="265"/>
      <c r="E250" s="310"/>
      <c r="F250" s="473"/>
      <c r="G250" s="310"/>
      <c r="H250" s="473"/>
      <c r="I250" s="474"/>
      <c r="J250" s="474"/>
      <c r="K250" s="475"/>
      <c r="L250" s="19"/>
      <c r="M250" s="19"/>
      <c r="N250" s="476"/>
      <c r="O250" s="476"/>
      <c r="P250" s="476"/>
      <c r="Q250" s="473"/>
      <c r="R250" s="310"/>
      <c r="S250" s="473"/>
      <c r="T250" s="474"/>
      <c r="U250" s="474"/>
      <c r="AK250" s="255"/>
      <c r="AL250" s="255"/>
      <c r="AM250" s="255"/>
      <c r="AN250" s="255"/>
      <c r="AO250" s="206"/>
      <c r="AP250" s="255"/>
      <c r="AQ250" s="255"/>
      <c r="AR250" s="255"/>
    </row>
    <row r="251" spans="1:44" s="253" customFormat="1" ht="15.6" x14ac:dyDescent="0.3">
      <c r="A251" s="467"/>
      <c r="B251" s="19"/>
      <c r="C251" s="310"/>
      <c r="D251" s="265"/>
      <c r="E251" s="310"/>
      <c r="F251" s="473"/>
      <c r="G251" s="310"/>
      <c r="H251" s="473"/>
      <c r="I251" s="474"/>
      <c r="J251" s="474"/>
      <c r="K251" s="475"/>
      <c r="L251" s="19"/>
      <c r="M251" s="19"/>
      <c r="N251" s="476"/>
      <c r="O251" s="476"/>
      <c r="P251" s="476"/>
      <c r="Q251" s="473"/>
      <c r="R251" s="310"/>
      <c r="S251" s="473"/>
      <c r="T251" s="474"/>
      <c r="U251" s="474"/>
      <c r="AK251" s="255"/>
      <c r="AL251" s="255"/>
      <c r="AM251" s="255"/>
      <c r="AN251" s="255"/>
      <c r="AO251" s="206"/>
      <c r="AP251" s="255"/>
      <c r="AQ251" s="255"/>
      <c r="AR251" s="255"/>
    </row>
    <row r="252" spans="1:44" s="253" customFormat="1" x14ac:dyDescent="0.25">
      <c r="C252" s="13"/>
      <c r="D252" s="13"/>
      <c r="E252" s="13"/>
      <c r="AK252" s="255"/>
      <c r="AL252" s="255"/>
      <c r="AM252" s="255"/>
      <c r="AN252" s="255"/>
      <c r="AO252" s="206"/>
      <c r="AP252" s="255"/>
      <c r="AQ252" s="255"/>
      <c r="AR252" s="255"/>
    </row>
    <row r="253" spans="1:44" s="253" customFormat="1" x14ac:dyDescent="0.25">
      <c r="C253" s="13"/>
      <c r="D253" s="13"/>
      <c r="E253" s="13"/>
      <c r="AK253" s="255"/>
      <c r="AL253" s="255"/>
      <c r="AM253" s="255"/>
      <c r="AN253" s="255"/>
      <c r="AO253" s="206"/>
      <c r="AP253" s="255"/>
      <c r="AQ253" s="255"/>
      <c r="AR253" s="255"/>
    </row>
    <row r="254" spans="1:44" s="253" customFormat="1" x14ac:dyDescent="0.25">
      <c r="C254" s="13"/>
      <c r="D254" s="13"/>
      <c r="E254" s="13"/>
      <c r="AK254" s="255"/>
      <c r="AL254" s="255"/>
      <c r="AM254" s="255"/>
      <c r="AN254" s="255"/>
      <c r="AO254" s="206"/>
      <c r="AP254" s="255"/>
      <c r="AQ254" s="255"/>
      <c r="AR254" s="255"/>
    </row>
    <row r="255" spans="1:44" s="253" customFormat="1" x14ac:dyDescent="0.25">
      <c r="C255" s="13"/>
      <c r="D255" s="13"/>
      <c r="E255" s="13"/>
      <c r="AK255" s="255"/>
      <c r="AL255" s="255"/>
      <c r="AM255" s="255"/>
      <c r="AN255" s="255"/>
      <c r="AO255" s="206"/>
      <c r="AP255" s="255"/>
      <c r="AQ255" s="255"/>
      <c r="AR255" s="255"/>
    </row>
    <row r="256" spans="1:44" s="253" customFormat="1" x14ac:dyDescent="0.25">
      <c r="C256" s="13"/>
      <c r="D256" s="13"/>
      <c r="E256" s="13"/>
      <c r="AK256" s="255"/>
      <c r="AL256" s="255"/>
      <c r="AM256" s="255"/>
      <c r="AN256" s="255"/>
      <c r="AO256" s="206"/>
      <c r="AP256" s="255"/>
      <c r="AQ256" s="255"/>
      <c r="AR256" s="255"/>
    </row>
    <row r="257" spans="3:44" s="253" customFormat="1" x14ac:dyDescent="0.25">
      <c r="C257" s="13"/>
      <c r="D257" s="13"/>
      <c r="E257" s="13"/>
      <c r="AK257" s="255"/>
      <c r="AL257" s="255"/>
      <c r="AM257" s="255"/>
      <c r="AN257" s="255"/>
      <c r="AO257" s="206"/>
      <c r="AP257" s="255"/>
      <c r="AQ257" s="255"/>
      <c r="AR257" s="255"/>
    </row>
    <row r="258" spans="3:44" x14ac:dyDescent="0.25">
      <c r="C258" s="202"/>
      <c r="D258" s="202"/>
      <c r="E258" s="202"/>
      <c r="F258" s="254"/>
      <c r="G258" s="254"/>
      <c r="H258" s="254"/>
      <c r="I258" s="254"/>
      <c r="J258" s="254"/>
      <c r="K258" s="254"/>
      <c r="Q258" s="253"/>
      <c r="R258" s="253"/>
      <c r="S258" s="253"/>
      <c r="AK258" s="21"/>
      <c r="AL258" s="21"/>
      <c r="AM258" s="21"/>
      <c r="AN258" s="21"/>
      <c r="AO258" s="21"/>
      <c r="AP258" s="21"/>
      <c r="AQ258" s="21"/>
      <c r="AR258" s="21"/>
    </row>
    <row r="259" spans="3:44" x14ac:dyDescent="0.25">
      <c r="Q259" s="253"/>
      <c r="R259" s="253"/>
      <c r="S259" s="253"/>
    </row>
    <row r="260" spans="3:44" x14ac:dyDescent="0.25">
      <c r="Q260" s="253"/>
      <c r="R260" s="253"/>
      <c r="S260" s="253"/>
    </row>
    <row r="261" spans="3:44" x14ac:dyDescent="0.25">
      <c r="Q261" s="253"/>
      <c r="R261" s="253"/>
      <c r="S261" s="253"/>
    </row>
    <row r="262" spans="3:44" x14ac:dyDescent="0.25">
      <c r="N262" s="57"/>
      <c r="O262" s="62"/>
      <c r="P262" s="21"/>
      <c r="Q262" s="255"/>
      <c r="R262" s="255"/>
      <c r="S262" s="255"/>
      <c r="T262" s="255"/>
      <c r="U262" s="255"/>
      <c r="V262" s="255"/>
      <c r="W262" s="21"/>
      <c r="X262" s="21"/>
      <c r="Y262" s="21"/>
      <c r="Z262" s="21"/>
      <c r="AA262" s="21"/>
      <c r="AB262" s="21"/>
      <c r="AC262" s="21"/>
      <c r="AD262" s="21"/>
    </row>
    <row r="263" spans="3:44" x14ac:dyDescent="0.25">
      <c r="N263" s="57"/>
      <c r="O263" s="62"/>
      <c r="P263" s="21"/>
      <c r="Q263" s="21"/>
      <c r="R263" s="21"/>
      <c r="S263" s="21"/>
      <c r="T263" s="255"/>
      <c r="U263" s="255"/>
      <c r="V263" s="255"/>
      <c r="W263" s="21"/>
      <c r="X263" s="21"/>
      <c r="Y263" s="21"/>
      <c r="Z263" s="21"/>
      <c r="AA263" s="21"/>
      <c r="AB263" s="21"/>
      <c r="AC263" s="21"/>
      <c r="AD263" s="21"/>
    </row>
    <row r="264" spans="3:44" hidden="1" x14ac:dyDescent="0.25">
      <c r="N264" s="57"/>
      <c r="O264" s="62"/>
      <c r="P264" s="21"/>
      <c r="Q264" s="21"/>
      <c r="R264" s="21"/>
      <c r="S264" s="21"/>
      <c r="T264" s="255"/>
      <c r="U264" s="255"/>
      <c r="V264" s="255"/>
      <c r="W264" s="21"/>
      <c r="X264" s="21"/>
      <c r="Y264" s="21"/>
      <c r="Z264" s="21"/>
      <c r="AA264" s="21"/>
      <c r="AB264" s="21"/>
      <c r="AC264" s="21"/>
      <c r="AD264" s="21"/>
    </row>
    <row r="265" spans="3:44" hidden="1" x14ac:dyDescent="0.25">
      <c r="N265" s="57"/>
      <c r="O265" s="62"/>
      <c r="P265" s="21"/>
      <c r="Q265" s="21"/>
      <c r="R265" s="21"/>
      <c r="S265" s="21"/>
      <c r="T265" s="255"/>
      <c r="U265" s="255"/>
      <c r="V265" s="255"/>
      <c r="W265" s="21"/>
      <c r="X265" s="21"/>
      <c r="Y265" s="21"/>
      <c r="Z265" s="21"/>
      <c r="AA265" s="21"/>
      <c r="AB265" s="21"/>
      <c r="AC265" s="21"/>
      <c r="AD265" s="21"/>
    </row>
    <row r="266" spans="3:44" x14ac:dyDescent="0.25"/>
    <row r="267" spans="3:44" x14ac:dyDescent="0.25"/>
    <row r="268" spans="3:44" x14ac:dyDescent="0.25"/>
    <row r="269" spans="3:44" x14ac:dyDescent="0.25"/>
    <row r="270" spans="3:44" x14ac:dyDescent="0.25"/>
    <row r="271" spans="3:44" x14ac:dyDescent="0.25"/>
    <row r="272" spans="3:44" x14ac:dyDescent="0.25"/>
  </sheetData>
  <sheetProtection algorithmName="SHA-512" hashValue="xZloztU6uj4gLm+oimafDAnRmZs6qyZ/mtIICo27nmx7CZcIBN6eX5vl5/cDxAri5PaJskj5pJRG/QlFjqbSZw==" saltValue="lk2AMViJwW14mlOKAJ5hPA==" spinCount="100000" sheet="1" objects="1" scenarios="1"/>
  <mergeCells count="2">
    <mergeCell ref="A1:AA3"/>
    <mergeCell ref="A4:AE4"/>
  </mergeCells>
  <conditionalFormatting sqref="F36:F251">
    <cfRule type="cellIs" dxfId="4" priority="2" operator="greaterThan">
      <formula>$B$26</formula>
    </cfRule>
    <cfRule type="cellIs" dxfId="3" priority="3" operator="greaterThan">
      <formula>"B23"</formula>
    </cfRule>
  </conditionalFormatting>
  <dataValidations count="1">
    <dataValidation type="whole" errorStyle="information" allowBlank="1" showInputMessage="1" showErrorMessage="1" errorTitle="Resistance Table" error="Please enter a whole number between 1 and 5000000._x000a__x000a_If all cells are not completed, your dta may not plot correctly._x000a__x000a_If no resistive value is available select ok then enter,&quot;#N/A&quot; and select ok agian." promptTitle="Resistance Table" prompt="Enter a resistance from 1 to 5000000. " sqref="N36:P251" xr:uid="{00000000-0002-0000-0300-000000000000}">
      <formula1>1</formula1>
      <formula2>5000000</formula2>
    </dataValidation>
  </dataValidations>
  <hyperlinks>
    <hyperlink ref="A5" location="Main!K38" display="Return to Menu  " xr:uid="{00000000-0004-0000-0300-000000000000}"/>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1" id="{10439922-5792-4FCB-9566-3706433732FD}">
            <xm:f>AND(($B$19 &lt; 50), ($B$29 = Coefficients!$E$22))</xm:f>
            <x14:dxf>
              <fill>
                <patternFill>
                  <bgColor rgb="FFFFC000"/>
                </patternFill>
              </fill>
            </x14:dxf>
          </x14:cfRule>
          <xm:sqref>D227:D251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J202"/>
  <sheetViews>
    <sheetView showGridLines="0" topLeftCell="A12" zoomScale="80" zoomScaleNormal="80" workbookViewId="0">
      <selection activeCell="H23" sqref="H23"/>
    </sheetView>
  </sheetViews>
  <sheetFormatPr defaultColWidth="0" defaultRowHeight="13.2" zeroHeight="1" x14ac:dyDescent="0.25"/>
  <cols>
    <col min="1" max="1" width="14.6640625" style="30" customWidth="1"/>
    <col min="2" max="2" width="24.6640625" style="30" customWidth="1"/>
    <col min="3" max="3" width="21.109375" style="30" customWidth="1"/>
    <col min="4" max="4" width="17.88671875" style="30" customWidth="1"/>
    <col min="5" max="5" width="20.109375" style="30" customWidth="1"/>
    <col min="6" max="6" width="18.5546875" style="30" customWidth="1"/>
    <col min="7" max="7" width="14.6640625" style="30" customWidth="1"/>
    <col min="8" max="9" width="16.109375" style="30" customWidth="1"/>
    <col min="10" max="10" width="16.88671875" style="30" customWidth="1"/>
    <col min="11" max="11" width="14.44140625" style="30" customWidth="1"/>
    <col min="12" max="12" width="17" style="30" customWidth="1"/>
    <col min="13" max="13" width="16.6640625" style="30" customWidth="1"/>
    <col min="14" max="18" width="10.6640625" style="30" customWidth="1"/>
    <col min="19" max="23" width="10.6640625" style="30" hidden="1" customWidth="1"/>
    <col min="24" max="25" width="9.109375" style="30" hidden="1" customWidth="1"/>
    <col min="26" max="36" width="0" style="30" hidden="1" customWidth="1"/>
    <col min="37" max="16384" width="9.109375" style="30" hidden="1"/>
  </cols>
  <sheetData>
    <row r="1" spans="1:36" s="2" customFormat="1" x14ac:dyDescent="0.25">
      <c r="A1" s="760"/>
      <c r="B1" s="760"/>
      <c r="C1" s="760"/>
      <c r="D1" s="760"/>
      <c r="E1" s="760"/>
      <c r="F1" s="760"/>
      <c r="G1" s="760"/>
      <c r="H1" s="760"/>
      <c r="I1" s="760"/>
      <c r="J1" s="760"/>
      <c r="K1" s="760"/>
      <c r="L1" s="760"/>
      <c r="M1" s="760"/>
      <c r="N1" s="760"/>
      <c r="O1" s="760"/>
      <c r="P1" s="760"/>
      <c r="Q1" s="760"/>
      <c r="R1" s="760"/>
      <c r="S1" s="760"/>
      <c r="T1" s="760"/>
      <c r="U1" s="760"/>
      <c r="V1" s="1"/>
      <c r="W1" s="1"/>
      <c r="X1" s="1"/>
      <c r="Y1" s="1"/>
      <c r="Z1" s="1"/>
      <c r="AA1" s="1"/>
      <c r="AB1" s="1"/>
      <c r="AC1" s="1"/>
      <c r="AD1" s="1"/>
      <c r="AE1" s="1"/>
      <c r="AF1" s="1"/>
      <c r="AG1" s="1"/>
      <c r="AH1" s="1"/>
      <c r="AI1" s="1"/>
      <c r="AJ1" s="1"/>
    </row>
    <row r="2" spans="1:36" s="2" customFormat="1" x14ac:dyDescent="0.25">
      <c r="A2" s="760"/>
      <c r="B2" s="760"/>
      <c r="C2" s="760"/>
      <c r="D2" s="760"/>
      <c r="E2" s="760"/>
      <c r="F2" s="760"/>
      <c r="G2" s="760"/>
      <c r="H2" s="760"/>
      <c r="I2" s="760"/>
      <c r="J2" s="760"/>
      <c r="K2" s="760"/>
      <c r="L2" s="760"/>
      <c r="M2" s="760"/>
      <c r="N2" s="760"/>
      <c r="O2" s="760"/>
      <c r="P2" s="760"/>
      <c r="Q2" s="760"/>
      <c r="R2" s="760"/>
      <c r="S2" s="760"/>
      <c r="T2" s="760"/>
      <c r="U2" s="760"/>
      <c r="V2" s="1"/>
      <c r="W2" s="1"/>
      <c r="X2" s="1"/>
      <c r="Y2" s="1"/>
      <c r="Z2" s="1"/>
      <c r="AA2" s="1"/>
      <c r="AB2" s="1"/>
      <c r="AC2" s="1"/>
      <c r="AD2" s="1"/>
      <c r="AE2" s="1"/>
      <c r="AF2" s="1"/>
      <c r="AG2" s="1"/>
      <c r="AH2" s="1"/>
      <c r="AI2" s="1"/>
      <c r="AJ2" s="1"/>
    </row>
    <row r="3" spans="1:36" s="2" customFormat="1" x14ac:dyDescent="0.25">
      <c r="A3" s="760"/>
      <c r="B3" s="760"/>
      <c r="C3" s="760"/>
      <c r="D3" s="760"/>
      <c r="E3" s="760"/>
      <c r="F3" s="760"/>
      <c r="G3" s="760"/>
      <c r="H3" s="760"/>
      <c r="I3" s="760"/>
      <c r="J3" s="760"/>
      <c r="K3" s="760"/>
      <c r="L3" s="760"/>
      <c r="M3" s="760"/>
      <c r="N3" s="760"/>
      <c r="O3" s="760"/>
      <c r="P3" s="760"/>
      <c r="Q3" s="760"/>
      <c r="R3" s="760"/>
      <c r="S3" s="760"/>
      <c r="T3" s="760"/>
      <c r="U3" s="760"/>
      <c r="V3" s="1"/>
      <c r="W3" s="1"/>
      <c r="X3" s="1"/>
      <c r="Y3" s="1"/>
      <c r="Z3" s="1"/>
      <c r="AA3" s="1"/>
      <c r="AB3" s="1"/>
      <c r="AC3" s="1"/>
      <c r="AD3" s="1"/>
      <c r="AE3" s="1"/>
      <c r="AF3" s="1"/>
      <c r="AG3" s="1"/>
      <c r="AH3" s="1"/>
      <c r="AI3" s="1"/>
      <c r="AJ3" s="1"/>
    </row>
    <row r="4" spans="1:36" s="2" customFormat="1" ht="12.75" customHeight="1" x14ac:dyDescent="0.25">
      <c r="A4" s="761"/>
      <c r="B4" s="762"/>
      <c r="C4" s="762"/>
      <c r="D4" s="762"/>
      <c r="E4" s="762"/>
      <c r="F4" s="762"/>
      <c r="G4" s="762"/>
      <c r="H4" s="762"/>
      <c r="I4" s="762"/>
      <c r="J4" s="762"/>
      <c r="K4" s="762"/>
      <c r="L4" s="762"/>
      <c r="M4" s="762"/>
      <c r="N4" s="762"/>
      <c r="O4" s="762"/>
      <c r="P4" s="762"/>
      <c r="Q4" s="762"/>
      <c r="R4" s="762"/>
      <c r="S4" s="762"/>
      <c r="T4" s="762"/>
      <c r="U4" s="762"/>
      <c r="V4" s="762"/>
      <c r="W4" s="762"/>
      <c r="X4" s="762"/>
      <c r="Y4" s="762"/>
      <c r="Z4" s="1"/>
      <c r="AA4" s="1"/>
      <c r="AB4" s="1"/>
      <c r="AC4" s="1"/>
      <c r="AD4" s="1"/>
      <c r="AE4" s="1"/>
      <c r="AF4" s="1"/>
      <c r="AG4" s="1"/>
      <c r="AH4" s="1"/>
      <c r="AI4" s="1"/>
      <c r="AJ4" s="1"/>
    </row>
    <row r="5" spans="1:36" ht="15" x14ac:dyDescent="0.25">
      <c r="A5" s="460" t="s">
        <v>71</v>
      </c>
      <c r="B5" s="12"/>
      <c r="C5" s="12"/>
    </row>
    <row r="6" spans="1:36" ht="15.6" x14ac:dyDescent="0.3">
      <c r="A6" s="136"/>
      <c r="B6" s="169"/>
      <c r="C6" s="169"/>
      <c r="D6" s="42"/>
    </row>
    <row r="7" spans="1:36" s="256" customFormat="1" ht="15.6" x14ac:dyDescent="0.3">
      <c r="A7" s="136"/>
      <c r="B7" s="257"/>
      <c r="C7" s="257"/>
      <c r="D7" s="257"/>
    </row>
    <row r="8" spans="1:36" s="256" customFormat="1" ht="15.6" x14ac:dyDescent="0.3">
      <c r="A8" s="136"/>
      <c r="B8" s="257"/>
      <c r="C8" s="257"/>
      <c r="D8" s="257"/>
    </row>
    <row r="9" spans="1:36" s="256" customFormat="1" ht="15.6" x14ac:dyDescent="0.3">
      <c r="A9" s="136"/>
      <c r="B9" s="257"/>
      <c r="C9" s="257"/>
      <c r="D9" s="257"/>
    </row>
    <row r="10" spans="1:36" s="256" customFormat="1" ht="15.6" x14ac:dyDescent="0.3">
      <c r="A10" s="136"/>
      <c r="B10" s="257"/>
      <c r="C10" s="257"/>
      <c r="D10" s="257"/>
    </row>
    <row r="11" spans="1:36" s="256" customFormat="1" ht="15.6" x14ac:dyDescent="0.3">
      <c r="A11" s="136"/>
      <c r="B11" s="257"/>
      <c r="C11" s="257"/>
      <c r="D11" s="257"/>
    </row>
    <row r="12" spans="1:36" s="256" customFormat="1" ht="15.6" x14ac:dyDescent="0.3">
      <c r="A12" s="136"/>
      <c r="B12" s="257"/>
      <c r="C12" s="257"/>
      <c r="D12" s="257"/>
    </row>
    <row r="13" spans="1:36" s="42" customFormat="1" ht="15.6" x14ac:dyDescent="0.3">
      <c r="A13" s="136"/>
    </row>
    <row r="14" spans="1:36" s="169" customFormat="1" ht="15.6" x14ac:dyDescent="0.3">
      <c r="A14" s="136"/>
    </row>
    <row r="15" spans="1:36" s="169" customFormat="1" ht="15.6" x14ac:dyDescent="0.3">
      <c r="A15" s="136"/>
    </row>
    <row r="16" spans="1:36" s="169" customFormat="1" ht="15.6" x14ac:dyDescent="0.3">
      <c r="A16" s="136"/>
    </row>
    <row r="17" spans="1:18" s="169" customFormat="1" ht="15.6" x14ac:dyDescent="0.3">
      <c r="A17" s="136"/>
    </row>
    <row r="18" spans="1:18" s="169" customFormat="1" ht="15.6" x14ac:dyDescent="0.3">
      <c r="A18" s="136"/>
    </row>
    <row r="19" spans="1:18" s="169" customFormat="1" ht="15.6" x14ac:dyDescent="0.3">
      <c r="A19" s="136"/>
    </row>
    <row r="20" spans="1:18" x14ac:dyDescent="0.25"/>
    <row r="21" spans="1:18" x14ac:dyDescent="0.25"/>
    <row r="22" spans="1:18" ht="15.6" x14ac:dyDescent="0.3">
      <c r="A22" s="538" t="s">
        <v>252</v>
      </c>
      <c r="B22" s="283" t="str">
        <f>Main!$N$22</f>
        <v>TMP6131DECR</v>
      </c>
      <c r="C22" s="483"/>
    </row>
    <row r="23" spans="1:18" ht="15.6" x14ac:dyDescent="0.3">
      <c r="A23" s="538" t="s">
        <v>442</v>
      </c>
      <c r="B23" s="361">
        <f>Main!$N$25</f>
        <v>140</v>
      </c>
      <c r="C23" s="273" t="s">
        <v>441</v>
      </c>
    </row>
    <row r="24" spans="1:18" ht="15.6" x14ac:dyDescent="0.3">
      <c r="A24" s="538" t="s">
        <v>42</v>
      </c>
      <c r="B24" s="312">
        <f>Main!$N$28</f>
        <v>12</v>
      </c>
      <c r="C24" s="273" t="s">
        <v>16</v>
      </c>
    </row>
    <row r="25" spans="1:18" s="167" customFormat="1" ht="15.6" x14ac:dyDescent="0.3">
      <c r="A25" s="538" t="s">
        <v>265</v>
      </c>
      <c r="B25" s="355">
        <f>Main!$N$31</f>
        <v>3</v>
      </c>
      <c r="C25" s="273" t="s">
        <v>2</v>
      </c>
      <c r="D25" s="30"/>
      <c r="E25" s="30"/>
    </row>
    <row r="26" spans="1:18" s="167" customFormat="1" x14ac:dyDescent="0.25"/>
    <row r="27" spans="1:18" s="167" customFormat="1" x14ac:dyDescent="0.25"/>
    <row r="28" spans="1:18" ht="15" x14ac:dyDescent="0.25">
      <c r="A28" s="256"/>
      <c r="B28" s="460" t="s">
        <v>209</v>
      </c>
    </row>
    <row r="29" spans="1:18" ht="15" customHeight="1" x14ac:dyDescent="0.25">
      <c r="A29" s="256"/>
    </row>
    <row r="30" spans="1:18" ht="15.75" hidden="1" customHeight="1" x14ac:dyDescent="0.25">
      <c r="A30" s="256"/>
    </row>
    <row r="31" spans="1:18" ht="18.75" hidden="1" customHeight="1" x14ac:dyDescent="0.25">
      <c r="A31" s="256"/>
      <c r="B31" s="128" t="s">
        <v>73</v>
      </c>
      <c r="C31" s="128" t="s">
        <v>74</v>
      </c>
      <c r="D31" s="128" t="s">
        <v>48</v>
      </c>
      <c r="E31" s="128" t="s">
        <v>46</v>
      </c>
      <c r="F31" s="128" t="s">
        <v>75</v>
      </c>
      <c r="G31" s="128" t="s">
        <v>76</v>
      </c>
      <c r="H31" s="14"/>
      <c r="I31" s="14"/>
      <c r="J31" s="14"/>
      <c r="K31" s="14"/>
      <c r="L31" s="14"/>
      <c r="M31" s="14"/>
      <c r="N31" s="14"/>
      <c r="P31" s="14"/>
      <c r="Q31" s="14"/>
      <c r="R31" s="12"/>
    </row>
    <row r="32" spans="1:18" ht="19.5" hidden="1" customHeight="1" x14ac:dyDescent="0.25">
      <c r="A32" s="256"/>
      <c r="B32" s="128" t="s">
        <v>77</v>
      </c>
      <c r="C32" s="129">
        <f>VLOOKUP(Main!$N$22&amp;"A0",Coefficients!$E$46:$K$206,3,FALSE)</f>
        <v>8336.1922979999999</v>
      </c>
      <c r="D32" s="129">
        <f>VLOOKUP(Main!$N$22&amp;"A0",Coefficients!$E$46:$K$206,4,FALSE)</f>
        <v>0.85087721900000002</v>
      </c>
      <c r="E32" s="129">
        <f>VLOOKUP(Main!$N$22&amp;"A0",Coefficients!$E$46:$K$206,5,FALSE)</f>
        <v>7.4177200000000003E-4</v>
      </c>
      <c r="F32" s="129">
        <f>VLOOKUP(Main!$N$22&amp;"A0",Coefficients!$E$46:$K$206,6,FALSE)</f>
        <v>-4.5154400000000003E-6</v>
      </c>
      <c r="G32" s="129">
        <f>VLOOKUP(Main!$N$22&amp;"A0",Coefficients!$E$46:$K$206,7,FALSE)</f>
        <v>6.1129499999999997E-9</v>
      </c>
      <c r="H32" s="14"/>
      <c r="I32" s="14"/>
      <c r="J32" s="14"/>
      <c r="K32" s="14"/>
      <c r="L32" s="14"/>
      <c r="M32" s="14"/>
      <c r="N32" s="14"/>
      <c r="P32" s="14"/>
      <c r="Q32" s="14"/>
      <c r="R32" s="12"/>
    </row>
    <row r="33" spans="1:18" ht="15.75" hidden="1" customHeight="1" x14ac:dyDescent="0.25">
      <c r="A33" s="256"/>
      <c r="B33" s="128" t="s">
        <v>78</v>
      </c>
      <c r="C33" s="129">
        <f>VLOOKUP(Main!$N$22&amp;"A1",Coefficients!$E$46:$K$206,3,FALSE)</f>
        <v>53.621426710000001</v>
      </c>
      <c r="D33" s="129">
        <f>VLOOKUP(Main!$N$22&amp;"A1",Coefficients!$E$46:$K$206,4,FALSE)</f>
        <v>1.3152947999999999E-2</v>
      </c>
      <c r="E33" s="129">
        <f>VLOOKUP(Main!$N$22&amp;"A1",Coefficients!$E$46:$K$206,5,FALSE)</f>
        <v>-2.1774399999999999E-5</v>
      </c>
      <c r="F33" s="129">
        <f>VLOOKUP(Main!$N$22&amp;"A1",Coefficients!$E$46:$K$206,6,FALSE)</f>
        <v>6.2481399999999997E-8</v>
      </c>
      <c r="G33" s="129">
        <f>VLOOKUP(Main!$N$22&amp;"A1",Coefficients!$E$46:$K$206,7,FALSE)</f>
        <v>-7.1623299999999999E-11</v>
      </c>
      <c r="H33" s="14"/>
      <c r="I33" s="14"/>
      <c r="J33" s="14"/>
      <c r="K33" s="14"/>
      <c r="L33" s="14"/>
      <c r="M33" s="14"/>
      <c r="N33" s="14"/>
      <c r="P33" s="14"/>
      <c r="Q33" s="14"/>
      <c r="R33" s="12"/>
    </row>
    <row r="34" spans="1:18" ht="18.75" hidden="1" customHeight="1" x14ac:dyDescent="0.25">
      <c r="A34" s="256"/>
      <c r="B34" s="128" t="s">
        <v>79</v>
      </c>
      <c r="C34" s="129">
        <f>VLOOKUP(Main!$N$22&amp;"A2",Coefficients!$E$46:$K$206,3,FALSE)</f>
        <v>0.14621231500000001</v>
      </c>
      <c r="D34" s="129">
        <f>VLOOKUP(Main!$N$22&amp;"A2",Coefficients!$E$46:$K$206,4,FALSE)</f>
        <v>4.7622099999999999E-5</v>
      </c>
      <c r="E34" s="129">
        <f>VLOOKUP(Main!$N$22&amp;"A2",Coefficients!$E$46:$K$206,5,FALSE)</f>
        <v>1.5429099999999999E-7</v>
      </c>
      <c r="F34" s="129">
        <f>VLOOKUP(Main!$N$22&amp;"A2",Coefficients!$E$46:$K$206,6,FALSE)</f>
        <v>-8.7079700000000001E-10</v>
      </c>
      <c r="G34" s="129">
        <f>VLOOKUP(Main!$N$22&amp;"A2",Coefficients!$E$46:$K$206,7,FALSE)</f>
        <v>1.2658699999999999E-12</v>
      </c>
      <c r="H34" s="14"/>
      <c r="I34" s="14"/>
      <c r="J34" s="14"/>
      <c r="K34" s="14"/>
      <c r="L34" s="14"/>
      <c r="M34" s="14"/>
      <c r="N34" s="14"/>
      <c r="P34" s="14"/>
      <c r="Q34" s="14"/>
      <c r="R34" s="12"/>
    </row>
    <row r="35" spans="1:18" ht="17.25" hidden="1" customHeight="1" x14ac:dyDescent="0.25">
      <c r="A35" s="256"/>
      <c r="B35" s="128" t="s">
        <v>80</v>
      </c>
      <c r="C35" s="129">
        <f>VLOOKUP(Main!$N$22&amp;"A3",Coefficients!$E$46:$K$206,3,FALSE)</f>
        <v>-1.75921E-4</v>
      </c>
      <c r="D35" s="129">
        <f>VLOOKUP(Main!$N$22&amp;"A3",Coefficients!$E$46:$K$206,4,FALSE)</f>
        <v>5.6821200000000003E-7</v>
      </c>
      <c r="E35" s="129">
        <f>VLOOKUP(Main!$N$22&amp;"A3",Coefficients!$E$46:$K$206,5,FALSE)</f>
        <v>-6.1127000000000002E-9</v>
      </c>
      <c r="F35" s="129">
        <f>VLOOKUP(Main!$N$22&amp;"A3",Coefficients!$E$46:$K$206,6,FALSE)</f>
        <v>2.37788E-11</v>
      </c>
      <c r="G35" s="129">
        <f>VLOOKUP(Main!$N$22&amp;"A3",Coefficients!$E$46:$K$206,7,FALSE)</f>
        <v>-3.0692499999999998E-14</v>
      </c>
      <c r="H35" s="14"/>
      <c r="I35" s="14"/>
      <c r="J35" s="14"/>
      <c r="K35" s="14"/>
      <c r="L35" s="14"/>
      <c r="M35" s="14"/>
      <c r="N35" s="14"/>
      <c r="P35" s="14"/>
      <c r="Q35" s="14"/>
      <c r="R35" s="12"/>
    </row>
    <row r="36" spans="1:18" ht="17.25" hidden="1" customHeight="1" x14ac:dyDescent="0.25">
      <c r="A36" s="256"/>
      <c r="B36" s="128" t="s">
        <v>81</v>
      </c>
      <c r="C36" s="129">
        <f>VLOOKUP(Main!$N$22&amp;"A4",Coefficients!$E$46:$K$206,3,FALSE)</f>
        <v>1.53386E-6</v>
      </c>
      <c r="D36" s="129">
        <f>VLOOKUP(Main!$N$22&amp;"A4",Coefficients!$E$46:$K$206,4,FALSE)</f>
        <v>2.5814800000000001E-9</v>
      </c>
      <c r="E36" s="129">
        <f>VLOOKUP(Main!$N$22&amp;"A4",Coefficients!$E$46:$K$206,5,FALSE)</f>
        <v>-9.6063899999999998E-12</v>
      </c>
      <c r="F36" s="129">
        <f>VLOOKUP(Main!$N$22&amp;"A4",Coefficients!$E$46:$K$206,6,FALSE)</f>
        <v>4.2224800000000002E-14</v>
      </c>
      <c r="G36" s="129">
        <f>VLOOKUP(Main!$N$22&amp;"A4",Coefficients!$E$46:$K$206,7,FALSE)</f>
        <v>-5.38927E-17</v>
      </c>
      <c r="H36" s="14"/>
      <c r="I36" s="14"/>
      <c r="J36" s="14"/>
      <c r="K36" s="14"/>
      <c r="L36" s="14"/>
      <c r="M36" s="14"/>
      <c r="N36" s="14"/>
      <c r="P36" s="14"/>
      <c r="Q36" s="14"/>
      <c r="R36" s="12"/>
    </row>
    <row r="37" spans="1:18" ht="17.25" hidden="1" customHeight="1" x14ac:dyDescent="0.25">
      <c r="B37" s="130"/>
      <c r="C37" s="21"/>
      <c r="D37" s="21"/>
      <c r="E37" s="21"/>
      <c r="F37" s="21"/>
      <c r="G37" s="21"/>
      <c r="H37" s="14"/>
      <c r="I37" s="14"/>
      <c r="J37" s="14"/>
      <c r="K37" s="14"/>
      <c r="L37" s="14"/>
      <c r="M37" s="14"/>
      <c r="N37" s="14"/>
      <c r="P37" s="14"/>
      <c r="Q37" s="14"/>
      <c r="R37" s="12"/>
    </row>
    <row r="38" spans="1:18" ht="14.25" hidden="1" customHeight="1" x14ac:dyDescent="0.25">
      <c r="B38" s="66" t="s">
        <v>86</v>
      </c>
      <c r="C38" s="12"/>
      <c r="D38" s="12"/>
      <c r="E38" s="12"/>
      <c r="F38" s="12"/>
      <c r="G38" s="12"/>
      <c r="H38" s="12"/>
      <c r="I38" s="12"/>
      <c r="J38" s="66" t="s">
        <v>33</v>
      </c>
      <c r="K38" s="12"/>
      <c r="L38" s="12"/>
      <c r="M38" s="12"/>
      <c r="N38" s="12"/>
      <c r="P38" s="12"/>
      <c r="Q38" s="12"/>
      <c r="R38" s="12"/>
    </row>
    <row r="39" spans="1:18" ht="14.25" hidden="1" customHeight="1" x14ac:dyDescent="0.25">
      <c r="B39" s="125" t="s">
        <v>77</v>
      </c>
      <c r="C39" s="125" t="s">
        <v>78</v>
      </c>
      <c r="D39" s="125" t="s">
        <v>79</v>
      </c>
      <c r="E39" s="125" t="s">
        <v>80</v>
      </c>
      <c r="F39" s="125" t="s">
        <v>81</v>
      </c>
      <c r="G39" s="76"/>
      <c r="H39" s="76"/>
      <c r="I39" s="81" t="s">
        <v>81</v>
      </c>
      <c r="J39" s="81" t="s">
        <v>80</v>
      </c>
      <c r="K39" s="81" t="s">
        <v>79</v>
      </c>
      <c r="L39" s="81" t="s">
        <v>78</v>
      </c>
      <c r="M39" s="81" t="s">
        <v>77</v>
      </c>
      <c r="N39" s="78"/>
      <c r="Q39" s="12"/>
      <c r="R39" s="12"/>
    </row>
    <row r="40" spans="1:18" ht="15.75" hidden="1" customHeight="1" x14ac:dyDescent="0.25">
      <c r="B40" s="175">
        <f>$C$32+$D$32*Main!$N$25+$E$32*Main!$N$25*Main!$N$25+$F$32*Main!$N$25*Main!$N$25*Main!$N$25+$G$32*Main!$N$25*Main!$N$25*Main!$N$25*Main!$N$25</f>
        <v>8459.8118233719997</v>
      </c>
      <c r="C40" s="175">
        <f>$C$33+$D$33*Main!$N$25+$E$33*Main!$N$25*Main!$N$25+$F$33*Main!$N$25*Main!$N$25*Main!$N$25+$G$33*Main!$N$25*Main!$N$25*Main!$N$25*Main!$N$25</f>
        <v>55.179995344672008</v>
      </c>
      <c r="D40" s="175">
        <f>$C$34+$D$34*Main!$N$25+$E$34*Main!$N$25*Main!$N$25+$F$34*Main!$N$25*Main!$N$25*Main!$N$25+$G$34*Main!$N$25*Main!$N$25*Main!$N$25*Main!$N$25</f>
        <v>0.15400034225120002</v>
      </c>
      <c r="E40" s="175">
        <f>$C$35+$D$35*Main!$N$25+$E$35*Main!$N$25*Main!$N$25+$F$35*Main!$N$25*Main!$N$25*Main!$N$25+$G$35*Main!$N$25*Main!$N$25*Main!$N$25*Main!$N$25</f>
        <v>-1.6272204360000004E-4</v>
      </c>
      <c r="F40" s="175">
        <f>$C$36+$D$36*Main!$N$25+$E$36*Main!$N$25*Main!$N$25+$F$36*Main!$N$25*Main!$N$25*Main!$N$25+$G$36*Main!$N$25*Main!$N$25*Main!$N$25*Main!$N$25</f>
        <v>1.802143387568E-6</v>
      </c>
      <c r="G40" s="75" t="s">
        <v>82</v>
      </c>
      <c r="H40" s="12"/>
      <c r="I40" s="176">
        <f t="array" ref="I40:M40">IF((VLOOKUP(Main!$N$22,Coefficients!$E$2:$H$28,4,FALSE)) = 125,LINEST('Device Resistance Tables'!$B$24:$B$189,'Device Resistance Tables'!$E$24:$E$189^{1,2,3,4},TRUE,FALSE),LINEST('Device Resistance Tables'!$B$24:$B$214,'Device Resistance Tables'!$E$24:$E$214^{1,2,3,4},TRUE,FALSE))</f>
        <v>-2.8988744677035369E-15</v>
      </c>
      <c r="J40" s="176">
        <v>1.6708826140472028E-10</v>
      </c>
      <c r="K40" s="176">
        <v>-3.9230348594311651E-6</v>
      </c>
      <c r="L40" s="176">
        <v>5.5802134367236168E-2</v>
      </c>
      <c r="M40" s="176">
        <v>-277.66082224461309</v>
      </c>
      <c r="N40" s="75" t="s">
        <v>58</v>
      </c>
      <c r="Q40" s="12"/>
      <c r="R40" s="12"/>
    </row>
    <row r="41" spans="1:18" ht="14.4" hidden="1" x14ac:dyDescent="0.25">
      <c r="B41" s="22"/>
      <c r="C41" s="21"/>
      <c r="D41" s="82"/>
      <c r="E41" s="82"/>
      <c r="F41" s="82"/>
      <c r="G41" s="82"/>
      <c r="H41" s="12"/>
      <c r="I41" s="12"/>
      <c r="J41" s="12"/>
      <c r="K41" s="12"/>
      <c r="L41" s="12"/>
      <c r="M41" s="12"/>
      <c r="N41" s="12"/>
      <c r="O41" s="12"/>
      <c r="P41" s="12"/>
      <c r="Q41" s="12"/>
      <c r="R41" s="12"/>
    </row>
    <row r="42" spans="1:18" ht="14.4" x14ac:dyDescent="0.25">
      <c r="B42" s="22"/>
      <c r="C42" s="21"/>
      <c r="D42" s="82"/>
      <c r="E42" s="82"/>
      <c r="F42" s="82"/>
      <c r="G42" s="82"/>
      <c r="H42" s="12"/>
      <c r="I42" s="12"/>
      <c r="J42" s="12"/>
      <c r="K42" s="12"/>
      <c r="L42" s="12"/>
      <c r="M42" s="12"/>
      <c r="N42" s="12"/>
      <c r="O42" s="12"/>
      <c r="P42" s="12"/>
      <c r="Q42" s="12"/>
      <c r="R42" s="12"/>
    </row>
    <row r="43" spans="1:18" ht="14.4" x14ac:dyDescent="0.25">
      <c r="B43" s="22"/>
      <c r="C43" s="21"/>
      <c r="D43" s="82"/>
      <c r="E43" s="82"/>
      <c r="F43" s="82"/>
      <c r="G43" s="82"/>
      <c r="H43" s="12"/>
      <c r="I43" s="12"/>
      <c r="J43" s="12"/>
      <c r="K43" s="12"/>
      <c r="L43" s="12"/>
      <c r="M43" s="12"/>
      <c r="N43" s="12"/>
      <c r="O43" s="12"/>
      <c r="P43" s="12"/>
      <c r="Q43" s="12"/>
      <c r="R43" s="12"/>
    </row>
    <row r="44" spans="1:18" ht="14.4" x14ac:dyDescent="0.25">
      <c r="B44" s="22"/>
      <c r="C44" s="21"/>
      <c r="D44" s="82"/>
      <c r="E44" s="82"/>
      <c r="F44" s="82"/>
      <c r="G44" s="82"/>
      <c r="H44" s="12"/>
      <c r="I44" s="440"/>
      <c r="J44" s="12"/>
      <c r="K44" s="12"/>
      <c r="L44" s="12"/>
      <c r="M44" s="12"/>
      <c r="N44" s="12"/>
      <c r="O44" s="12"/>
      <c r="P44" s="12"/>
      <c r="Q44" s="12"/>
      <c r="R44" s="12"/>
    </row>
    <row r="45" spans="1:18" ht="14.4" x14ac:dyDescent="0.25">
      <c r="B45" s="22"/>
      <c r="C45" s="21"/>
      <c r="D45" s="82"/>
      <c r="E45" s="82"/>
      <c r="F45" s="82"/>
      <c r="G45" s="82"/>
      <c r="H45" s="12"/>
      <c r="I45" s="12"/>
      <c r="J45" s="12"/>
      <c r="K45" s="12"/>
      <c r="L45" s="12"/>
      <c r="M45" s="12"/>
      <c r="N45" s="12"/>
      <c r="O45" s="12"/>
      <c r="P45" s="12"/>
      <c r="Q45" s="12"/>
      <c r="R45" s="12"/>
    </row>
    <row r="46" spans="1:18" ht="14.4" x14ac:dyDescent="0.25">
      <c r="B46" s="22"/>
      <c r="C46" s="21"/>
      <c r="D46" s="82"/>
      <c r="E46" s="82"/>
      <c r="F46" s="82"/>
      <c r="G46" s="82"/>
      <c r="H46" s="12"/>
      <c r="I46" s="12"/>
      <c r="J46" s="12"/>
      <c r="K46" s="12"/>
      <c r="L46" s="12"/>
      <c r="M46" s="12"/>
      <c r="N46" s="12"/>
      <c r="O46" s="12"/>
      <c r="P46" s="12"/>
      <c r="Q46" s="12"/>
      <c r="R46" s="12"/>
    </row>
    <row r="47" spans="1:18" ht="14.4" x14ac:dyDescent="0.25">
      <c r="B47" s="22"/>
      <c r="C47" s="21"/>
      <c r="D47" s="82"/>
      <c r="E47" s="82"/>
      <c r="F47" s="82"/>
      <c r="G47" s="82"/>
      <c r="H47" s="12"/>
      <c r="I47" s="12"/>
      <c r="J47" s="12"/>
      <c r="K47" s="12"/>
      <c r="L47" s="12"/>
      <c r="M47" s="12"/>
      <c r="N47" s="12"/>
      <c r="O47" s="12"/>
      <c r="P47" s="12"/>
      <c r="Q47" s="12"/>
      <c r="R47" s="12"/>
    </row>
    <row r="48" spans="1:18" ht="14.4" x14ac:dyDescent="0.25">
      <c r="B48" s="22"/>
      <c r="C48" s="21"/>
      <c r="D48" s="82"/>
      <c r="E48" s="82"/>
      <c r="F48" s="82"/>
      <c r="G48" s="82"/>
      <c r="H48" s="12"/>
      <c r="I48" s="12"/>
      <c r="J48" s="12"/>
      <c r="K48" s="12"/>
      <c r="L48" s="12"/>
      <c r="M48" s="12"/>
      <c r="N48" s="12"/>
      <c r="O48" s="12"/>
      <c r="P48" s="12"/>
      <c r="Q48" s="12"/>
      <c r="R48" s="12"/>
    </row>
    <row r="49" spans="2:18" ht="14.4" x14ac:dyDescent="0.25">
      <c r="B49" s="22"/>
      <c r="C49" s="21"/>
      <c r="D49" s="82"/>
      <c r="E49" s="82"/>
      <c r="F49" s="82"/>
      <c r="G49" s="82"/>
      <c r="H49" s="12"/>
      <c r="I49" s="12"/>
      <c r="J49" s="12"/>
      <c r="K49" s="12"/>
      <c r="L49" s="12"/>
      <c r="M49" s="12"/>
      <c r="N49" s="12"/>
      <c r="O49" s="12"/>
      <c r="P49" s="12"/>
      <c r="Q49" s="12"/>
      <c r="R49" s="12"/>
    </row>
    <row r="50" spans="2:18" ht="14.4" x14ac:dyDescent="0.25">
      <c r="B50" s="22"/>
      <c r="C50" s="21"/>
      <c r="D50" s="82"/>
      <c r="E50" s="82"/>
      <c r="F50" s="82"/>
      <c r="G50" s="82"/>
      <c r="H50" s="12"/>
      <c r="I50" s="12"/>
      <c r="J50" s="12"/>
      <c r="K50" s="12"/>
      <c r="L50" s="12"/>
      <c r="M50" s="12"/>
      <c r="N50" s="12"/>
      <c r="O50" s="12"/>
      <c r="P50" s="12"/>
      <c r="Q50" s="12"/>
      <c r="R50" s="12"/>
    </row>
    <row r="51" spans="2:18" ht="14.4" x14ac:dyDescent="0.25">
      <c r="B51" s="22"/>
      <c r="C51" s="21"/>
      <c r="D51" s="82"/>
      <c r="E51" s="82"/>
      <c r="F51" s="82"/>
      <c r="G51" s="82"/>
      <c r="H51" s="12"/>
      <c r="I51" s="12"/>
      <c r="J51" s="12"/>
      <c r="K51" s="12"/>
      <c r="L51" s="12"/>
      <c r="M51" s="12"/>
      <c r="N51" s="12"/>
      <c r="O51" s="12"/>
      <c r="P51" s="12"/>
      <c r="Q51" s="12"/>
      <c r="R51" s="12"/>
    </row>
    <row r="52" spans="2:18" ht="14.4" x14ac:dyDescent="0.25">
      <c r="B52" s="22"/>
      <c r="C52" s="21"/>
      <c r="D52" s="82"/>
      <c r="E52" s="82"/>
      <c r="F52" s="82"/>
      <c r="G52" s="82"/>
      <c r="H52" s="12"/>
      <c r="I52" s="12"/>
      <c r="J52" s="12"/>
      <c r="K52" s="12"/>
      <c r="L52" s="12"/>
      <c r="M52" s="12"/>
      <c r="N52" s="12"/>
      <c r="O52" s="12"/>
      <c r="P52" s="12"/>
      <c r="Q52" s="12"/>
      <c r="R52" s="12"/>
    </row>
    <row r="53" spans="2:18" ht="14.4" x14ac:dyDescent="0.25">
      <c r="B53" s="22"/>
      <c r="C53" s="21"/>
      <c r="D53" s="82"/>
      <c r="E53" s="82"/>
      <c r="F53" s="82"/>
      <c r="G53" s="82"/>
      <c r="H53" s="12"/>
      <c r="I53" s="12"/>
      <c r="J53" s="12"/>
      <c r="K53" s="12"/>
      <c r="L53" s="12"/>
      <c r="M53" s="12"/>
      <c r="N53" s="12"/>
      <c r="O53" s="12"/>
      <c r="P53" s="12"/>
      <c r="Q53" s="12"/>
      <c r="R53" s="12"/>
    </row>
    <row r="54" spans="2:18" ht="14.4" x14ac:dyDescent="0.25">
      <c r="B54" s="22"/>
      <c r="C54" s="21"/>
      <c r="D54" s="82"/>
      <c r="E54" s="82"/>
      <c r="F54" s="82"/>
      <c r="G54" s="82"/>
      <c r="H54" s="12"/>
      <c r="I54" s="12"/>
      <c r="J54" s="12"/>
      <c r="K54" s="12"/>
      <c r="L54" s="12"/>
      <c r="M54" s="12"/>
      <c r="N54" s="12"/>
      <c r="O54" s="12"/>
      <c r="P54" s="12"/>
      <c r="Q54" s="12"/>
      <c r="R54" s="12"/>
    </row>
    <row r="55" spans="2:18" ht="14.4" x14ac:dyDescent="0.25">
      <c r="B55" s="22"/>
      <c r="C55" s="21"/>
      <c r="D55" s="82"/>
      <c r="E55" s="82"/>
      <c r="F55" s="82"/>
      <c r="G55" s="82"/>
      <c r="H55" s="12"/>
      <c r="I55" s="12"/>
      <c r="J55" s="12"/>
      <c r="K55" s="12"/>
      <c r="L55" s="12"/>
      <c r="M55" s="12"/>
      <c r="N55" s="12"/>
      <c r="O55" s="12"/>
      <c r="P55" s="12"/>
      <c r="Q55" s="12"/>
      <c r="R55" s="12"/>
    </row>
    <row r="56" spans="2:18" ht="14.4" x14ac:dyDescent="0.25">
      <c r="B56" s="22"/>
      <c r="C56" s="21"/>
      <c r="D56" s="82"/>
      <c r="E56" s="82"/>
      <c r="F56" s="82"/>
      <c r="G56" s="82"/>
      <c r="H56" s="12"/>
      <c r="I56" s="12"/>
      <c r="J56" s="12"/>
      <c r="K56" s="12"/>
      <c r="L56" s="12"/>
      <c r="M56" s="12"/>
      <c r="N56" s="12"/>
      <c r="O56" s="12"/>
      <c r="P56" s="12"/>
      <c r="Q56" s="12"/>
      <c r="R56" s="12"/>
    </row>
    <row r="57" spans="2:18" ht="14.4" x14ac:dyDescent="0.25">
      <c r="B57" s="22"/>
      <c r="C57" s="21"/>
      <c r="D57" s="82"/>
      <c r="E57" s="82"/>
      <c r="F57" s="82"/>
      <c r="G57" s="82"/>
      <c r="H57" s="12"/>
      <c r="I57" s="12"/>
      <c r="J57" s="12"/>
      <c r="K57" s="12"/>
      <c r="L57" s="12"/>
      <c r="M57" s="12"/>
      <c r="N57" s="12"/>
      <c r="O57" s="12"/>
      <c r="P57" s="12"/>
      <c r="Q57" s="12"/>
      <c r="R57" s="12"/>
    </row>
    <row r="58" spans="2:18" ht="14.4" x14ac:dyDescent="0.25">
      <c r="B58" s="22"/>
      <c r="C58" s="21"/>
      <c r="D58" s="82"/>
      <c r="E58" s="82"/>
      <c r="F58" s="82"/>
      <c r="G58" s="82"/>
      <c r="H58" s="12"/>
      <c r="I58" s="12"/>
      <c r="J58" s="12"/>
      <c r="K58" s="12"/>
      <c r="L58" s="12"/>
      <c r="M58" s="12"/>
      <c r="N58" s="12"/>
      <c r="O58" s="12"/>
      <c r="P58" s="12"/>
      <c r="Q58" s="12"/>
      <c r="R58" s="12"/>
    </row>
    <row r="59" spans="2:18" ht="14.4" x14ac:dyDescent="0.25">
      <c r="B59" s="22"/>
      <c r="C59" s="21"/>
      <c r="D59" s="82"/>
      <c r="E59" s="82"/>
      <c r="F59" s="82"/>
      <c r="G59" s="82"/>
      <c r="H59" s="12"/>
      <c r="I59" s="12"/>
      <c r="J59" s="12"/>
      <c r="K59" s="12"/>
      <c r="L59" s="12"/>
      <c r="M59" s="12"/>
      <c r="N59" s="12"/>
      <c r="O59" s="12"/>
      <c r="P59" s="12"/>
      <c r="Q59" s="12"/>
      <c r="R59" s="12"/>
    </row>
    <row r="60" spans="2:18" ht="14.4" x14ac:dyDescent="0.25">
      <c r="B60" s="22"/>
      <c r="C60" s="21"/>
      <c r="D60" s="82"/>
      <c r="E60" s="82"/>
      <c r="F60" s="82"/>
      <c r="G60" s="82"/>
      <c r="H60" s="12"/>
      <c r="I60" s="12"/>
      <c r="J60" s="12"/>
      <c r="K60" s="12"/>
      <c r="L60" s="12"/>
      <c r="M60" s="12"/>
      <c r="N60" s="12"/>
      <c r="O60" s="12"/>
      <c r="P60" s="12"/>
      <c r="Q60" s="12"/>
      <c r="R60" s="12"/>
    </row>
    <row r="61" spans="2:18" ht="14.4" x14ac:dyDescent="0.25">
      <c r="B61" s="22"/>
      <c r="C61" s="21"/>
      <c r="D61" s="82"/>
      <c r="E61" s="82"/>
      <c r="F61" s="82"/>
      <c r="G61" s="82"/>
      <c r="H61" s="12"/>
      <c r="I61" s="12"/>
      <c r="J61" s="12"/>
      <c r="K61" s="12"/>
      <c r="L61" s="12"/>
      <c r="M61" s="12"/>
      <c r="N61" s="12"/>
      <c r="O61" s="12"/>
      <c r="P61" s="12"/>
      <c r="Q61" s="12"/>
      <c r="R61" s="12"/>
    </row>
    <row r="62" spans="2:18" ht="14.4" x14ac:dyDescent="0.25">
      <c r="B62" s="22"/>
      <c r="C62" s="21"/>
      <c r="D62" s="82"/>
      <c r="E62" s="82"/>
      <c r="F62" s="82"/>
      <c r="G62" s="82"/>
      <c r="H62" s="12"/>
      <c r="I62" s="12"/>
      <c r="J62" s="12"/>
      <c r="K62" s="12"/>
      <c r="L62" s="12"/>
      <c r="M62" s="12"/>
      <c r="N62" s="12"/>
      <c r="O62" s="12"/>
      <c r="P62" s="12"/>
      <c r="Q62" s="12"/>
      <c r="R62" s="12"/>
    </row>
    <row r="63" spans="2:18" ht="14.4" x14ac:dyDescent="0.25">
      <c r="B63" s="22"/>
      <c r="C63" s="21"/>
      <c r="D63" s="82"/>
      <c r="E63" s="82"/>
      <c r="F63" s="82"/>
      <c r="G63" s="82"/>
      <c r="H63" s="12"/>
      <c r="I63" s="12"/>
      <c r="J63" s="12"/>
      <c r="K63" s="12"/>
      <c r="L63" s="12"/>
      <c r="M63" s="12"/>
      <c r="N63" s="12"/>
      <c r="O63" s="12"/>
      <c r="P63" s="12"/>
      <c r="Q63" s="12"/>
      <c r="R63" s="12"/>
    </row>
    <row r="64" spans="2:18" ht="14.4" x14ac:dyDescent="0.25">
      <c r="B64" s="22"/>
      <c r="C64" s="21"/>
      <c r="D64" s="82"/>
      <c r="E64" s="82"/>
      <c r="F64" s="82"/>
      <c r="G64" s="82"/>
      <c r="H64" s="12"/>
      <c r="I64" s="12"/>
      <c r="J64" s="12"/>
      <c r="K64" s="12"/>
      <c r="L64" s="12"/>
      <c r="M64" s="12"/>
      <c r="N64" s="12"/>
      <c r="O64" s="12"/>
      <c r="P64" s="12"/>
      <c r="Q64" s="12"/>
      <c r="R64" s="12"/>
    </row>
    <row r="65" spans="1:19" ht="14.4" x14ac:dyDescent="0.25">
      <c r="B65" s="22"/>
      <c r="C65" s="21"/>
      <c r="D65" s="82"/>
      <c r="E65" s="82"/>
      <c r="F65" s="82"/>
      <c r="G65" s="82"/>
      <c r="H65" s="12"/>
      <c r="I65" s="12"/>
      <c r="J65" s="12"/>
      <c r="K65" s="12"/>
      <c r="L65" s="12"/>
      <c r="M65" s="12"/>
      <c r="N65" s="12"/>
      <c r="O65" s="12"/>
      <c r="P65" s="12"/>
      <c r="Q65" s="12"/>
      <c r="R65" s="12"/>
    </row>
    <row r="66" spans="1:19" ht="14.4" x14ac:dyDescent="0.25">
      <c r="B66" s="22"/>
      <c r="C66" s="21"/>
      <c r="D66" s="82"/>
      <c r="E66" s="82"/>
      <c r="F66" s="82"/>
      <c r="G66" s="82"/>
      <c r="H66" s="12"/>
      <c r="I66" s="12"/>
      <c r="J66" s="12"/>
      <c r="K66" s="12"/>
      <c r="L66" s="12"/>
      <c r="M66" s="12"/>
      <c r="N66" s="12"/>
      <c r="O66" s="12"/>
      <c r="P66" s="12"/>
      <c r="Q66" s="12"/>
      <c r="R66" s="12"/>
    </row>
    <row r="67" spans="1:19" ht="14.4" x14ac:dyDescent="0.25">
      <c r="B67" s="22"/>
      <c r="C67" s="21"/>
      <c r="D67" s="82"/>
      <c r="E67" s="82"/>
      <c r="F67" s="82"/>
      <c r="G67" s="82"/>
      <c r="H67" s="12"/>
      <c r="I67" s="12"/>
      <c r="J67" s="12"/>
      <c r="K67" s="12"/>
      <c r="L67" s="12"/>
      <c r="M67" s="12"/>
      <c r="N67" s="12"/>
      <c r="O67" s="12"/>
      <c r="P67" s="12"/>
      <c r="Q67" s="12"/>
      <c r="R67" s="12"/>
    </row>
    <row r="68" spans="1:19" ht="14.4" x14ac:dyDescent="0.25">
      <c r="B68" s="22"/>
      <c r="C68" s="21"/>
      <c r="D68" s="82"/>
      <c r="E68" s="82"/>
      <c r="F68" s="82"/>
      <c r="G68" s="82"/>
      <c r="H68" s="12"/>
      <c r="I68" s="12"/>
      <c r="J68" s="12"/>
      <c r="K68" s="12"/>
      <c r="L68" s="12"/>
      <c r="M68" s="12"/>
      <c r="N68" s="12"/>
      <c r="O68" s="12"/>
      <c r="P68" s="12"/>
      <c r="Q68" s="12"/>
      <c r="R68" s="12"/>
    </row>
    <row r="69" spans="1:19" ht="14.4" x14ac:dyDescent="0.25">
      <c r="B69" s="22"/>
      <c r="C69" s="21"/>
      <c r="D69" s="82"/>
      <c r="E69" s="82"/>
      <c r="F69" s="82"/>
      <c r="G69" s="82"/>
      <c r="H69" s="12"/>
      <c r="I69" s="12"/>
      <c r="J69" s="12"/>
      <c r="K69" s="12"/>
      <c r="L69" s="12"/>
      <c r="M69" s="12"/>
      <c r="N69" s="12"/>
      <c r="O69" s="12"/>
      <c r="P69" s="12"/>
      <c r="Q69" s="12"/>
      <c r="R69" s="12"/>
    </row>
    <row r="70" spans="1:19" x14ac:dyDescent="0.25">
      <c r="J70" s="57"/>
      <c r="K70" s="57"/>
      <c r="L70" s="57"/>
      <c r="M70" s="57"/>
      <c r="N70" s="57"/>
      <c r="O70" s="57"/>
      <c r="P70" s="57"/>
      <c r="Q70" s="57"/>
      <c r="R70" s="57"/>
      <c r="S70" s="57"/>
    </row>
    <row r="71" spans="1:19" ht="13.8" thickBot="1" x14ac:dyDescent="0.3">
      <c r="K71" s="57"/>
      <c r="L71" s="57"/>
      <c r="M71" s="57"/>
      <c r="N71" s="57"/>
      <c r="O71" s="57"/>
      <c r="P71" s="57"/>
      <c r="Q71" s="57"/>
      <c r="R71" s="57"/>
      <c r="S71" s="57"/>
    </row>
    <row r="72" spans="1:19" ht="16.2" thickTop="1" x14ac:dyDescent="0.3">
      <c r="A72" s="483"/>
      <c r="B72" s="484" t="s">
        <v>92</v>
      </c>
      <c r="C72" s="485"/>
      <c r="D72" s="485"/>
      <c r="E72" s="485"/>
      <c r="F72" s="485"/>
      <c r="G72" s="485"/>
      <c r="H72" s="486"/>
      <c r="I72" s="486"/>
      <c r="J72" s="487"/>
      <c r="K72" s="488"/>
      <c r="L72" s="488"/>
      <c r="M72" s="57"/>
      <c r="N72" s="57"/>
      <c r="O72" s="57"/>
      <c r="P72" s="57"/>
      <c r="Q72" s="57"/>
      <c r="R72" s="57"/>
      <c r="S72" s="57"/>
    </row>
    <row r="73" spans="1:19" ht="15.6" x14ac:dyDescent="0.3">
      <c r="A73" s="483"/>
      <c r="B73" s="489"/>
      <c r="C73" s="488"/>
      <c r="D73" s="488"/>
      <c r="E73" s="488"/>
      <c r="F73" s="488"/>
      <c r="G73" s="488"/>
      <c r="H73" s="488"/>
      <c r="I73" s="488"/>
      <c r="J73" s="490"/>
      <c r="K73" s="488"/>
      <c r="L73" s="488"/>
      <c r="M73" s="57"/>
      <c r="N73" s="57"/>
      <c r="O73" s="57"/>
      <c r="P73" s="57"/>
      <c r="Q73" s="57"/>
      <c r="R73" s="57"/>
      <c r="S73" s="57"/>
    </row>
    <row r="74" spans="1:19" ht="16.2" thickBot="1" x14ac:dyDescent="0.35">
      <c r="A74" s="483"/>
      <c r="B74" s="491" t="s">
        <v>57</v>
      </c>
      <c r="C74" s="492"/>
      <c r="D74" s="493"/>
      <c r="E74" s="493"/>
      <c r="F74" s="493"/>
      <c r="G74" s="493"/>
      <c r="H74" s="493"/>
      <c r="I74" s="493"/>
      <c r="J74" s="494"/>
      <c r="K74" s="488"/>
      <c r="L74" s="488"/>
      <c r="M74" s="57"/>
      <c r="N74" s="67"/>
      <c r="O74" s="57"/>
      <c r="P74" s="57"/>
      <c r="Q74" s="57"/>
      <c r="R74" s="57"/>
      <c r="S74" s="57"/>
    </row>
    <row r="75" spans="1:19" ht="16.2" thickBot="1" x14ac:dyDescent="0.35">
      <c r="A75" s="483"/>
      <c r="B75" s="495" t="s">
        <v>684</v>
      </c>
      <c r="C75" s="496"/>
      <c r="D75" s="496"/>
      <c r="E75" s="497"/>
      <c r="F75" s="498" t="s">
        <v>86</v>
      </c>
      <c r="G75" s="493"/>
      <c r="H75" s="493"/>
      <c r="I75" s="493"/>
      <c r="J75" s="499"/>
      <c r="K75" s="488"/>
      <c r="L75" s="488"/>
      <c r="M75" s="57"/>
      <c r="N75" s="57"/>
      <c r="O75" s="57"/>
      <c r="P75" s="57"/>
      <c r="Q75" s="57"/>
      <c r="R75" s="57"/>
      <c r="S75" s="57"/>
    </row>
    <row r="76" spans="1:19" ht="15" x14ac:dyDescent="0.25">
      <c r="A76" s="483"/>
      <c r="B76" s="500"/>
      <c r="C76" s="493" t="s">
        <v>10</v>
      </c>
      <c r="D76" s="493"/>
      <c r="E76" s="493"/>
      <c r="F76" s="493"/>
      <c r="G76" s="493"/>
      <c r="H76" s="493"/>
      <c r="I76" s="493"/>
      <c r="J76" s="501"/>
      <c r="K76" s="502"/>
      <c r="L76" s="488"/>
      <c r="M76" s="59"/>
      <c r="N76" s="61"/>
      <c r="O76" s="61"/>
      <c r="P76" s="57"/>
      <c r="Q76" s="57"/>
      <c r="R76" s="57"/>
      <c r="S76" s="57"/>
    </row>
    <row r="77" spans="1:19" ht="15" x14ac:dyDescent="0.25">
      <c r="A77" s="483"/>
      <c r="B77" s="491"/>
      <c r="C77" s="503">
        <f>B40</f>
        <v>8459.8118233719997</v>
      </c>
      <c r="D77" s="493" t="s">
        <v>77</v>
      </c>
      <c r="E77" s="493"/>
      <c r="F77" s="483"/>
      <c r="G77" s="483"/>
      <c r="H77" s="493"/>
      <c r="I77" s="493"/>
      <c r="J77" s="494"/>
      <c r="K77" s="502"/>
      <c r="L77" s="488"/>
      <c r="M77" s="57"/>
      <c r="N77" s="57"/>
      <c r="O77" s="62"/>
      <c r="P77" s="57"/>
      <c r="Q77" s="57"/>
      <c r="R77" s="57"/>
      <c r="S77" s="57"/>
    </row>
    <row r="78" spans="1:19" ht="15.6" x14ac:dyDescent="0.3">
      <c r="A78" s="483"/>
      <c r="B78" s="504"/>
      <c r="C78" s="503">
        <f>C40</f>
        <v>55.179995344672008</v>
      </c>
      <c r="D78" s="505" t="s">
        <v>78</v>
      </c>
      <c r="E78" s="506"/>
      <c r="F78" s="507"/>
      <c r="G78" s="507"/>
      <c r="H78" s="508"/>
      <c r="I78" s="493"/>
      <c r="J78" s="494"/>
      <c r="K78" s="502"/>
      <c r="L78" s="488"/>
      <c r="M78" s="57"/>
      <c r="N78" s="57"/>
      <c r="O78" s="57"/>
      <c r="P78" s="57"/>
      <c r="Q78" s="57"/>
      <c r="R78" s="57"/>
      <c r="S78" s="57"/>
    </row>
    <row r="79" spans="1:19" ht="15" x14ac:dyDescent="0.25">
      <c r="A79" s="483"/>
      <c r="B79" s="504"/>
      <c r="C79" s="503">
        <f>D40</f>
        <v>0.15400034225120002</v>
      </c>
      <c r="D79" s="509" t="s">
        <v>79</v>
      </c>
      <c r="E79" s="510"/>
      <c r="F79" s="488"/>
      <c r="G79" s="511"/>
      <c r="H79" s="493"/>
      <c r="I79" s="493"/>
      <c r="J79" s="494"/>
      <c r="K79" s="502"/>
      <c r="L79" s="512"/>
      <c r="M79" s="57"/>
      <c r="N79" s="57"/>
      <c r="O79" s="57"/>
      <c r="P79" s="57"/>
      <c r="Q79" s="57"/>
      <c r="R79" s="57"/>
      <c r="S79" s="57"/>
    </row>
    <row r="80" spans="1:19" ht="15" x14ac:dyDescent="0.25">
      <c r="A80" s="483"/>
      <c r="B80" s="504"/>
      <c r="C80" s="503">
        <f>E40</f>
        <v>-1.6272204360000004E-4</v>
      </c>
      <c r="D80" s="513" t="s">
        <v>80</v>
      </c>
      <c r="E80" s="514"/>
      <c r="F80" s="488"/>
      <c r="G80" s="511"/>
      <c r="H80" s="493"/>
      <c r="I80" s="493"/>
      <c r="J80" s="494"/>
      <c r="K80" s="502"/>
      <c r="L80" s="488"/>
      <c r="M80" s="57"/>
      <c r="N80" s="57"/>
      <c r="O80" s="57"/>
      <c r="P80" s="57"/>
      <c r="Q80" s="57"/>
      <c r="R80" s="57"/>
      <c r="S80" s="57"/>
    </row>
    <row r="81" spans="1:19" ht="15" x14ac:dyDescent="0.25">
      <c r="A81" s="483"/>
      <c r="B81" s="504"/>
      <c r="C81" s="503">
        <f>F40</f>
        <v>1.802143387568E-6</v>
      </c>
      <c r="D81" s="515" t="s">
        <v>81</v>
      </c>
      <c r="E81" s="514"/>
      <c r="F81" s="488"/>
      <c r="G81" s="511"/>
      <c r="H81" s="493"/>
      <c r="I81" s="493"/>
      <c r="J81" s="494"/>
      <c r="K81" s="488"/>
      <c r="L81" s="488"/>
      <c r="M81" s="57"/>
      <c r="N81" s="57"/>
      <c r="O81" s="57"/>
      <c r="P81" s="57"/>
      <c r="Q81" s="57"/>
      <c r="R81" s="57"/>
      <c r="S81" s="57"/>
    </row>
    <row r="82" spans="1:19" ht="15.6" thickBot="1" x14ac:dyDescent="0.3">
      <c r="A82" s="483"/>
      <c r="B82" s="500"/>
      <c r="C82" s="493"/>
      <c r="D82" s="493"/>
      <c r="E82" s="493"/>
      <c r="F82" s="488"/>
      <c r="G82" s="511"/>
      <c r="H82" s="493"/>
      <c r="I82" s="493"/>
      <c r="J82" s="501"/>
      <c r="K82" s="511"/>
      <c r="L82" s="512"/>
      <c r="M82" s="59"/>
      <c r="N82" s="57"/>
      <c r="O82" s="57"/>
      <c r="P82" s="57"/>
      <c r="Q82" s="57"/>
      <c r="R82" s="57"/>
      <c r="S82" s="57"/>
    </row>
    <row r="83" spans="1:19" ht="15.6" thickBot="1" x14ac:dyDescent="0.3">
      <c r="A83" s="483"/>
      <c r="B83" s="504" t="s">
        <v>32</v>
      </c>
      <c r="C83" s="516">
        <v>25</v>
      </c>
      <c r="D83" s="517" t="s">
        <v>186</v>
      </c>
      <c r="E83" s="506" t="s">
        <v>158</v>
      </c>
      <c r="F83" s="488"/>
      <c r="G83" s="488"/>
      <c r="H83" s="488"/>
      <c r="I83" s="488"/>
      <c r="J83" s="494"/>
      <c r="K83" s="518"/>
      <c r="L83" s="512"/>
      <c r="M83" s="59"/>
      <c r="N83" s="57"/>
      <c r="O83" s="57"/>
      <c r="P83" s="57"/>
      <c r="Q83" s="57"/>
      <c r="R83" s="57"/>
      <c r="S83" s="57"/>
    </row>
    <row r="84" spans="1:19" ht="15" x14ac:dyDescent="0.25">
      <c r="A84" s="483"/>
      <c r="B84" s="504"/>
      <c r="C84" s="519">
        <f>(C83*1.8)+32</f>
        <v>77</v>
      </c>
      <c r="D84" s="506" t="s">
        <v>189</v>
      </c>
      <c r="E84" s="506"/>
      <c r="F84" s="488"/>
      <c r="G84" s="488"/>
      <c r="H84" s="493"/>
      <c r="I84" s="493"/>
      <c r="J84" s="494"/>
      <c r="K84" s="520"/>
      <c r="L84" s="488"/>
      <c r="M84" s="57"/>
      <c r="N84" s="57"/>
      <c r="O84" s="57"/>
      <c r="P84" s="57"/>
      <c r="Q84" s="57"/>
      <c r="R84" s="57"/>
      <c r="S84" s="57"/>
    </row>
    <row r="85" spans="1:19" ht="15.6" thickBot="1" x14ac:dyDescent="0.3">
      <c r="A85" s="483"/>
      <c r="B85" s="504"/>
      <c r="C85" s="521">
        <f>C83+273.15</f>
        <v>298.14999999999998</v>
      </c>
      <c r="D85" s="506" t="s">
        <v>190</v>
      </c>
      <c r="E85" s="506"/>
      <c r="F85" s="488"/>
      <c r="G85" s="488"/>
      <c r="H85" s="493"/>
      <c r="I85" s="493"/>
      <c r="J85" s="494"/>
      <c r="K85" s="488"/>
      <c r="L85" s="488"/>
      <c r="M85" s="57"/>
      <c r="N85" s="57"/>
      <c r="O85" s="57"/>
      <c r="P85" s="57"/>
      <c r="Q85" s="57"/>
      <c r="R85" s="57"/>
      <c r="S85" s="57"/>
    </row>
    <row r="86" spans="1:19" ht="15.6" thickBot="1" x14ac:dyDescent="0.3">
      <c r="A86" s="483"/>
      <c r="B86" s="504" t="s">
        <v>4</v>
      </c>
      <c r="C86" s="522">
        <f>$C$77 + $C$78*$C$83 + $C$79*$C$83^2+ $C$80*$C$83^3 + $C$81*$C$83^4</f>
        <v>9933.7233512253169</v>
      </c>
      <c r="D86" s="523" t="s">
        <v>1</v>
      </c>
      <c r="E86" s="506" t="s">
        <v>160</v>
      </c>
      <c r="F86" s="493"/>
      <c r="G86" s="493"/>
      <c r="H86" s="493"/>
      <c r="I86" s="493"/>
      <c r="J86" s="494"/>
      <c r="K86" s="488"/>
      <c r="L86" s="488"/>
      <c r="M86" s="57"/>
      <c r="N86" s="57"/>
      <c r="O86" s="57"/>
      <c r="P86" s="57"/>
      <c r="Q86" s="57"/>
      <c r="R86" s="57"/>
      <c r="S86" s="57"/>
    </row>
    <row r="87" spans="1:19" ht="15" x14ac:dyDescent="0.25">
      <c r="A87" s="483"/>
      <c r="B87" s="504"/>
      <c r="C87" s="511"/>
      <c r="D87" s="506"/>
      <c r="E87" s="506"/>
      <c r="F87" s="493"/>
      <c r="G87" s="493"/>
      <c r="H87" s="493"/>
      <c r="I87" s="493"/>
      <c r="J87" s="494"/>
      <c r="K87" s="488"/>
      <c r="L87" s="488"/>
      <c r="M87" s="57"/>
      <c r="N87" s="57"/>
      <c r="O87" s="57"/>
      <c r="P87" s="57"/>
      <c r="Q87" s="57"/>
      <c r="R87" s="57"/>
      <c r="S87" s="57"/>
    </row>
    <row r="88" spans="1:19" ht="15.6" x14ac:dyDescent="0.3">
      <c r="A88" s="483"/>
      <c r="B88" s="524"/>
      <c r="C88" s="511"/>
      <c r="D88" s="488"/>
      <c r="E88" s="488"/>
      <c r="F88" s="488"/>
      <c r="G88" s="488"/>
      <c r="H88" s="493"/>
      <c r="I88" s="493"/>
      <c r="J88" s="490"/>
      <c r="K88" s="488"/>
      <c r="L88" s="488"/>
      <c r="M88" s="57"/>
      <c r="N88" s="57"/>
      <c r="O88" s="57"/>
      <c r="P88" s="57"/>
      <c r="Q88" s="57"/>
      <c r="R88" s="57"/>
      <c r="S88" s="57"/>
    </row>
    <row r="89" spans="1:19" ht="15.6" thickBot="1" x14ac:dyDescent="0.3">
      <c r="A89" s="483"/>
      <c r="B89" s="491" t="s">
        <v>58</v>
      </c>
      <c r="C89" s="483"/>
      <c r="D89" s="483"/>
      <c r="E89" s="483"/>
      <c r="F89" s="483"/>
      <c r="G89" s="483"/>
      <c r="H89" s="493"/>
      <c r="I89" s="493"/>
      <c r="J89" s="494"/>
      <c r="K89" s="488"/>
      <c r="L89" s="488"/>
      <c r="M89" s="57"/>
      <c r="N89" s="57"/>
      <c r="O89" s="57"/>
      <c r="P89" s="57"/>
      <c r="Q89" s="57"/>
      <c r="R89" s="57"/>
      <c r="S89" s="57"/>
    </row>
    <row r="90" spans="1:19" s="256" customFormat="1" ht="16.2" thickBot="1" x14ac:dyDescent="0.35">
      <c r="A90" s="483"/>
      <c r="B90" s="525" t="s">
        <v>685</v>
      </c>
      <c r="C90" s="496"/>
      <c r="D90" s="496"/>
      <c r="E90" s="497"/>
      <c r="F90" s="498" t="s">
        <v>33</v>
      </c>
      <c r="G90" s="493"/>
      <c r="H90" s="493"/>
      <c r="I90" s="493"/>
      <c r="J90" s="499"/>
      <c r="K90" s="488"/>
      <c r="L90" s="488"/>
      <c r="M90" s="264"/>
      <c r="N90" s="264"/>
      <c r="O90" s="264"/>
      <c r="P90" s="264"/>
      <c r="Q90" s="264"/>
      <c r="R90" s="264"/>
      <c r="S90" s="264"/>
    </row>
    <row r="91" spans="1:19" s="256" customFormat="1" ht="15" x14ac:dyDescent="0.25">
      <c r="A91" s="483"/>
      <c r="B91" s="500"/>
      <c r="C91" s="493" t="s">
        <v>10</v>
      </c>
      <c r="D91" s="493"/>
      <c r="E91" s="493"/>
      <c r="F91" s="493"/>
      <c r="G91" s="493"/>
      <c r="H91" s="493"/>
      <c r="I91" s="493"/>
      <c r="J91" s="501"/>
      <c r="K91" s="488"/>
      <c r="L91" s="488"/>
      <c r="M91" s="264"/>
      <c r="N91" s="264"/>
      <c r="O91" s="264"/>
      <c r="P91" s="264"/>
      <c r="Q91" s="264"/>
      <c r="R91" s="264"/>
      <c r="S91" s="264"/>
    </row>
    <row r="92" spans="1:19" s="256" customFormat="1" ht="15.6" x14ac:dyDescent="0.3">
      <c r="A92" s="483"/>
      <c r="B92" s="491"/>
      <c r="C92" s="503">
        <f>M40</f>
        <v>-277.66082224461309</v>
      </c>
      <c r="D92" s="493" t="s">
        <v>77</v>
      </c>
      <c r="E92" s="526"/>
      <c r="F92" s="527"/>
      <c r="G92" s="527"/>
      <c r="H92" s="493"/>
      <c r="I92" s="493"/>
      <c r="J92" s="494"/>
      <c r="K92" s="488"/>
      <c r="L92" s="488"/>
      <c r="M92" s="264"/>
      <c r="N92" s="264"/>
      <c r="O92" s="264"/>
      <c r="P92" s="264"/>
      <c r="Q92" s="264"/>
      <c r="R92" s="264"/>
      <c r="S92" s="264"/>
    </row>
    <row r="93" spans="1:19" s="256" customFormat="1" ht="15" x14ac:dyDescent="0.25">
      <c r="A93" s="483"/>
      <c r="B93" s="504"/>
      <c r="C93" s="503">
        <f>L40</f>
        <v>5.5802134367236168E-2</v>
      </c>
      <c r="D93" s="505" t="s">
        <v>78</v>
      </c>
      <c r="E93" s="483"/>
      <c r="F93" s="483"/>
      <c r="G93" s="295"/>
      <c r="H93" s="493"/>
      <c r="I93" s="493"/>
      <c r="J93" s="494"/>
      <c r="K93" s="488"/>
      <c r="L93" s="488"/>
      <c r="M93" s="264"/>
      <c r="N93" s="264"/>
      <c r="O93" s="264"/>
      <c r="P93" s="264"/>
      <c r="Q93" s="264"/>
      <c r="R93" s="264"/>
      <c r="S93" s="264"/>
    </row>
    <row r="94" spans="1:19" s="256" customFormat="1" ht="15" x14ac:dyDescent="0.25">
      <c r="A94" s="483"/>
      <c r="B94" s="500"/>
      <c r="C94" s="503">
        <f>K40</f>
        <v>-3.9230348594311651E-6</v>
      </c>
      <c r="D94" s="509" t="s">
        <v>79</v>
      </c>
      <c r="E94" s="483"/>
      <c r="F94" s="488"/>
      <c r="G94" s="511"/>
      <c r="H94" s="506"/>
      <c r="I94" s="493"/>
      <c r="J94" s="501"/>
      <c r="K94" s="488"/>
      <c r="L94" s="488"/>
      <c r="M94" s="264"/>
      <c r="N94" s="264"/>
      <c r="O94" s="264"/>
      <c r="P94" s="264"/>
      <c r="Q94" s="264"/>
      <c r="R94" s="264"/>
      <c r="S94" s="264"/>
    </row>
    <row r="95" spans="1:19" s="256" customFormat="1" ht="15" x14ac:dyDescent="0.25">
      <c r="A95" s="483"/>
      <c r="B95" s="500"/>
      <c r="C95" s="503">
        <f>J40</f>
        <v>1.6708826140472028E-10</v>
      </c>
      <c r="D95" s="513" t="s">
        <v>80</v>
      </c>
      <c r="E95" s="483"/>
      <c r="F95" s="528"/>
      <c r="G95" s="511"/>
      <c r="H95" s="493"/>
      <c r="I95" s="493"/>
      <c r="J95" s="501"/>
      <c r="K95" s="488"/>
      <c r="L95" s="488"/>
      <c r="M95" s="264"/>
      <c r="N95" s="264"/>
      <c r="O95" s="264"/>
      <c r="P95" s="264"/>
      <c r="Q95" s="264"/>
      <c r="R95" s="264"/>
      <c r="S95" s="264"/>
    </row>
    <row r="96" spans="1:19" s="256" customFormat="1" ht="15" x14ac:dyDescent="0.25">
      <c r="A96" s="483"/>
      <c r="B96" s="500"/>
      <c r="C96" s="503">
        <f>I40</f>
        <v>-2.8988744677035369E-15</v>
      </c>
      <c r="D96" s="515" t="s">
        <v>81</v>
      </c>
      <c r="E96" s="483"/>
      <c r="F96" s="528"/>
      <c r="G96" s="511"/>
      <c r="H96" s="506"/>
      <c r="I96" s="493"/>
      <c r="J96" s="501"/>
      <c r="K96" s="488"/>
      <c r="L96" s="488"/>
      <c r="M96" s="264"/>
      <c r="N96" s="264"/>
      <c r="O96" s="264"/>
      <c r="P96" s="264"/>
      <c r="Q96" s="264"/>
      <c r="R96" s="264"/>
      <c r="S96" s="264"/>
    </row>
    <row r="97" spans="1:19" s="256" customFormat="1" ht="15.6" thickBot="1" x14ac:dyDescent="0.3">
      <c r="A97" s="483"/>
      <c r="B97" s="500"/>
      <c r="C97" s="483"/>
      <c r="D97" s="483"/>
      <c r="E97" s="483"/>
      <c r="F97" s="483"/>
      <c r="G97" s="528"/>
      <c r="H97" s="493"/>
      <c r="I97" s="493"/>
      <c r="J97" s="501"/>
      <c r="K97" s="488"/>
      <c r="L97" s="488"/>
      <c r="M97" s="264"/>
      <c r="N97" s="264"/>
      <c r="O97" s="264"/>
      <c r="P97" s="264"/>
      <c r="Q97" s="264"/>
      <c r="R97" s="264"/>
      <c r="S97" s="264"/>
    </row>
    <row r="98" spans="1:19" s="256" customFormat="1" ht="16.2" thickBot="1" x14ac:dyDescent="0.35">
      <c r="A98" s="483"/>
      <c r="B98" s="504" t="s">
        <v>4</v>
      </c>
      <c r="C98" s="529">
        <v>10714</v>
      </c>
      <c r="D98" s="517" t="s">
        <v>1</v>
      </c>
      <c r="E98" s="506" t="s">
        <v>157</v>
      </c>
      <c r="F98" s="493"/>
      <c r="G98" s="493"/>
      <c r="H98" s="493"/>
      <c r="I98" s="493"/>
      <c r="J98" s="494"/>
      <c r="K98" s="488"/>
      <c r="L98" s="488"/>
      <c r="M98" s="264"/>
      <c r="N98" s="264"/>
      <c r="O98" s="264"/>
      <c r="P98" s="264"/>
      <c r="Q98" s="264"/>
      <c r="R98" s="264"/>
      <c r="S98" s="264"/>
    </row>
    <row r="99" spans="1:19" s="256" customFormat="1" ht="15.6" thickBot="1" x14ac:dyDescent="0.3">
      <c r="A99" s="483"/>
      <c r="B99" s="504" t="s">
        <v>32</v>
      </c>
      <c r="C99" s="530">
        <f>$C$96*C98^4 + $C$95*C98^3 + $C$94*C98^2 + $C$93*C98 + $C$92</f>
        <v>37.176096877747568</v>
      </c>
      <c r="D99" s="531" t="s">
        <v>186</v>
      </c>
      <c r="E99" s="506" t="s">
        <v>159</v>
      </c>
      <c r="F99" s="493"/>
      <c r="G99" s="493"/>
      <c r="H99" s="493"/>
      <c r="I99" s="493"/>
      <c r="J99" s="494"/>
      <c r="K99" s="488"/>
      <c r="L99" s="488"/>
      <c r="M99" s="264"/>
      <c r="N99" s="264"/>
      <c r="O99" s="264"/>
      <c r="P99" s="264"/>
      <c r="Q99" s="264"/>
      <c r="R99" s="264"/>
      <c r="S99" s="264"/>
    </row>
    <row r="100" spans="1:19" s="256" customFormat="1" ht="15" x14ac:dyDescent="0.25">
      <c r="A100" s="483"/>
      <c r="B100" s="500"/>
      <c r="C100" s="532">
        <f>(C99*1.8)+32</f>
        <v>98.916974379945628</v>
      </c>
      <c r="D100" s="512" t="s">
        <v>189</v>
      </c>
      <c r="E100" s="506"/>
      <c r="F100" s="493"/>
      <c r="G100" s="493"/>
      <c r="H100" s="493"/>
      <c r="I100" s="493"/>
      <c r="J100" s="501"/>
      <c r="K100" s="488"/>
      <c r="L100" s="488"/>
      <c r="M100" s="264"/>
      <c r="N100" s="264"/>
      <c r="O100" s="264"/>
      <c r="P100" s="264"/>
      <c r="Q100" s="264"/>
      <c r="R100" s="264"/>
      <c r="S100" s="264"/>
    </row>
    <row r="101" spans="1:19" s="256" customFormat="1" ht="15" x14ac:dyDescent="0.25">
      <c r="A101" s="483"/>
      <c r="B101" s="500"/>
      <c r="C101" s="533">
        <f>C99+273.15</f>
        <v>310.32609687774755</v>
      </c>
      <c r="D101" s="506" t="s">
        <v>190</v>
      </c>
      <c r="E101" s="493"/>
      <c r="F101" s="534"/>
      <c r="G101" s="493"/>
      <c r="H101" s="493"/>
      <c r="I101" s="493"/>
      <c r="J101" s="501"/>
      <c r="K101" s="488"/>
      <c r="L101" s="488"/>
      <c r="M101" s="264"/>
      <c r="N101" s="264"/>
      <c r="O101" s="264"/>
      <c r="P101" s="264"/>
      <c r="Q101" s="264"/>
      <c r="R101" s="264"/>
      <c r="S101" s="264"/>
    </row>
    <row r="102" spans="1:19" s="256" customFormat="1" ht="15" x14ac:dyDescent="0.25">
      <c r="A102" s="483"/>
      <c r="B102" s="500"/>
      <c r="C102" s="483"/>
      <c r="D102" s="483"/>
      <c r="E102" s="483"/>
      <c r="F102" s="483"/>
      <c r="G102" s="493"/>
      <c r="H102" s="493"/>
      <c r="I102" s="493"/>
      <c r="J102" s="501"/>
      <c r="K102" s="488"/>
      <c r="L102" s="488"/>
      <c r="M102" s="264"/>
      <c r="N102" s="264"/>
      <c r="O102" s="264"/>
      <c r="P102" s="264"/>
      <c r="Q102" s="264"/>
      <c r="R102" s="264"/>
      <c r="S102" s="264"/>
    </row>
    <row r="103" spans="1:19" s="256" customFormat="1" ht="15" x14ac:dyDescent="0.25">
      <c r="A103" s="483"/>
      <c r="B103" s="500"/>
      <c r="C103" s="493"/>
      <c r="D103" s="493"/>
      <c r="E103" s="493"/>
      <c r="F103" s="493"/>
      <c r="G103" s="493"/>
      <c r="H103" s="493"/>
      <c r="I103" s="493"/>
      <c r="J103" s="501"/>
      <c r="K103" s="488"/>
      <c r="L103" s="488"/>
      <c r="M103" s="264"/>
      <c r="N103" s="264"/>
      <c r="O103" s="264"/>
      <c r="P103" s="264"/>
      <c r="Q103" s="264"/>
      <c r="R103" s="264"/>
      <c r="S103" s="264"/>
    </row>
    <row r="104" spans="1:19" s="256" customFormat="1" ht="15.6" thickBot="1" x14ac:dyDescent="0.3">
      <c r="A104" s="483"/>
      <c r="B104" s="535"/>
      <c r="C104" s="536"/>
      <c r="D104" s="536"/>
      <c r="E104" s="536"/>
      <c r="F104" s="536"/>
      <c r="G104" s="536"/>
      <c r="H104" s="536"/>
      <c r="I104" s="536"/>
      <c r="J104" s="537"/>
      <c r="K104" s="488"/>
      <c r="L104" s="488"/>
      <c r="M104" s="264"/>
      <c r="N104" s="264"/>
      <c r="O104" s="264"/>
      <c r="P104" s="264"/>
      <c r="Q104" s="264"/>
      <c r="R104" s="264"/>
      <c r="S104" s="264"/>
    </row>
    <row r="105" spans="1:19" ht="13.8" thickTop="1" x14ac:dyDescent="0.25"/>
    <row r="106" spans="1:19" x14ac:dyDescent="0.25"/>
    <row r="107" spans="1:19" s="167" customFormat="1" x14ac:dyDescent="0.25"/>
    <row r="108" spans="1:19" s="167" customFormat="1" x14ac:dyDescent="0.25"/>
    <row r="109" spans="1:19" x14ac:dyDescent="0.25"/>
    <row r="110" spans="1:19" x14ac:dyDescent="0.25"/>
    <row r="111" spans="1:19" x14ac:dyDescent="0.25"/>
    <row r="112" spans="1:19" x14ac:dyDescent="0.25"/>
    <row r="113" spans="1:14" ht="16.2" thickBot="1" x14ac:dyDescent="0.35">
      <c r="A113" s="174" t="s">
        <v>116</v>
      </c>
      <c r="D113" s="174" t="s">
        <v>236</v>
      </c>
    </row>
    <row r="114" spans="1:14" ht="13.8" thickTop="1" x14ac:dyDescent="0.25">
      <c r="A114" s="227"/>
      <c r="B114" s="228"/>
      <c r="C114" s="228"/>
      <c r="D114" s="228"/>
      <c r="E114" s="228"/>
      <c r="F114" s="228"/>
      <c r="G114" s="228"/>
      <c r="H114" s="228"/>
      <c r="I114" s="228"/>
      <c r="J114" s="228"/>
      <c r="K114" s="228"/>
      <c r="L114" s="228"/>
      <c r="M114" s="229"/>
      <c r="N114" s="12"/>
    </row>
    <row r="115" spans="1:14" x14ac:dyDescent="0.25">
      <c r="A115" s="33" t="s">
        <v>97</v>
      </c>
      <c r="B115" s="34"/>
      <c r="C115" s="34"/>
      <c r="D115" s="34"/>
      <c r="E115" s="34"/>
      <c r="F115" s="34"/>
      <c r="G115" s="34"/>
      <c r="H115" s="34"/>
      <c r="I115" s="34"/>
      <c r="J115" s="34"/>
      <c r="K115" s="34"/>
      <c r="L115" s="34"/>
      <c r="M115" s="35"/>
      <c r="N115" s="12"/>
    </row>
    <row r="116" spans="1:14" x14ac:dyDescent="0.25">
      <c r="A116" s="33" t="s">
        <v>175</v>
      </c>
      <c r="B116" s="34"/>
      <c r="C116" s="34"/>
      <c r="D116" s="34"/>
      <c r="E116" s="34"/>
      <c r="F116" s="34"/>
      <c r="G116" s="34"/>
      <c r="H116" s="34"/>
      <c r="I116" s="34"/>
      <c r="J116" s="34"/>
      <c r="K116" s="34"/>
      <c r="L116" s="34"/>
      <c r="M116" s="35"/>
      <c r="N116" s="12"/>
    </row>
    <row r="117" spans="1:14" x14ac:dyDescent="0.25">
      <c r="A117" s="219"/>
      <c r="B117" s="198"/>
      <c r="C117" s="198"/>
      <c r="D117" s="198"/>
      <c r="E117" s="198"/>
      <c r="F117" s="198"/>
      <c r="G117" s="198"/>
      <c r="H117" s="198"/>
      <c r="I117" s="198"/>
      <c r="J117" s="198"/>
      <c r="K117" s="198"/>
      <c r="L117" s="198"/>
      <c r="M117" s="220"/>
      <c r="N117" s="12"/>
    </row>
    <row r="118" spans="1:14" x14ac:dyDescent="0.25">
      <c r="A118" s="221"/>
      <c r="B118" s="201"/>
      <c r="C118" s="201"/>
      <c r="D118" s="201"/>
      <c r="E118" s="201"/>
      <c r="F118" s="198"/>
      <c r="G118" s="198"/>
      <c r="H118" s="198"/>
      <c r="I118" s="198"/>
      <c r="J118" s="198"/>
      <c r="K118" s="198"/>
      <c r="L118" s="198"/>
      <c r="M118" s="220"/>
      <c r="N118" s="12"/>
    </row>
    <row r="119" spans="1:14" x14ac:dyDescent="0.25">
      <c r="A119" s="221"/>
      <c r="B119" s="201" t="s">
        <v>449</v>
      </c>
      <c r="C119" s="201"/>
      <c r="D119" s="305">
        <f>B25</f>
        <v>3</v>
      </c>
      <c r="E119" s="201" t="s">
        <v>227</v>
      </c>
      <c r="F119" s="198"/>
      <c r="G119" s="198"/>
      <c r="H119" s="198"/>
      <c r="I119" s="222" t="s">
        <v>455</v>
      </c>
      <c r="J119" s="198"/>
      <c r="K119" s="198"/>
      <c r="L119" s="198"/>
      <c r="M119" s="220"/>
      <c r="N119" s="12"/>
    </row>
    <row r="120" spans="1:14" x14ac:dyDescent="0.25">
      <c r="A120" s="223"/>
      <c r="B120" s="201" t="s">
        <v>447</v>
      </c>
      <c r="C120" s="201"/>
      <c r="D120" s="209">
        <f>B23</f>
        <v>140</v>
      </c>
      <c r="E120" s="201" t="s">
        <v>227</v>
      </c>
      <c r="F120" s="201"/>
      <c r="G120" s="201"/>
      <c r="H120" s="201"/>
      <c r="I120" s="222" t="s">
        <v>448</v>
      </c>
      <c r="J120" s="201"/>
      <c r="K120" s="201"/>
      <c r="L120" s="201"/>
      <c r="M120" s="203"/>
    </row>
    <row r="121" spans="1:14" x14ac:dyDescent="0.25">
      <c r="A121" s="223"/>
      <c r="B121" s="201" t="s">
        <v>228</v>
      </c>
      <c r="C121" s="201"/>
      <c r="D121" s="201">
        <f>2^B24</f>
        <v>4096</v>
      </c>
      <c r="E121" s="201" t="s">
        <v>227</v>
      </c>
      <c r="F121" s="201"/>
      <c r="G121" s="201"/>
      <c r="H121" s="201"/>
      <c r="I121" s="362" t="s">
        <v>504</v>
      </c>
      <c r="J121" s="201"/>
      <c r="K121" s="201"/>
      <c r="L121" s="201"/>
      <c r="M121" s="203"/>
    </row>
    <row r="122" spans="1:14" x14ac:dyDescent="0.25">
      <c r="A122" s="223"/>
      <c r="B122" s="201" t="s">
        <v>695</v>
      </c>
      <c r="C122" s="201"/>
      <c r="D122" s="201"/>
      <c r="E122" s="201"/>
      <c r="F122" s="201"/>
      <c r="G122" s="201"/>
      <c r="H122" s="201"/>
      <c r="I122" s="222" t="s">
        <v>637</v>
      </c>
      <c r="J122" s="201"/>
      <c r="K122" s="201"/>
      <c r="L122" s="201"/>
      <c r="M122" s="203"/>
    </row>
    <row r="123" spans="1:14" x14ac:dyDescent="0.25">
      <c r="A123" s="223"/>
      <c r="B123" s="201" t="s">
        <v>473</v>
      </c>
      <c r="C123" s="201"/>
      <c r="D123" s="201"/>
      <c r="E123" s="201"/>
      <c r="F123" s="201"/>
      <c r="G123" s="201"/>
      <c r="H123" s="201"/>
      <c r="I123" s="222" t="s">
        <v>474</v>
      </c>
      <c r="J123" s="201"/>
      <c r="K123" s="201"/>
      <c r="L123" s="201"/>
      <c r="M123" s="203"/>
    </row>
    <row r="124" spans="1:14" x14ac:dyDescent="0.25">
      <c r="A124" s="223"/>
      <c r="B124" s="201" t="s">
        <v>475</v>
      </c>
      <c r="C124" s="201"/>
      <c r="D124" s="201"/>
      <c r="E124" s="201"/>
      <c r="F124" s="201"/>
      <c r="G124" s="201"/>
      <c r="H124" s="201"/>
      <c r="I124" s="222" t="s">
        <v>102</v>
      </c>
      <c r="J124" s="201"/>
      <c r="K124" s="201"/>
      <c r="L124" s="201"/>
      <c r="M124" s="203"/>
    </row>
    <row r="125" spans="1:14" x14ac:dyDescent="0.25">
      <c r="A125" s="223"/>
      <c r="B125" s="201"/>
      <c r="C125" s="201"/>
      <c r="D125" s="201"/>
      <c r="E125" s="201"/>
      <c r="F125" s="201"/>
      <c r="G125" s="201"/>
      <c r="H125" s="201"/>
      <c r="I125" s="201"/>
      <c r="J125" s="201"/>
      <c r="K125" s="201"/>
      <c r="L125" s="201"/>
      <c r="M125" s="203"/>
    </row>
    <row r="126" spans="1:14" x14ac:dyDescent="0.25">
      <c r="A126" s="223"/>
      <c r="B126" s="201"/>
      <c r="C126" s="201"/>
      <c r="D126" s="201"/>
      <c r="E126" s="201"/>
      <c r="F126" s="201"/>
      <c r="G126" s="201"/>
      <c r="H126" s="201"/>
      <c r="I126" s="201"/>
      <c r="J126" s="201"/>
      <c r="K126" s="201"/>
      <c r="L126" s="201"/>
      <c r="M126" s="203"/>
    </row>
    <row r="127" spans="1:14" x14ac:dyDescent="0.25">
      <c r="A127" s="223"/>
      <c r="B127" s="208" t="s">
        <v>439</v>
      </c>
      <c r="C127" s="198"/>
      <c r="D127" s="201"/>
      <c r="E127" s="198"/>
      <c r="F127" s="201"/>
      <c r="G127" s="201"/>
      <c r="H127" s="201"/>
      <c r="I127" s="208" t="s">
        <v>96</v>
      </c>
      <c r="J127" s="201"/>
      <c r="K127" s="201"/>
      <c r="L127" s="201"/>
      <c r="M127" s="203"/>
    </row>
    <row r="128" spans="1:14" x14ac:dyDescent="0.25">
      <c r="A128" s="223"/>
      <c r="B128" s="198" t="s">
        <v>28</v>
      </c>
      <c r="C128" s="198"/>
      <c r="D128" s="198"/>
      <c r="E128" s="198"/>
      <c r="F128" s="201"/>
      <c r="G128" s="201"/>
      <c r="H128" s="201"/>
      <c r="I128" s="201"/>
      <c r="J128" s="201"/>
      <c r="K128" s="201"/>
      <c r="L128" s="201"/>
      <c r="M128" s="203"/>
    </row>
    <row r="129" spans="1:13" x14ac:dyDescent="0.25">
      <c r="A129" s="223"/>
      <c r="B129" s="201" t="s">
        <v>477</v>
      </c>
      <c r="C129" s="201"/>
      <c r="D129" s="201"/>
      <c r="E129" s="201"/>
      <c r="F129" s="201"/>
      <c r="G129" s="201"/>
      <c r="H129" s="201"/>
      <c r="I129" s="201"/>
      <c r="J129" s="201"/>
      <c r="K129" s="201"/>
      <c r="L129" s="201"/>
      <c r="M129" s="203"/>
    </row>
    <row r="130" spans="1:13" x14ac:dyDescent="0.25">
      <c r="A130" s="223"/>
      <c r="B130" s="201" t="s">
        <v>638</v>
      </c>
      <c r="C130" s="201"/>
      <c r="D130" s="201"/>
      <c r="E130" s="201"/>
      <c r="F130" s="201"/>
      <c r="G130" s="201"/>
      <c r="H130" s="201"/>
      <c r="I130" s="201" t="s">
        <v>103</v>
      </c>
      <c r="J130" s="201"/>
      <c r="K130" s="201"/>
      <c r="L130" s="201"/>
      <c r="M130" s="203"/>
    </row>
    <row r="131" spans="1:13" x14ac:dyDescent="0.25">
      <c r="A131" s="223"/>
      <c r="B131" s="201" t="s">
        <v>478</v>
      </c>
      <c r="C131" s="201"/>
      <c r="D131" s="201"/>
      <c r="E131" s="201"/>
      <c r="F131" s="201"/>
      <c r="G131" s="201"/>
      <c r="H131" s="201"/>
      <c r="I131" s="201" t="s">
        <v>103</v>
      </c>
      <c r="J131" s="201"/>
      <c r="K131" s="201"/>
      <c r="L131" s="201"/>
      <c r="M131" s="203"/>
    </row>
    <row r="132" spans="1:13" x14ac:dyDescent="0.25">
      <c r="A132" s="223"/>
      <c r="B132" s="201" t="s">
        <v>479</v>
      </c>
      <c r="C132" s="201"/>
      <c r="D132" s="201"/>
      <c r="E132" s="201"/>
      <c r="F132" s="201"/>
      <c r="G132" s="201"/>
      <c r="H132" s="201"/>
      <c r="I132" s="201"/>
      <c r="J132" s="201"/>
      <c r="K132" s="201"/>
      <c r="L132" s="201"/>
      <c r="M132" s="203"/>
    </row>
    <row r="133" spans="1:13" x14ac:dyDescent="0.25">
      <c r="A133" s="223"/>
      <c r="B133" s="201"/>
      <c r="C133" s="201"/>
      <c r="D133" s="201"/>
      <c r="E133" s="201"/>
      <c r="F133" s="201"/>
      <c r="G133" s="201"/>
      <c r="H133" s="201"/>
      <c r="I133" s="201"/>
      <c r="J133" s="201"/>
      <c r="K133" s="201"/>
      <c r="L133" s="201"/>
      <c r="M133" s="203"/>
    </row>
    <row r="134" spans="1:13" x14ac:dyDescent="0.25">
      <c r="A134" s="223"/>
      <c r="B134" s="201" t="s">
        <v>497</v>
      </c>
      <c r="C134" s="224">
        <f>C92</f>
        <v>-277.66082224461309</v>
      </c>
      <c r="D134" s="201" t="s">
        <v>227</v>
      </c>
      <c r="E134" s="201"/>
      <c r="F134" s="201"/>
      <c r="G134" s="201"/>
      <c r="H134" s="201"/>
      <c r="I134" s="201"/>
      <c r="J134" s="201"/>
      <c r="K134" s="201"/>
      <c r="L134" s="201"/>
      <c r="M134" s="203"/>
    </row>
    <row r="135" spans="1:13" x14ac:dyDescent="0.25">
      <c r="A135" s="223"/>
      <c r="B135" s="201" t="s">
        <v>498</v>
      </c>
      <c r="C135" s="224">
        <f>C93</f>
        <v>5.5802134367236168E-2</v>
      </c>
      <c r="D135" s="201" t="s">
        <v>227</v>
      </c>
      <c r="E135" s="201"/>
      <c r="F135" s="201"/>
      <c r="G135" s="201"/>
      <c r="H135" s="201"/>
      <c r="I135" s="201"/>
      <c r="J135" s="201"/>
      <c r="K135" s="201"/>
      <c r="L135" s="201"/>
      <c r="M135" s="203"/>
    </row>
    <row r="136" spans="1:13" x14ac:dyDescent="0.25">
      <c r="A136" s="223"/>
      <c r="B136" s="201" t="s">
        <v>499</v>
      </c>
      <c r="C136" s="224">
        <f>C94</f>
        <v>-3.9230348594311651E-6</v>
      </c>
      <c r="D136" s="201" t="s">
        <v>227</v>
      </c>
      <c r="E136" s="201"/>
      <c r="F136" s="201"/>
      <c r="G136" s="201"/>
      <c r="H136" s="201"/>
      <c r="I136" s="201"/>
      <c r="J136" s="201"/>
      <c r="K136" s="201"/>
      <c r="L136" s="201"/>
      <c r="M136" s="203"/>
    </row>
    <row r="137" spans="1:13" x14ac:dyDescent="0.25">
      <c r="A137" s="223"/>
      <c r="B137" s="201" t="s">
        <v>500</v>
      </c>
      <c r="C137" s="224">
        <f>C95</f>
        <v>1.6708826140472028E-10</v>
      </c>
      <c r="D137" s="201" t="s">
        <v>227</v>
      </c>
      <c r="E137" s="201"/>
      <c r="F137" s="201"/>
      <c r="G137" s="201"/>
      <c r="H137" s="201"/>
      <c r="I137" s="201"/>
      <c r="J137" s="201"/>
      <c r="K137" s="201"/>
      <c r="L137" s="201"/>
      <c r="M137" s="203"/>
    </row>
    <row r="138" spans="1:13" x14ac:dyDescent="0.25">
      <c r="A138" s="223"/>
      <c r="B138" s="201" t="s">
        <v>501</v>
      </c>
      <c r="C138" s="224">
        <f>C96</f>
        <v>-2.8988744677035369E-15</v>
      </c>
      <c r="D138" s="201" t="s">
        <v>227</v>
      </c>
      <c r="E138" s="201"/>
      <c r="F138" s="201"/>
      <c r="G138" s="201"/>
      <c r="H138" s="201"/>
      <c r="I138" s="201"/>
      <c r="J138" s="201"/>
      <c r="K138" s="201"/>
      <c r="L138" s="201"/>
      <c r="M138" s="203"/>
    </row>
    <row r="139" spans="1:13" x14ac:dyDescent="0.25">
      <c r="A139" s="223"/>
      <c r="B139" s="201"/>
      <c r="C139" s="201"/>
      <c r="D139" s="201"/>
      <c r="E139" s="201"/>
      <c r="F139" s="201"/>
      <c r="G139" s="201"/>
      <c r="H139" s="201"/>
      <c r="I139" s="201"/>
      <c r="J139" s="201"/>
      <c r="K139" s="201"/>
      <c r="L139" s="201"/>
      <c r="M139" s="203"/>
    </row>
    <row r="140" spans="1:13" x14ac:dyDescent="0.25">
      <c r="A140" s="223"/>
      <c r="B140" s="201" t="s">
        <v>696</v>
      </c>
      <c r="C140" s="201"/>
      <c r="D140" s="201"/>
      <c r="E140" s="201"/>
      <c r="F140" s="201"/>
      <c r="G140" s="201"/>
      <c r="H140" s="201"/>
      <c r="I140" s="200"/>
      <c r="J140" s="222" t="s">
        <v>104</v>
      </c>
      <c r="K140" s="201"/>
      <c r="L140" s="201"/>
      <c r="M140" s="203"/>
    </row>
    <row r="141" spans="1:13" x14ac:dyDescent="0.25">
      <c r="A141" s="223"/>
      <c r="B141" s="201" t="s">
        <v>697</v>
      </c>
      <c r="C141" s="201"/>
      <c r="D141" s="201"/>
      <c r="E141" s="201"/>
      <c r="F141" s="201"/>
      <c r="G141" s="201"/>
      <c r="H141" s="201"/>
      <c r="I141" s="200"/>
      <c r="J141" s="222" t="s">
        <v>452</v>
      </c>
      <c r="K141" s="201"/>
      <c r="L141" s="201"/>
      <c r="M141" s="203"/>
    </row>
    <row r="142" spans="1:13" x14ac:dyDescent="0.25">
      <c r="A142" s="223"/>
      <c r="B142" s="201" t="s">
        <v>502</v>
      </c>
      <c r="C142" s="201"/>
      <c r="D142" s="201"/>
      <c r="E142" s="201"/>
      <c r="F142" s="201"/>
      <c r="G142" s="201"/>
      <c r="H142" s="201"/>
      <c r="I142" s="200"/>
      <c r="J142" s="222" t="s">
        <v>105</v>
      </c>
      <c r="K142" s="201"/>
      <c r="L142" s="201"/>
      <c r="M142" s="203"/>
    </row>
    <row r="143" spans="1:13" x14ac:dyDescent="0.25">
      <c r="A143" s="223"/>
      <c r="B143" s="201" t="s">
        <v>503</v>
      </c>
      <c r="C143" s="201"/>
      <c r="D143" s="201"/>
      <c r="E143" s="201"/>
      <c r="F143" s="201"/>
      <c r="G143" s="201"/>
      <c r="H143" s="201"/>
      <c r="I143" s="201"/>
      <c r="J143" s="201"/>
      <c r="K143" s="201"/>
      <c r="L143" s="201"/>
      <c r="M143" s="203"/>
    </row>
    <row r="144" spans="1:13" x14ac:dyDescent="0.25">
      <c r="A144" s="223"/>
      <c r="B144" s="201"/>
      <c r="C144" s="201"/>
      <c r="D144" s="201"/>
      <c r="E144" s="201"/>
      <c r="F144" s="201"/>
      <c r="G144" s="201"/>
      <c r="H144" s="201"/>
      <c r="I144" s="201"/>
      <c r="J144" s="201"/>
      <c r="K144" s="201"/>
      <c r="L144" s="201"/>
      <c r="M144" s="203"/>
    </row>
    <row r="145" spans="1:13" x14ac:dyDescent="0.25">
      <c r="A145" s="223"/>
      <c r="B145" s="201" t="s">
        <v>31</v>
      </c>
      <c r="C145" s="201"/>
      <c r="D145" s="201"/>
      <c r="E145" s="201"/>
      <c r="F145" s="201"/>
      <c r="G145" s="201"/>
      <c r="H145" s="201"/>
      <c r="I145" s="201"/>
      <c r="J145" s="201"/>
      <c r="K145" s="201"/>
      <c r="L145" s="201"/>
      <c r="M145" s="203"/>
    </row>
    <row r="146" spans="1:13" x14ac:dyDescent="0.25">
      <c r="A146" s="223"/>
      <c r="B146" s="201"/>
      <c r="C146" s="201"/>
      <c r="D146" s="201"/>
      <c r="E146" s="201"/>
      <c r="F146" s="201"/>
      <c r="G146" s="201"/>
      <c r="H146" s="201"/>
      <c r="I146" s="201"/>
      <c r="J146" s="201"/>
      <c r="K146" s="201"/>
      <c r="L146" s="201"/>
      <c r="M146" s="203"/>
    </row>
    <row r="147" spans="1:13" ht="13.8" thickBot="1" x14ac:dyDescent="0.3">
      <c r="A147" s="225"/>
      <c r="B147" s="226"/>
      <c r="C147" s="226"/>
      <c r="D147" s="226"/>
      <c r="E147" s="226"/>
      <c r="F147" s="226"/>
      <c r="G147" s="226"/>
      <c r="H147" s="226"/>
      <c r="I147" s="226"/>
      <c r="J147" s="226"/>
      <c r="K147" s="226"/>
      <c r="L147" s="226"/>
      <c r="M147" s="204"/>
    </row>
    <row r="148" spans="1:13" ht="13.8" thickTop="1" x14ac:dyDescent="0.25"/>
    <row r="149" spans="1:13" x14ac:dyDescent="0.25"/>
    <row r="150" spans="1:13" x14ac:dyDescent="0.25"/>
    <row r="151" spans="1:13" x14ac:dyDescent="0.25"/>
    <row r="152" spans="1:13" x14ac:dyDescent="0.25"/>
    <row r="153" spans="1:13" x14ac:dyDescent="0.25"/>
    <row r="154" spans="1:13" x14ac:dyDescent="0.25"/>
    <row r="155" spans="1:13" hidden="1" x14ac:dyDescent="0.25"/>
    <row r="156" spans="1:13" hidden="1" x14ac:dyDescent="0.25"/>
    <row r="157" spans="1:13" hidden="1" x14ac:dyDescent="0.25"/>
    <row r="158" spans="1:13" hidden="1" x14ac:dyDescent="0.25"/>
    <row r="159" spans="1:13" hidden="1" x14ac:dyDescent="0.25"/>
    <row r="160" spans="1:13"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x14ac:dyDescent="0.25"/>
    <row r="189" x14ac:dyDescent="0.25"/>
    <row r="190" x14ac:dyDescent="0.25"/>
    <row r="191" x14ac:dyDescent="0.25"/>
    <row r="192" x14ac:dyDescent="0.25"/>
    <row r="193" x14ac:dyDescent="0.25"/>
    <row r="194" x14ac:dyDescent="0.25"/>
    <row r="195" x14ac:dyDescent="0.25"/>
    <row r="196" x14ac:dyDescent="0.25"/>
    <row r="197" x14ac:dyDescent="0.25"/>
    <row r="198" x14ac:dyDescent="0.25"/>
    <row r="199" x14ac:dyDescent="0.25"/>
    <row r="200" x14ac:dyDescent="0.25"/>
    <row r="201" x14ac:dyDescent="0.25"/>
    <row r="202" x14ac:dyDescent="0.25"/>
  </sheetData>
  <sheetProtection algorithmName="SHA-512" hashValue="aLbJ6q+tW92NyoREysvkQFi2eNDrzkBJnwOAjBFZaJPvRl3eC1Z5Bpb0wva7+mKvJ5QJUs98HrKj/DtEDEmQzA==" saltValue="kYMd3tMpy8Cjns4LCsyXXw==" spinCount="100000" sheet="1" objects="1" scenarios="1"/>
  <mergeCells count="2">
    <mergeCell ref="A1:U3"/>
    <mergeCell ref="A4:Y4"/>
  </mergeCells>
  <hyperlinks>
    <hyperlink ref="A5" location="Main!K41" display="Return to Menu" xr:uid="{00000000-0004-0000-0400-000000000000}"/>
    <hyperlink ref="B28" location="'4th Order Polynomial Tmp vs Res'!A147" display="Example Code" xr:uid="{00000000-0004-0000-0400-000001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decimal" allowBlank="1" showInputMessage="1" showErrorMessage="1" errorTitle="High temperature" error="Enter a value between -40 and the maximum operating temperature of the device selected." promptTitle="High temperature" prompt="Enter a value between -40 and the maximum operating temperature of the device selected." xr:uid="{00000000-0002-0000-0400-000000000000}">
          <x14:formula1>
            <xm:f>-40</xm:f>
          </x14:formula1>
          <x14:formula2>
            <xm:f>VLOOKUP(Main!$N$22,Coefficients!$E$2:$H$28,4,FALSE)</xm:f>
          </x14:formula2>
          <xm:sqref>C83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A1:AJ189"/>
  <sheetViews>
    <sheetView showGridLines="0" zoomScale="80" zoomScaleNormal="80" workbookViewId="0">
      <selection activeCell="A123" sqref="A123"/>
    </sheetView>
  </sheetViews>
  <sheetFormatPr defaultColWidth="0" defaultRowHeight="0" customHeight="1" zeroHeight="1" x14ac:dyDescent="0.25"/>
  <cols>
    <col min="1" max="1" width="14.6640625" style="256" customWidth="1"/>
    <col min="2" max="2" width="24.6640625" style="256" customWidth="1"/>
    <col min="3" max="3" width="20.109375" style="256" customWidth="1"/>
    <col min="4" max="4" width="17.88671875" style="256" customWidth="1"/>
    <col min="5" max="5" width="20.109375" style="256" customWidth="1"/>
    <col min="6" max="6" width="18.5546875" style="256" customWidth="1"/>
    <col min="7" max="7" width="14.6640625" style="256" customWidth="1"/>
    <col min="8" max="9" width="16.109375" style="256" customWidth="1"/>
    <col min="10" max="10" width="16.88671875" style="256" customWidth="1"/>
    <col min="11" max="11" width="14.44140625" style="256" customWidth="1"/>
    <col min="12" max="12" width="17" style="256" customWidth="1"/>
    <col min="13" max="13" width="16.6640625" style="256" customWidth="1"/>
    <col min="14" max="23" width="10.6640625" style="256" customWidth="1"/>
    <col min="24" max="25" width="9.109375" style="256" customWidth="1"/>
    <col min="26" max="36" width="0" style="256" hidden="1" customWidth="1"/>
    <col min="37" max="16384" width="9.109375" style="256" hidden="1"/>
  </cols>
  <sheetData>
    <row r="1" spans="1:36" s="2" customFormat="1" ht="13.2" x14ac:dyDescent="0.25">
      <c r="A1" s="760"/>
      <c r="B1" s="760"/>
      <c r="C1" s="760"/>
      <c r="D1" s="760"/>
      <c r="E1" s="760"/>
      <c r="F1" s="760"/>
      <c r="G1" s="760"/>
      <c r="H1" s="760"/>
      <c r="I1" s="760"/>
      <c r="J1" s="760"/>
      <c r="K1" s="760"/>
      <c r="L1" s="760"/>
      <c r="M1" s="760"/>
      <c r="N1" s="760"/>
      <c r="O1" s="760"/>
      <c r="P1" s="760"/>
      <c r="Q1" s="760"/>
      <c r="R1" s="760"/>
      <c r="S1" s="760"/>
      <c r="T1" s="760"/>
      <c r="U1" s="760"/>
      <c r="V1" s="1"/>
      <c r="W1" s="1"/>
      <c r="X1" s="1"/>
      <c r="Y1" s="1"/>
      <c r="Z1" s="1"/>
      <c r="AA1" s="1"/>
      <c r="AB1" s="1"/>
      <c r="AC1" s="1"/>
      <c r="AD1" s="1"/>
      <c r="AE1" s="1"/>
      <c r="AF1" s="1"/>
      <c r="AG1" s="1"/>
      <c r="AH1" s="1"/>
      <c r="AI1" s="1"/>
      <c r="AJ1" s="1"/>
    </row>
    <row r="2" spans="1:36" s="2" customFormat="1" ht="13.2" x14ac:dyDescent="0.25">
      <c r="A2" s="760"/>
      <c r="B2" s="760"/>
      <c r="C2" s="760"/>
      <c r="D2" s="760"/>
      <c r="E2" s="760"/>
      <c r="F2" s="760"/>
      <c r="G2" s="760"/>
      <c r="H2" s="760"/>
      <c r="I2" s="760"/>
      <c r="J2" s="760"/>
      <c r="K2" s="760"/>
      <c r="L2" s="760"/>
      <c r="M2" s="760"/>
      <c r="N2" s="760"/>
      <c r="O2" s="760"/>
      <c r="P2" s="760"/>
      <c r="Q2" s="760"/>
      <c r="R2" s="760"/>
      <c r="S2" s="760"/>
      <c r="T2" s="760"/>
      <c r="U2" s="760"/>
      <c r="V2" s="1"/>
      <c r="W2" s="1"/>
      <c r="X2" s="1"/>
      <c r="Y2" s="1"/>
      <c r="Z2" s="1"/>
      <c r="AA2" s="1"/>
      <c r="AB2" s="1"/>
      <c r="AC2" s="1"/>
      <c r="AD2" s="1"/>
      <c r="AE2" s="1"/>
      <c r="AF2" s="1"/>
      <c r="AG2" s="1"/>
      <c r="AH2" s="1"/>
      <c r="AI2" s="1"/>
      <c r="AJ2" s="1"/>
    </row>
    <row r="3" spans="1:36" s="2" customFormat="1" ht="13.2" x14ac:dyDescent="0.25">
      <c r="A3" s="760"/>
      <c r="B3" s="760"/>
      <c r="C3" s="760"/>
      <c r="D3" s="760"/>
      <c r="E3" s="760"/>
      <c r="F3" s="760"/>
      <c r="G3" s="760"/>
      <c r="H3" s="760"/>
      <c r="I3" s="760"/>
      <c r="J3" s="760"/>
      <c r="K3" s="760"/>
      <c r="L3" s="760"/>
      <c r="M3" s="760"/>
      <c r="N3" s="760"/>
      <c r="O3" s="760"/>
      <c r="P3" s="760"/>
      <c r="Q3" s="760"/>
      <c r="R3" s="760"/>
      <c r="S3" s="760"/>
      <c r="T3" s="760"/>
      <c r="U3" s="760"/>
      <c r="V3" s="1"/>
      <c r="W3" s="1"/>
      <c r="X3" s="1"/>
      <c r="Y3" s="1"/>
      <c r="Z3" s="1"/>
      <c r="AA3" s="1"/>
      <c r="AB3" s="1"/>
      <c r="AC3" s="1"/>
      <c r="AD3" s="1"/>
      <c r="AE3" s="1"/>
      <c r="AF3" s="1"/>
      <c r="AG3" s="1"/>
      <c r="AH3" s="1"/>
      <c r="AI3" s="1"/>
      <c r="AJ3" s="1"/>
    </row>
    <row r="4" spans="1:36" s="2" customFormat="1" ht="12.75" customHeight="1" x14ac:dyDescent="0.25">
      <c r="A4" s="761"/>
      <c r="B4" s="762"/>
      <c r="C4" s="762"/>
      <c r="D4" s="762"/>
      <c r="E4" s="762"/>
      <c r="F4" s="762"/>
      <c r="G4" s="762"/>
      <c r="H4" s="762"/>
      <c r="I4" s="762"/>
      <c r="J4" s="762"/>
      <c r="K4" s="762"/>
      <c r="L4" s="762"/>
      <c r="M4" s="762"/>
      <c r="N4" s="762"/>
      <c r="O4" s="762"/>
      <c r="P4" s="762"/>
      <c r="Q4" s="762"/>
      <c r="R4" s="762"/>
      <c r="S4" s="762"/>
      <c r="T4" s="762"/>
      <c r="U4" s="762"/>
      <c r="V4" s="762"/>
      <c r="W4" s="762"/>
      <c r="X4" s="762"/>
      <c r="Y4" s="762"/>
      <c r="Z4" s="1"/>
      <c r="AA4" s="1"/>
      <c r="AB4" s="1"/>
      <c r="AC4" s="1"/>
      <c r="AD4" s="1"/>
      <c r="AE4" s="1"/>
      <c r="AF4" s="1"/>
      <c r="AG4" s="1"/>
      <c r="AH4" s="1"/>
      <c r="AI4" s="1"/>
      <c r="AJ4" s="1"/>
    </row>
    <row r="5" spans="1:36" ht="15" x14ac:dyDescent="0.25">
      <c r="A5" s="460" t="s">
        <v>71</v>
      </c>
      <c r="B5" s="253"/>
      <c r="C5" s="253"/>
    </row>
    <row r="6" spans="1:36" ht="15.6" x14ac:dyDescent="0.3">
      <c r="A6" s="136"/>
      <c r="B6" s="257"/>
      <c r="C6" s="257"/>
      <c r="D6" s="257"/>
    </row>
    <row r="7" spans="1:36" ht="15.6" x14ac:dyDescent="0.3">
      <c r="A7" s="136"/>
      <c r="B7" s="257"/>
      <c r="C7" s="257"/>
      <c r="D7" s="257"/>
    </row>
    <row r="8" spans="1:36" ht="15.6" x14ac:dyDescent="0.3">
      <c r="A8" s="136"/>
      <c r="B8" s="257"/>
      <c r="C8" s="257"/>
      <c r="D8" s="257"/>
    </row>
    <row r="9" spans="1:36" ht="15.6" x14ac:dyDescent="0.3">
      <c r="A9" s="136"/>
      <c r="B9" s="257"/>
      <c r="C9" s="257"/>
      <c r="D9" s="257"/>
    </row>
    <row r="10" spans="1:36" ht="15.6" x14ac:dyDescent="0.3">
      <c r="A10" s="136"/>
      <c r="B10" s="257"/>
      <c r="C10" s="257"/>
      <c r="D10" s="257"/>
    </row>
    <row r="11" spans="1:36" ht="15.6" x14ac:dyDescent="0.3">
      <c r="A11" s="136"/>
      <c r="B11" s="257"/>
      <c r="C11" s="257"/>
      <c r="D11" s="257"/>
    </row>
    <row r="12" spans="1:36" ht="15.6" x14ac:dyDescent="0.3">
      <c r="A12" s="136"/>
      <c r="B12" s="257"/>
      <c r="C12" s="257"/>
      <c r="D12" s="257"/>
    </row>
    <row r="13" spans="1:36" s="257" customFormat="1" ht="15.6" x14ac:dyDescent="0.3">
      <c r="A13" s="136"/>
    </row>
    <row r="14" spans="1:36" s="257" customFormat="1" ht="15.6" x14ac:dyDescent="0.3">
      <c r="A14" s="136"/>
    </row>
    <row r="15" spans="1:36" s="257" customFormat="1" ht="15.6" x14ac:dyDescent="0.3">
      <c r="A15" s="136"/>
    </row>
    <row r="16" spans="1:36" s="257" customFormat="1" ht="15.6" x14ac:dyDescent="0.3">
      <c r="A16" s="136"/>
    </row>
    <row r="17" spans="1:18" s="257" customFormat="1" ht="15.6" x14ac:dyDescent="0.3">
      <c r="A17" s="136"/>
    </row>
    <row r="18" spans="1:18" s="257" customFormat="1" ht="15.6" x14ac:dyDescent="0.3">
      <c r="A18" s="136"/>
    </row>
    <row r="19" spans="1:18" s="257" customFormat="1" ht="15.6" x14ac:dyDescent="0.3">
      <c r="A19" s="136"/>
    </row>
    <row r="20" spans="1:18" ht="13.2" x14ac:dyDescent="0.25"/>
    <row r="21" spans="1:18" ht="13.2" x14ac:dyDescent="0.25"/>
    <row r="22" spans="1:18" ht="15.6" x14ac:dyDescent="0.3">
      <c r="A22" s="538" t="s">
        <v>252</v>
      </c>
      <c r="B22" s="283" t="str">
        <f>Main!$N$22</f>
        <v>TMP6131DECR</v>
      </c>
      <c r="C22" s="483"/>
    </row>
    <row r="23" spans="1:18" ht="15.6" x14ac:dyDescent="0.3">
      <c r="A23" s="538" t="s">
        <v>442</v>
      </c>
      <c r="B23" s="361">
        <f>Main!$N$25</f>
        <v>140</v>
      </c>
      <c r="C23" s="273" t="s">
        <v>441</v>
      </c>
    </row>
    <row r="24" spans="1:18" ht="15.6" x14ac:dyDescent="0.3">
      <c r="A24" s="538" t="s">
        <v>42</v>
      </c>
      <c r="B24" s="312">
        <f>Main!$N$28</f>
        <v>12</v>
      </c>
      <c r="C24" s="273" t="s">
        <v>16</v>
      </c>
    </row>
    <row r="25" spans="1:18" ht="15.6" x14ac:dyDescent="0.3">
      <c r="A25" s="538" t="s">
        <v>265</v>
      </c>
      <c r="B25" s="355">
        <f>Main!$N$31</f>
        <v>3</v>
      </c>
      <c r="C25" s="273" t="s">
        <v>2</v>
      </c>
    </row>
    <row r="26" spans="1:18" ht="13.2" x14ac:dyDescent="0.25"/>
    <row r="27" spans="1:18" ht="13.2" x14ac:dyDescent="0.25"/>
    <row r="28" spans="1:18" ht="15" x14ac:dyDescent="0.25">
      <c r="B28" s="460" t="s">
        <v>209</v>
      </c>
    </row>
    <row r="29" spans="1:18" ht="15" customHeight="1" x14ac:dyDescent="0.25"/>
    <row r="30" spans="1:18" ht="15.75" customHeight="1" x14ac:dyDescent="0.25"/>
    <row r="31" spans="1:18" ht="17.25" hidden="1" customHeight="1" x14ac:dyDescent="0.25">
      <c r="B31" s="130"/>
      <c r="C31" s="255"/>
      <c r="D31" s="255"/>
      <c r="E31" s="255"/>
      <c r="F31" s="255"/>
      <c r="G31" s="255"/>
      <c r="H31" s="254"/>
      <c r="I31" s="254"/>
      <c r="J31" s="254"/>
      <c r="K31" s="254"/>
      <c r="L31" s="254"/>
      <c r="M31" s="254"/>
      <c r="N31" s="254"/>
      <c r="P31" s="254"/>
      <c r="Q31" s="254"/>
      <c r="R31" s="253"/>
    </row>
    <row r="32" spans="1:18" ht="14.25" hidden="1" customHeight="1" x14ac:dyDescent="0.25">
      <c r="B32" s="66" t="s">
        <v>635</v>
      </c>
      <c r="D32" s="253"/>
      <c r="E32" s="253"/>
      <c r="F32" s="253"/>
      <c r="G32" s="253"/>
      <c r="J32" s="253"/>
      <c r="K32" s="253"/>
      <c r="L32" s="253"/>
    </row>
    <row r="33" spans="1:18" ht="14.25" hidden="1" customHeight="1" x14ac:dyDescent="0.25">
      <c r="B33" s="81" t="s">
        <v>81</v>
      </c>
      <c r="C33" s="81" t="s">
        <v>80</v>
      </c>
      <c r="D33" s="81" t="s">
        <v>79</v>
      </c>
      <c r="E33" s="81" t="s">
        <v>78</v>
      </c>
      <c r="F33" s="81" t="s">
        <v>77</v>
      </c>
      <c r="G33" s="78"/>
      <c r="K33" s="253"/>
      <c r="L33" s="253"/>
    </row>
    <row r="34" spans="1:18" ht="15.75" hidden="1" customHeight="1" x14ac:dyDescent="0.25">
      <c r="B34" s="176">
        <f t="array" ref="B34:F34">IF((VLOOKUP(Main!$N$22,Coefficients!$E$2:$H$28,4,FALSE)) = 125,LINEST('NTC Thermistor Comparison'!B36:B201,'NTC Thermistor Comparison'!F36:F201^{1,2,3,4},TRUE,FALSE),LINEST('NTC Thermistor Comparison'!B36:B226,'NTC Thermistor Comparison'!F36:F226^{1,2,3,4},TRUE,FALSE))</f>
        <v>-7.5460080896060804</v>
      </c>
      <c r="C34" s="176">
        <v>60.892223543985835</v>
      </c>
      <c r="D34" s="176">
        <v>-200.15483976687509</v>
      </c>
      <c r="E34" s="176">
        <v>398.58667405166437</v>
      </c>
      <c r="F34" s="176">
        <v>-277.66082224460388</v>
      </c>
      <c r="G34" s="173" t="s">
        <v>58</v>
      </c>
      <c r="K34" s="253"/>
      <c r="L34" s="253"/>
    </row>
    <row r="35" spans="1:18" ht="14.4" hidden="1" x14ac:dyDescent="0.25">
      <c r="B35" s="199"/>
      <c r="C35" s="255"/>
      <c r="D35" s="82"/>
      <c r="E35" s="82"/>
      <c r="F35" s="82"/>
      <c r="G35" s="82"/>
      <c r="H35" s="253"/>
      <c r="I35" s="253"/>
      <c r="J35" s="253"/>
      <c r="K35" s="253"/>
      <c r="L35" s="253"/>
      <c r="M35" s="253"/>
      <c r="N35" s="253"/>
      <c r="O35" s="253"/>
      <c r="P35" s="253"/>
      <c r="Q35" s="253"/>
      <c r="R35" s="253"/>
    </row>
    <row r="36" spans="1:18" ht="14.4" x14ac:dyDescent="0.25">
      <c r="A36" s="441"/>
      <c r="B36" s="199"/>
      <c r="C36" s="255"/>
      <c r="D36" s="82"/>
      <c r="E36" s="82"/>
      <c r="F36" s="82"/>
      <c r="G36" s="82"/>
      <c r="H36" s="253"/>
      <c r="I36" s="253"/>
      <c r="J36" s="253"/>
      <c r="K36" s="253"/>
      <c r="L36" s="253"/>
      <c r="M36" s="253"/>
      <c r="N36" s="253"/>
      <c r="O36" s="253"/>
      <c r="P36" s="253"/>
      <c r="Q36" s="253"/>
      <c r="R36" s="253"/>
    </row>
    <row r="37" spans="1:18" ht="14.4" x14ac:dyDescent="0.25">
      <c r="B37" s="199"/>
      <c r="C37" s="255"/>
      <c r="D37" s="82"/>
      <c r="E37" s="82"/>
      <c r="F37" s="82"/>
      <c r="G37" s="82"/>
      <c r="H37" s="253"/>
      <c r="I37" s="253"/>
      <c r="J37" s="253"/>
      <c r="K37" s="253"/>
      <c r="L37" s="253"/>
      <c r="M37" s="253"/>
      <c r="N37" s="253"/>
      <c r="O37" s="253"/>
      <c r="P37" s="253"/>
      <c r="Q37" s="253"/>
      <c r="R37" s="253"/>
    </row>
    <row r="38" spans="1:18" ht="14.4" x14ac:dyDescent="0.25">
      <c r="B38" s="199"/>
      <c r="C38" s="255"/>
      <c r="D38" s="82"/>
      <c r="E38" s="82"/>
      <c r="F38" s="82"/>
      <c r="G38" s="82"/>
      <c r="H38" s="253"/>
      <c r="I38" s="253"/>
      <c r="J38" s="253"/>
      <c r="K38" s="253"/>
      <c r="L38" s="253"/>
      <c r="M38" s="253"/>
      <c r="N38" s="253"/>
      <c r="O38" s="253"/>
      <c r="P38" s="253"/>
      <c r="Q38" s="253"/>
      <c r="R38" s="253"/>
    </row>
    <row r="39" spans="1:18" ht="14.4" x14ac:dyDescent="0.25">
      <c r="B39" s="199"/>
      <c r="C39" s="255"/>
      <c r="D39" s="82"/>
      <c r="E39" s="82"/>
      <c r="F39" s="82"/>
      <c r="G39" s="82"/>
      <c r="H39" s="253"/>
      <c r="I39" s="253"/>
      <c r="J39" s="253"/>
      <c r="K39" s="253"/>
      <c r="L39" s="253"/>
      <c r="M39" s="253"/>
      <c r="N39" s="253"/>
      <c r="O39" s="253"/>
      <c r="P39" s="253"/>
      <c r="Q39" s="253"/>
      <c r="R39" s="253"/>
    </row>
    <row r="40" spans="1:18" ht="14.4" x14ac:dyDescent="0.25">
      <c r="B40" s="199"/>
      <c r="C40" s="255"/>
      <c r="D40" s="82"/>
      <c r="E40" s="82"/>
      <c r="F40" s="82"/>
      <c r="G40" s="82"/>
      <c r="H40" s="253"/>
      <c r="I40" s="253"/>
      <c r="J40" s="253"/>
      <c r="K40" s="253"/>
      <c r="L40" s="253"/>
      <c r="M40" s="253"/>
      <c r="N40" s="253"/>
      <c r="O40" s="253"/>
      <c r="P40" s="253"/>
      <c r="Q40" s="253"/>
      <c r="R40" s="253"/>
    </row>
    <row r="41" spans="1:18" ht="14.4" x14ac:dyDescent="0.25">
      <c r="B41" s="199"/>
      <c r="C41" s="255"/>
      <c r="D41" s="82"/>
      <c r="E41" s="82"/>
      <c r="F41" s="82"/>
      <c r="G41" s="82"/>
      <c r="H41" s="253"/>
      <c r="I41" s="253"/>
      <c r="J41" s="253"/>
      <c r="K41" s="253"/>
      <c r="L41" s="253"/>
      <c r="M41" s="253"/>
      <c r="N41" s="253"/>
      <c r="O41" s="253"/>
      <c r="P41" s="253"/>
      <c r="Q41" s="253"/>
      <c r="R41" s="253"/>
    </row>
    <row r="42" spans="1:18" ht="14.4" x14ac:dyDescent="0.25">
      <c r="B42" s="199"/>
      <c r="C42" s="255"/>
      <c r="D42" s="82"/>
      <c r="E42" s="82"/>
      <c r="F42" s="82"/>
      <c r="G42" s="82"/>
      <c r="H42" s="253"/>
      <c r="I42" s="253"/>
      <c r="J42" s="253"/>
      <c r="K42" s="253"/>
      <c r="L42" s="253"/>
      <c r="M42" s="253"/>
      <c r="N42" s="253"/>
      <c r="O42" s="253"/>
      <c r="P42" s="253"/>
      <c r="Q42" s="253"/>
      <c r="R42" s="253"/>
    </row>
    <row r="43" spans="1:18" ht="14.4" x14ac:dyDescent="0.25">
      <c r="B43" s="199"/>
      <c r="C43" s="255"/>
      <c r="D43" s="82"/>
      <c r="E43" s="82"/>
      <c r="F43" s="82"/>
      <c r="G43" s="82"/>
      <c r="H43" s="253"/>
      <c r="I43" s="253"/>
      <c r="J43" s="253"/>
      <c r="K43" s="253"/>
      <c r="L43" s="253"/>
      <c r="M43" s="253"/>
      <c r="N43" s="253"/>
      <c r="O43" s="253"/>
      <c r="P43" s="253"/>
      <c r="Q43" s="253"/>
      <c r="R43" s="253"/>
    </row>
    <row r="44" spans="1:18" ht="14.4" x14ac:dyDescent="0.25">
      <c r="B44" s="199"/>
      <c r="C44" s="255"/>
      <c r="D44" s="82"/>
      <c r="E44" s="82"/>
      <c r="F44" s="82"/>
      <c r="G44" s="82"/>
      <c r="H44" s="253"/>
      <c r="I44" s="253"/>
      <c r="J44" s="253"/>
      <c r="K44" s="253"/>
      <c r="L44" s="253"/>
      <c r="M44" s="253"/>
      <c r="N44" s="253"/>
      <c r="O44" s="253"/>
      <c r="P44" s="253"/>
      <c r="Q44" s="253"/>
      <c r="R44" s="253"/>
    </row>
    <row r="45" spans="1:18" ht="14.4" x14ac:dyDescent="0.25">
      <c r="B45" s="199"/>
      <c r="C45" s="255"/>
      <c r="D45" s="82"/>
      <c r="E45" s="82"/>
      <c r="F45" s="82"/>
      <c r="G45" s="82"/>
      <c r="H45" s="253"/>
      <c r="I45" s="253"/>
      <c r="J45" s="253"/>
      <c r="K45" s="253"/>
      <c r="L45" s="253"/>
      <c r="M45" s="253"/>
      <c r="N45" s="253"/>
      <c r="O45" s="253"/>
      <c r="P45" s="253"/>
      <c r="Q45" s="253"/>
      <c r="R45" s="253"/>
    </row>
    <row r="46" spans="1:18" ht="14.4" x14ac:dyDescent="0.25">
      <c r="B46" s="199"/>
      <c r="C46" s="255"/>
      <c r="D46" s="82"/>
      <c r="E46" s="82"/>
      <c r="F46" s="82"/>
      <c r="G46" s="82"/>
      <c r="H46" s="253"/>
      <c r="I46" s="253"/>
      <c r="J46" s="253"/>
      <c r="K46" s="253"/>
      <c r="L46" s="253"/>
      <c r="M46" s="253"/>
      <c r="N46" s="253"/>
      <c r="O46" s="253"/>
      <c r="P46" s="253"/>
      <c r="Q46" s="253"/>
      <c r="R46" s="253"/>
    </row>
    <row r="47" spans="1:18" ht="14.4" x14ac:dyDescent="0.25">
      <c r="B47" s="199"/>
      <c r="C47" s="255"/>
      <c r="D47" s="82"/>
      <c r="E47" s="82"/>
      <c r="F47" s="82"/>
      <c r="G47" s="82"/>
      <c r="H47" s="253"/>
      <c r="I47" s="253"/>
      <c r="J47" s="253"/>
      <c r="K47" s="253"/>
      <c r="L47" s="253"/>
      <c r="M47" s="253"/>
      <c r="N47" s="253"/>
      <c r="O47" s="253"/>
      <c r="P47" s="253"/>
      <c r="Q47" s="253"/>
      <c r="R47" s="253"/>
    </row>
    <row r="48" spans="1:18" ht="14.4" x14ac:dyDescent="0.25">
      <c r="B48" s="199"/>
      <c r="C48" s="255"/>
      <c r="D48" s="82"/>
      <c r="E48" s="82"/>
      <c r="F48" s="82"/>
      <c r="G48" s="82"/>
      <c r="H48" s="253"/>
      <c r="I48" s="253"/>
      <c r="J48" s="253"/>
      <c r="K48" s="253"/>
      <c r="L48" s="253"/>
      <c r="M48" s="253"/>
      <c r="N48" s="253"/>
      <c r="O48" s="253"/>
      <c r="P48" s="253"/>
      <c r="Q48" s="253"/>
      <c r="R48" s="253"/>
    </row>
    <row r="49" spans="2:19" ht="14.4" x14ac:dyDescent="0.25">
      <c r="B49" s="199"/>
      <c r="C49" s="255"/>
      <c r="D49" s="82"/>
      <c r="E49" s="82"/>
      <c r="F49" s="82"/>
      <c r="G49" s="82"/>
      <c r="H49" s="253"/>
      <c r="I49" s="253"/>
      <c r="J49" s="253"/>
      <c r="K49" s="253"/>
      <c r="L49" s="253"/>
      <c r="M49" s="253"/>
      <c r="N49" s="253"/>
      <c r="O49" s="253"/>
      <c r="P49" s="253"/>
      <c r="Q49" s="253"/>
      <c r="R49" s="253"/>
    </row>
    <row r="50" spans="2:19" ht="14.4" x14ac:dyDescent="0.25">
      <c r="B50" s="199"/>
      <c r="C50" s="255"/>
      <c r="D50" s="82"/>
      <c r="E50" s="82"/>
      <c r="F50" s="82"/>
      <c r="G50" s="82"/>
      <c r="H50" s="253"/>
      <c r="I50" s="253"/>
      <c r="J50" s="253"/>
      <c r="K50" s="253"/>
      <c r="L50" s="253"/>
      <c r="M50" s="253"/>
      <c r="N50" s="253"/>
      <c r="O50" s="253"/>
      <c r="P50" s="253"/>
      <c r="Q50" s="253"/>
      <c r="R50" s="253"/>
    </row>
    <row r="51" spans="2:19" ht="14.4" x14ac:dyDescent="0.25">
      <c r="B51" s="199"/>
      <c r="C51" s="255"/>
      <c r="D51" s="82"/>
      <c r="E51" s="82"/>
      <c r="F51" s="82"/>
      <c r="G51" s="82"/>
      <c r="H51" s="253"/>
      <c r="I51" s="253"/>
      <c r="J51" s="253"/>
      <c r="K51" s="253"/>
      <c r="L51" s="253"/>
      <c r="M51" s="253"/>
      <c r="N51" s="253"/>
      <c r="O51" s="253"/>
      <c r="P51" s="253"/>
      <c r="Q51" s="253"/>
      <c r="R51" s="253"/>
    </row>
    <row r="52" spans="2:19" ht="14.4" x14ac:dyDescent="0.25">
      <c r="B52" s="199"/>
      <c r="C52" s="255"/>
      <c r="D52" s="82"/>
      <c r="E52" s="82"/>
      <c r="F52" s="82"/>
      <c r="G52" s="82"/>
      <c r="H52" s="253"/>
      <c r="I52" s="253"/>
      <c r="J52" s="253"/>
      <c r="K52" s="253"/>
      <c r="L52" s="253"/>
      <c r="M52" s="253"/>
      <c r="N52" s="253"/>
      <c r="O52" s="253"/>
      <c r="P52" s="253"/>
      <c r="Q52" s="253"/>
      <c r="R52" s="253"/>
    </row>
    <row r="53" spans="2:19" ht="14.4" x14ac:dyDescent="0.25">
      <c r="B53" s="199"/>
      <c r="C53" s="255"/>
      <c r="D53" s="82"/>
      <c r="E53" s="82"/>
      <c r="F53" s="82"/>
      <c r="G53" s="82"/>
      <c r="H53" s="253"/>
      <c r="I53" s="253"/>
      <c r="J53" s="253"/>
      <c r="K53" s="253"/>
      <c r="L53" s="253"/>
      <c r="M53" s="253"/>
      <c r="N53" s="253"/>
      <c r="O53" s="253"/>
      <c r="P53" s="253"/>
      <c r="Q53" s="253"/>
      <c r="R53" s="253"/>
    </row>
    <row r="54" spans="2:19" ht="14.4" x14ac:dyDescent="0.25">
      <c r="B54" s="199"/>
      <c r="C54" s="255"/>
      <c r="D54" s="82"/>
      <c r="E54" s="82"/>
      <c r="F54" s="82"/>
      <c r="G54" s="82"/>
      <c r="H54" s="253"/>
      <c r="I54" s="253"/>
      <c r="J54" s="253"/>
      <c r="K54" s="253"/>
      <c r="L54" s="253"/>
      <c r="M54" s="253"/>
      <c r="N54" s="253"/>
      <c r="O54" s="253"/>
      <c r="P54" s="253"/>
      <c r="Q54" s="253"/>
      <c r="R54" s="253"/>
    </row>
    <row r="55" spans="2:19" ht="14.4" x14ac:dyDescent="0.25">
      <c r="B55" s="199"/>
      <c r="C55" s="255"/>
      <c r="D55" s="82"/>
      <c r="E55" s="82"/>
      <c r="F55" s="82"/>
      <c r="G55" s="82"/>
      <c r="H55" s="253"/>
      <c r="I55" s="253"/>
      <c r="J55" s="253"/>
      <c r="K55" s="253"/>
      <c r="L55" s="253"/>
      <c r="M55" s="253"/>
      <c r="N55" s="253"/>
      <c r="O55" s="253"/>
      <c r="P55" s="253"/>
      <c r="Q55" s="253"/>
      <c r="R55" s="253"/>
    </row>
    <row r="56" spans="2:19" ht="14.4" x14ac:dyDescent="0.25">
      <c r="B56" s="199"/>
      <c r="C56" s="255"/>
      <c r="D56" s="82"/>
      <c r="E56" s="82"/>
      <c r="F56" s="82"/>
      <c r="G56" s="82"/>
      <c r="H56" s="253"/>
      <c r="I56" s="253"/>
      <c r="J56" s="253"/>
      <c r="K56" s="253"/>
      <c r="L56" s="253"/>
      <c r="M56" s="253"/>
      <c r="N56" s="253"/>
      <c r="O56" s="253"/>
      <c r="P56" s="253"/>
      <c r="Q56" s="253"/>
      <c r="R56" s="253"/>
    </row>
    <row r="57" spans="2:19" ht="14.4" x14ac:dyDescent="0.25">
      <c r="B57" s="199"/>
      <c r="C57" s="255"/>
      <c r="D57" s="82"/>
      <c r="E57" s="82"/>
      <c r="F57" s="82"/>
      <c r="G57" s="82"/>
      <c r="H57" s="253"/>
      <c r="I57" s="253"/>
      <c r="J57" s="253"/>
      <c r="K57" s="253"/>
      <c r="L57" s="253"/>
      <c r="M57" s="253"/>
      <c r="N57" s="253"/>
      <c r="O57" s="253"/>
      <c r="P57" s="253"/>
      <c r="Q57" s="253"/>
      <c r="R57" s="253"/>
    </row>
    <row r="58" spans="2:19" ht="14.4" x14ac:dyDescent="0.25">
      <c r="B58" s="199"/>
      <c r="C58" s="255"/>
      <c r="D58" s="82"/>
      <c r="E58" s="82"/>
      <c r="F58" s="82"/>
      <c r="G58" s="82"/>
      <c r="H58" s="253"/>
      <c r="I58" s="253"/>
      <c r="J58" s="253"/>
      <c r="K58" s="253"/>
      <c r="L58" s="253"/>
      <c r="M58" s="253"/>
      <c r="N58" s="253"/>
      <c r="O58" s="253"/>
      <c r="P58" s="253"/>
      <c r="Q58" s="253"/>
      <c r="R58" s="253"/>
    </row>
    <row r="59" spans="2:19" ht="14.4" x14ac:dyDescent="0.25">
      <c r="B59" s="199"/>
      <c r="C59" s="255"/>
      <c r="D59" s="82"/>
      <c r="E59" s="82"/>
      <c r="F59" s="82"/>
      <c r="G59" s="82"/>
      <c r="H59" s="253"/>
      <c r="I59" s="253"/>
      <c r="J59" s="253"/>
      <c r="K59" s="253"/>
      <c r="L59" s="253"/>
      <c r="M59" s="253"/>
      <c r="N59" s="253"/>
      <c r="O59" s="253"/>
      <c r="P59" s="253"/>
      <c r="Q59" s="253"/>
      <c r="R59" s="253"/>
    </row>
    <row r="60" spans="2:19" ht="14.4" x14ac:dyDescent="0.25">
      <c r="B60" s="199"/>
      <c r="C60" s="255"/>
      <c r="D60" s="82"/>
      <c r="E60" s="82"/>
      <c r="F60" s="82"/>
      <c r="G60" s="82"/>
      <c r="H60" s="253"/>
      <c r="I60" s="253"/>
      <c r="J60" s="253"/>
      <c r="K60" s="253"/>
      <c r="L60" s="253"/>
      <c r="M60" s="253"/>
      <c r="N60" s="253"/>
      <c r="O60" s="253"/>
      <c r="P60" s="253"/>
      <c r="Q60" s="253"/>
      <c r="R60" s="253"/>
    </row>
    <row r="61" spans="2:19" ht="14.4" x14ac:dyDescent="0.25">
      <c r="B61" s="199"/>
      <c r="C61" s="255"/>
      <c r="D61" s="82"/>
      <c r="E61" s="82"/>
      <c r="F61" s="82"/>
      <c r="G61" s="82"/>
      <c r="H61" s="253"/>
      <c r="I61" s="253"/>
      <c r="J61" s="253"/>
      <c r="K61" s="253"/>
      <c r="L61" s="253"/>
      <c r="M61" s="253"/>
      <c r="N61" s="253"/>
      <c r="O61" s="253"/>
      <c r="P61" s="253"/>
      <c r="Q61" s="253"/>
      <c r="R61" s="253"/>
    </row>
    <row r="62" spans="2:19" ht="14.4" x14ac:dyDescent="0.25">
      <c r="B62" s="199"/>
      <c r="C62" s="255"/>
      <c r="D62" s="82"/>
      <c r="E62" s="82"/>
      <c r="F62" s="82"/>
      <c r="G62" s="82"/>
      <c r="H62" s="253"/>
      <c r="I62" s="253"/>
      <c r="J62" s="253"/>
      <c r="K62" s="253"/>
      <c r="L62" s="253"/>
      <c r="M62" s="253"/>
      <c r="N62" s="253"/>
      <c r="O62" s="253"/>
      <c r="P62" s="253"/>
      <c r="Q62" s="253"/>
      <c r="R62" s="253"/>
    </row>
    <row r="63" spans="2:19" ht="14.4" x14ac:dyDescent="0.25">
      <c r="B63" s="199"/>
      <c r="C63" s="255"/>
      <c r="D63" s="82"/>
      <c r="E63" s="82"/>
      <c r="F63" s="82"/>
      <c r="G63" s="82"/>
      <c r="H63" s="253"/>
      <c r="I63" s="253"/>
      <c r="J63" s="253"/>
      <c r="K63" s="253"/>
      <c r="L63" s="253"/>
      <c r="M63" s="253"/>
      <c r="N63" s="253"/>
      <c r="O63" s="253"/>
      <c r="P63" s="253"/>
      <c r="Q63" s="253"/>
      <c r="R63" s="253"/>
    </row>
    <row r="64" spans="2:19" ht="13.2" x14ac:dyDescent="0.25">
      <c r="J64" s="264"/>
      <c r="K64" s="264"/>
      <c r="L64" s="264"/>
      <c r="M64" s="264"/>
      <c r="N64" s="264"/>
      <c r="O64" s="264"/>
      <c r="P64" s="264"/>
      <c r="Q64" s="264"/>
      <c r="R64" s="264"/>
      <c r="S64" s="264"/>
    </row>
    <row r="65" spans="1:19" ht="13.8" thickBot="1" x14ac:dyDescent="0.3">
      <c r="K65" s="264"/>
      <c r="L65" s="264"/>
      <c r="M65" s="264"/>
      <c r="N65" s="264"/>
      <c r="O65" s="264"/>
      <c r="P65" s="264"/>
      <c r="Q65" s="264"/>
      <c r="R65" s="264"/>
      <c r="S65" s="264"/>
    </row>
    <row r="66" spans="1:19" ht="16.2" thickTop="1" x14ac:dyDescent="0.3">
      <c r="A66" s="483"/>
      <c r="B66" s="598"/>
      <c r="C66" s="599"/>
      <c r="D66" s="600"/>
      <c r="E66" s="600"/>
      <c r="F66" s="486"/>
      <c r="G66" s="486"/>
      <c r="H66" s="486"/>
      <c r="I66" s="486"/>
      <c r="J66" s="601"/>
      <c r="K66" s="602"/>
      <c r="L66" s="603"/>
      <c r="M66" s="68"/>
      <c r="N66" s="68"/>
      <c r="O66" s="264"/>
      <c r="P66" s="264"/>
      <c r="Q66" s="264"/>
      <c r="R66" s="264"/>
      <c r="S66" s="264"/>
    </row>
    <row r="67" spans="1:19" ht="15.6" x14ac:dyDescent="0.3">
      <c r="A67" s="483"/>
      <c r="B67" s="524"/>
      <c r="C67" s="511"/>
      <c r="D67" s="488"/>
      <c r="E67" s="488"/>
      <c r="F67" s="488"/>
      <c r="G67" s="488"/>
      <c r="H67" s="493"/>
      <c r="I67" s="493"/>
      <c r="J67" s="490"/>
      <c r="K67" s="488"/>
      <c r="L67" s="488"/>
      <c r="M67" s="264"/>
      <c r="N67" s="264"/>
      <c r="O67" s="264"/>
      <c r="P67" s="264"/>
      <c r="Q67" s="264"/>
      <c r="R67" s="264"/>
      <c r="S67" s="264"/>
    </row>
    <row r="68" spans="1:19" ht="15.6" thickBot="1" x14ac:dyDescent="0.3">
      <c r="A68" s="483"/>
      <c r="B68" s="491" t="s">
        <v>58</v>
      </c>
      <c r="C68" s="483"/>
      <c r="D68" s="483"/>
      <c r="E68" s="483"/>
      <c r="F68" s="483"/>
      <c r="G68" s="483"/>
      <c r="H68" s="493"/>
      <c r="I68" s="493"/>
      <c r="J68" s="494"/>
      <c r="K68" s="488"/>
      <c r="L68" s="488"/>
      <c r="M68" s="264"/>
      <c r="N68" s="67"/>
      <c r="O68" s="264"/>
      <c r="P68" s="264"/>
      <c r="Q68" s="264"/>
      <c r="R68" s="264"/>
      <c r="S68" s="264"/>
    </row>
    <row r="69" spans="1:19" ht="18.600000000000001" thickBot="1" x14ac:dyDescent="0.35">
      <c r="A69" s="483"/>
      <c r="B69" s="525" t="s">
        <v>685</v>
      </c>
      <c r="C69" s="496"/>
      <c r="D69" s="496"/>
      <c r="E69" s="497"/>
      <c r="F69" s="498" t="s">
        <v>687</v>
      </c>
      <c r="G69" s="493"/>
      <c r="H69" s="493"/>
      <c r="I69" s="493"/>
      <c r="J69" s="499"/>
      <c r="K69" s="488"/>
      <c r="L69" s="488"/>
      <c r="M69" s="264"/>
      <c r="N69" s="264"/>
      <c r="O69" s="264"/>
      <c r="P69" s="264"/>
      <c r="Q69" s="264"/>
      <c r="R69" s="264"/>
      <c r="S69" s="264"/>
    </row>
    <row r="70" spans="1:19" ht="15" x14ac:dyDescent="0.25">
      <c r="A70" s="483"/>
      <c r="B70" s="500"/>
      <c r="C70" s="493" t="s">
        <v>10</v>
      </c>
      <c r="D70" s="493"/>
      <c r="E70" s="493"/>
      <c r="F70" s="493"/>
      <c r="G70" s="493"/>
      <c r="H70" s="493"/>
      <c r="I70" s="493"/>
      <c r="J70" s="501"/>
      <c r="K70" s="502"/>
      <c r="L70" s="488"/>
      <c r="M70" s="59"/>
      <c r="N70" s="61"/>
      <c r="O70" s="61"/>
      <c r="P70" s="264"/>
      <c r="Q70" s="264"/>
      <c r="R70" s="264"/>
      <c r="S70" s="264"/>
    </row>
    <row r="71" spans="1:19" ht="15.6" x14ac:dyDescent="0.3">
      <c r="A71" s="483"/>
      <c r="B71" s="491"/>
      <c r="C71" s="503">
        <f>F34</f>
        <v>-277.66082224460388</v>
      </c>
      <c r="D71" s="493" t="s">
        <v>77</v>
      </c>
      <c r="E71" s="526"/>
      <c r="F71" s="527"/>
      <c r="G71" s="527"/>
      <c r="H71" s="493"/>
      <c r="I71" s="493"/>
      <c r="J71" s="494"/>
      <c r="K71" s="502"/>
      <c r="L71" s="488"/>
      <c r="M71" s="264"/>
      <c r="N71" s="264"/>
      <c r="O71" s="265"/>
      <c r="P71" s="264"/>
      <c r="Q71" s="264"/>
      <c r="R71" s="264"/>
      <c r="S71" s="264"/>
    </row>
    <row r="72" spans="1:19" ht="15" x14ac:dyDescent="0.25">
      <c r="A72" s="483"/>
      <c r="B72" s="504"/>
      <c r="C72" s="503">
        <f>E34</f>
        <v>398.58667405166437</v>
      </c>
      <c r="D72" s="505" t="s">
        <v>78</v>
      </c>
      <c r="E72" s="483"/>
      <c r="F72" s="483"/>
      <c r="G72" s="295"/>
      <c r="H72" s="493"/>
      <c r="I72" s="493"/>
      <c r="J72" s="494"/>
      <c r="K72" s="502"/>
      <c r="L72" s="488"/>
      <c r="M72" s="264"/>
      <c r="N72" s="264"/>
      <c r="O72" s="264"/>
      <c r="P72" s="264"/>
      <c r="Q72" s="264"/>
      <c r="R72" s="264"/>
      <c r="S72" s="264"/>
    </row>
    <row r="73" spans="1:19" ht="15" x14ac:dyDescent="0.25">
      <c r="A73" s="483"/>
      <c r="B73" s="500"/>
      <c r="C73" s="503">
        <f>D34</f>
        <v>-200.15483976687509</v>
      </c>
      <c r="D73" s="509" t="s">
        <v>79</v>
      </c>
      <c r="E73" s="483"/>
      <c r="F73" s="488"/>
      <c r="G73" s="511"/>
      <c r="H73" s="506"/>
      <c r="I73" s="493"/>
      <c r="J73" s="501"/>
      <c r="K73" s="502"/>
      <c r="L73" s="512"/>
      <c r="M73" s="264"/>
      <c r="N73" s="264"/>
      <c r="O73" s="264"/>
      <c r="P73" s="264"/>
      <c r="Q73" s="264"/>
      <c r="R73" s="264"/>
      <c r="S73" s="264"/>
    </row>
    <row r="74" spans="1:19" ht="15" x14ac:dyDescent="0.25">
      <c r="A74" s="483"/>
      <c r="B74" s="500"/>
      <c r="C74" s="503">
        <f>C34</f>
        <v>60.892223543985835</v>
      </c>
      <c r="D74" s="513" t="s">
        <v>80</v>
      </c>
      <c r="E74" s="483"/>
      <c r="F74" s="528"/>
      <c r="G74" s="511"/>
      <c r="H74" s="493"/>
      <c r="I74" s="493"/>
      <c r="J74" s="501"/>
      <c r="K74" s="502"/>
      <c r="L74" s="488"/>
      <c r="M74" s="264"/>
      <c r="N74" s="264"/>
      <c r="O74" s="264"/>
      <c r="P74" s="264"/>
      <c r="Q74" s="264"/>
      <c r="R74" s="264"/>
      <c r="S74" s="264"/>
    </row>
    <row r="75" spans="1:19" ht="15" x14ac:dyDescent="0.25">
      <c r="A75" s="483"/>
      <c r="B75" s="500"/>
      <c r="C75" s="503">
        <f>B34</f>
        <v>-7.5460080896060804</v>
      </c>
      <c r="D75" s="515" t="s">
        <v>81</v>
      </c>
      <c r="E75" s="483"/>
      <c r="F75" s="528"/>
      <c r="G75" s="511"/>
      <c r="H75" s="506"/>
      <c r="I75" s="493"/>
      <c r="J75" s="501"/>
      <c r="K75" s="488"/>
      <c r="L75" s="488"/>
      <c r="M75" s="264"/>
      <c r="N75" s="264"/>
      <c r="O75" s="264"/>
      <c r="P75" s="264"/>
      <c r="Q75" s="264"/>
      <c r="R75" s="264"/>
      <c r="S75" s="264"/>
    </row>
    <row r="76" spans="1:19" ht="15.6" thickBot="1" x14ac:dyDescent="0.3">
      <c r="A76" s="483"/>
      <c r="B76" s="500"/>
      <c r="C76" s="483"/>
      <c r="D76" s="483"/>
      <c r="E76" s="483"/>
      <c r="F76" s="483"/>
      <c r="G76" s="528"/>
      <c r="H76" s="493"/>
      <c r="I76" s="493"/>
      <c r="J76" s="501"/>
      <c r="K76" s="511"/>
      <c r="L76" s="512"/>
      <c r="M76" s="59"/>
      <c r="N76" s="264"/>
      <c r="O76" s="264"/>
      <c r="P76" s="264"/>
      <c r="Q76" s="264"/>
      <c r="R76" s="264"/>
      <c r="S76" s="264"/>
    </row>
    <row r="77" spans="1:19" ht="16.2" thickBot="1" x14ac:dyDescent="0.35">
      <c r="A77" s="483"/>
      <c r="B77" s="504" t="s">
        <v>691</v>
      </c>
      <c r="C77" s="604">
        <v>1.4</v>
      </c>
      <c r="D77" s="517" t="s">
        <v>2</v>
      </c>
      <c r="E77" s="506" t="s">
        <v>690</v>
      </c>
      <c r="F77" s="493"/>
      <c r="G77" s="493"/>
      <c r="H77" s="493"/>
      <c r="I77" s="493"/>
      <c r="J77" s="494"/>
      <c r="K77" s="518"/>
      <c r="L77" s="512"/>
      <c r="M77" s="59"/>
      <c r="N77" s="264"/>
      <c r="O77" s="264"/>
      <c r="P77" s="264"/>
      <c r="Q77" s="264"/>
      <c r="R77" s="264"/>
      <c r="S77" s="264"/>
    </row>
    <row r="78" spans="1:19" ht="15.6" thickBot="1" x14ac:dyDescent="0.3">
      <c r="A78" s="483"/>
      <c r="B78" s="504" t="s">
        <v>32</v>
      </c>
      <c r="C78" s="530">
        <f>$C$75*C77^4 + $C$74*C77^3 + $C$73*C77^2 + $C$72*C77 + $C$71</f>
        <v>26.156552212317479</v>
      </c>
      <c r="D78" s="531" t="s">
        <v>186</v>
      </c>
      <c r="E78" s="506" t="s">
        <v>159</v>
      </c>
      <c r="F78" s="493"/>
      <c r="G78" s="493"/>
      <c r="H78" s="493"/>
      <c r="I78" s="493"/>
      <c r="J78" s="494"/>
      <c r="K78" s="520"/>
      <c r="L78" s="488"/>
      <c r="M78" s="264"/>
      <c r="N78" s="264"/>
      <c r="O78" s="264"/>
      <c r="P78" s="264"/>
      <c r="Q78" s="264"/>
      <c r="R78" s="264"/>
      <c r="S78" s="264"/>
    </row>
    <row r="79" spans="1:19" ht="15" x14ac:dyDescent="0.25">
      <c r="A79" s="483"/>
      <c r="B79" s="500"/>
      <c r="C79" s="532">
        <f>(C78*1.8)+32</f>
        <v>79.081793982171462</v>
      </c>
      <c r="D79" s="512" t="s">
        <v>189</v>
      </c>
      <c r="E79" s="506"/>
      <c r="F79" s="493"/>
      <c r="G79" s="493"/>
      <c r="H79" s="493"/>
      <c r="I79" s="493"/>
      <c r="J79" s="501"/>
      <c r="K79" s="488"/>
      <c r="L79" s="488"/>
      <c r="M79" s="264"/>
      <c r="N79" s="264"/>
      <c r="O79" s="264"/>
      <c r="P79" s="264"/>
      <c r="Q79" s="264"/>
      <c r="R79" s="264"/>
      <c r="S79" s="264"/>
    </row>
    <row r="80" spans="1:19" ht="15" x14ac:dyDescent="0.25">
      <c r="A80" s="483"/>
      <c r="B80" s="500"/>
      <c r="C80" s="533">
        <f>C78+273.15</f>
        <v>299.30655221231746</v>
      </c>
      <c r="D80" s="506" t="s">
        <v>190</v>
      </c>
      <c r="E80" s="493"/>
      <c r="F80" s="534"/>
      <c r="G80" s="493"/>
      <c r="H80" s="493"/>
      <c r="I80" s="493"/>
      <c r="J80" s="501"/>
      <c r="K80" s="488"/>
      <c r="L80" s="488"/>
      <c r="M80" s="264"/>
      <c r="N80" s="264"/>
      <c r="O80" s="264"/>
      <c r="P80" s="264"/>
      <c r="Q80" s="264"/>
      <c r="R80" s="264"/>
      <c r="S80" s="264"/>
    </row>
    <row r="81" spans="1:19" ht="15" x14ac:dyDescent="0.25">
      <c r="A81" s="483"/>
      <c r="B81" s="500"/>
      <c r="C81" s="483"/>
      <c r="D81" s="483"/>
      <c r="E81" s="483"/>
      <c r="F81" s="483"/>
      <c r="G81" s="493"/>
      <c r="H81" s="493"/>
      <c r="I81" s="493"/>
      <c r="J81" s="501"/>
      <c r="K81" s="488"/>
      <c r="L81" s="488"/>
      <c r="M81" s="264"/>
      <c r="N81" s="264"/>
      <c r="O81" s="264"/>
      <c r="P81" s="264"/>
      <c r="Q81" s="264"/>
      <c r="R81" s="264"/>
      <c r="S81" s="264"/>
    </row>
    <row r="82" spans="1:19" ht="15" x14ac:dyDescent="0.25">
      <c r="A82" s="483"/>
      <c r="B82" s="500"/>
      <c r="C82" s="493"/>
      <c r="D82" s="493"/>
      <c r="E82" s="493"/>
      <c r="F82" s="493"/>
      <c r="G82" s="493"/>
      <c r="H82" s="493"/>
      <c r="I82" s="493"/>
      <c r="J82" s="501"/>
      <c r="K82" s="488"/>
      <c r="L82" s="488"/>
      <c r="M82" s="264"/>
      <c r="N82" s="264"/>
      <c r="O82" s="264"/>
      <c r="P82" s="264"/>
      <c r="Q82" s="264"/>
      <c r="R82" s="264"/>
      <c r="S82" s="264"/>
    </row>
    <row r="83" spans="1:19" ht="15.6" thickBot="1" x14ac:dyDescent="0.3">
      <c r="A83" s="483"/>
      <c r="B83" s="535"/>
      <c r="C83" s="536"/>
      <c r="D83" s="536"/>
      <c r="E83" s="536"/>
      <c r="F83" s="536"/>
      <c r="G83" s="536"/>
      <c r="H83" s="536"/>
      <c r="I83" s="536"/>
      <c r="J83" s="537"/>
      <c r="K83" s="488"/>
      <c r="L83" s="488"/>
      <c r="M83" s="264"/>
      <c r="N83" s="264"/>
      <c r="O83" s="264"/>
      <c r="P83" s="264"/>
      <c r="Q83" s="264"/>
      <c r="R83" s="264"/>
      <c r="S83" s="264"/>
    </row>
    <row r="84" spans="1:19" ht="15.6" thickTop="1" x14ac:dyDescent="0.25">
      <c r="A84" s="483"/>
      <c r="B84" s="483"/>
      <c r="C84" s="483"/>
      <c r="D84" s="483"/>
      <c r="E84" s="483"/>
      <c r="F84" s="483"/>
      <c r="G84" s="483"/>
      <c r="H84" s="483"/>
      <c r="I84" s="483"/>
      <c r="J84" s="483"/>
      <c r="K84" s="483"/>
      <c r="L84" s="483"/>
    </row>
    <row r="85" spans="1:19" ht="13.2" x14ac:dyDescent="0.25"/>
    <row r="86" spans="1:19" ht="13.2" x14ac:dyDescent="0.25"/>
    <row r="87" spans="1:19" ht="13.2" x14ac:dyDescent="0.25"/>
    <row r="88" spans="1:19" ht="13.2" x14ac:dyDescent="0.25"/>
    <row r="89" spans="1:19" ht="13.2" x14ac:dyDescent="0.25"/>
    <row r="90" spans="1:19" ht="13.2" x14ac:dyDescent="0.25"/>
    <row r="91" spans="1:19" ht="13.2" x14ac:dyDescent="0.25"/>
    <row r="92" spans="1:19" ht="16.2" thickBot="1" x14ac:dyDescent="0.35">
      <c r="A92" s="273" t="s">
        <v>116</v>
      </c>
      <c r="D92" s="273" t="s">
        <v>236</v>
      </c>
    </row>
    <row r="93" spans="1:19" ht="13.8" thickTop="1" x14ac:dyDescent="0.25">
      <c r="A93" s="227"/>
      <c r="B93" s="228"/>
      <c r="C93" s="228"/>
      <c r="D93" s="228"/>
      <c r="E93" s="228"/>
      <c r="F93" s="228"/>
      <c r="G93" s="228"/>
      <c r="H93" s="228"/>
      <c r="I93" s="228"/>
      <c r="J93" s="228"/>
      <c r="K93" s="228"/>
      <c r="L93" s="228"/>
      <c r="M93" s="228"/>
      <c r="N93" s="229"/>
      <c r="O93" s="253"/>
    </row>
    <row r="94" spans="1:19" ht="13.2" x14ac:dyDescent="0.25">
      <c r="A94" s="33" t="s">
        <v>97</v>
      </c>
      <c r="B94" s="34"/>
      <c r="C94" s="34"/>
      <c r="D94" s="34"/>
      <c r="E94" s="34"/>
      <c r="F94" s="34"/>
      <c r="G94" s="34"/>
      <c r="H94" s="34"/>
      <c r="I94" s="34"/>
      <c r="J94" s="34"/>
      <c r="K94" s="34"/>
      <c r="L94" s="34"/>
      <c r="M94" s="34"/>
      <c r="N94" s="35"/>
      <c r="O94" s="253"/>
    </row>
    <row r="95" spans="1:19" ht="13.2" x14ac:dyDescent="0.25">
      <c r="A95" s="33" t="s">
        <v>175</v>
      </c>
      <c r="B95" s="34"/>
      <c r="C95" s="34"/>
      <c r="D95" s="34"/>
      <c r="E95" s="34"/>
      <c r="F95" s="34"/>
      <c r="G95" s="34"/>
      <c r="H95" s="34"/>
      <c r="I95" s="34"/>
      <c r="J95" s="34"/>
      <c r="K95" s="34"/>
      <c r="L95" s="34"/>
      <c r="M95" s="34"/>
      <c r="N95" s="35"/>
      <c r="O95" s="253"/>
    </row>
    <row r="96" spans="1:19" ht="13.2" x14ac:dyDescent="0.25">
      <c r="A96" s="219"/>
      <c r="B96" s="255"/>
      <c r="C96" s="255"/>
      <c r="D96" s="255"/>
      <c r="E96" s="255"/>
      <c r="F96" s="255"/>
      <c r="G96" s="255"/>
      <c r="H96" s="255"/>
      <c r="I96" s="255"/>
      <c r="J96" s="255"/>
      <c r="K96" s="255"/>
      <c r="L96" s="255"/>
      <c r="M96" s="255"/>
      <c r="N96" s="220"/>
      <c r="O96" s="253"/>
    </row>
    <row r="97" spans="1:15" ht="13.2" x14ac:dyDescent="0.25">
      <c r="A97" s="221"/>
      <c r="B97" s="264"/>
      <c r="C97" s="264"/>
      <c r="D97" s="264"/>
      <c r="E97" s="264"/>
      <c r="F97" s="255"/>
      <c r="G97" s="255"/>
      <c r="H97" s="255"/>
      <c r="I97" s="255"/>
      <c r="J97" s="255"/>
      <c r="K97" s="255"/>
      <c r="L97" s="255"/>
      <c r="M97" s="255"/>
      <c r="N97" s="220"/>
      <c r="O97" s="253"/>
    </row>
    <row r="98" spans="1:15" ht="13.2" x14ac:dyDescent="0.25">
      <c r="A98" s="221"/>
      <c r="B98" s="264" t="s">
        <v>449</v>
      </c>
      <c r="C98" s="264"/>
      <c r="D98" s="305">
        <f>B25</f>
        <v>3</v>
      </c>
      <c r="E98" s="264" t="s">
        <v>227</v>
      </c>
      <c r="F98" s="255"/>
      <c r="G98" s="255"/>
      <c r="H98" s="255"/>
      <c r="I98" s="222" t="s">
        <v>455</v>
      </c>
      <c r="J98" s="255"/>
      <c r="K98" s="255"/>
      <c r="L98" s="255"/>
      <c r="M98" s="255"/>
      <c r="N98" s="220"/>
      <c r="O98" s="253"/>
    </row>
    <row r="99" spans="1:15" ht="13.2" x14ac:dyDescent="0.25">
      <c r="A99" s="223"/>
      <c r="B99" s="264" t="s">
        <v>228</v>
      </c>
      <c r="C99" s="264"/>
      <c r="D99" s="264">
        <f>2^B24</f>
        <v>4096</v>
      </c>
      <c r="E99" s="264" t="s">
        <v>227</v>
      </c>
      <c r="F99" s="264"/>
      <c r="G99" s="264"/>
      <c r="H99" s="264"/>
      <c r="I99" s="362" t="s">
        <v>504</v>
      </c>
      <c r="J99" s="264"/>
      <c r="K99" s="264"/>
      <c r="L99" s="264"/>
      <c r="M99" s="264"/>
      <c r="N99" s="203"/>
    </row>
    <row r="100" spans="1:15" ht="13.2" x14ac:dyDescent="0.25">
      <c r="A100" s="223"/>
      <c r="B100" s="264" t="s">
        <v>636</v>
      </c>
      <c r="C100" s="264"/>
      <c r="D100" s="264"/>
      <c r="E100" s="264"/>
      <c r="F100" s="264"/>
      <c r="G100" s="264"/>
      <c r="H100" s="264"/>
      <c r="I100" s="222" t="s">
        <v>637</v>
      </c>
      <c r="J100" s="264"/>
      <c r="K100" s="264"/>
      <c r="L100" s="264"/>
      <c r="M100" s="264"/>
      <c r="N100" s="203"/>
    </row>
    <row r="101" spans="1:15" ht="13.2" x14ac:dyDescent="0.25">
      <c r="A101" s="223"/>
      <c r="B101" s="264" t="s">
        <v>475</v>
      </c>
      <c r="C101" s="264"/>
      <c r="D101" s="264"/>
      <c r="E101" s="264"/>
      <c r="F101" s="264"/>
      <c r="G101" s="264"/>
      <c r="H101" s="264"/>
      <c r="I101" s="222" t="s">
        <v>102</v>
      </c>
      <c r="J101" s="264"/>
      <c r="K101" s="264"/>
      <c r="L101" s="264"/>
      <c r="M101" s="264"/>
      <c r="N101" s="203"/>
    </row>
    <row r="102" spans="1:15" ht="13.2" x14ac:dyDescent="0.25">
      <c r="A102" s="223"/>
      <c r="B102" s="264"/>
      <c r="C102" s="264"/>
      <c r="D102" s="264"/>
      <c r="E102" s="264"/>
      <c r="F102" s="264"/>
      <c r="G102" s="264"/>
      <c r="H102" s="264"/>
      <c r="I102" s="264"/>
      <c r="J102" s="264"/>
      <c r="K102" s="264"/>
      <c r="L102" s="264"/>
      <c r="M102" s="264"/>
      <c r="N102" s="203"/>
    </row>
    <row r="103" spans="1:15" ht="13.2" x14ac:dyDescent="0.25">
      <c r="A103" s="223"/>
      <c r="B103" s="264"/>
      <c r="C103" s="264"/>
      <c r="D103" s="264"/>
      <c r="E103" s="264"/>
      <c r="F103" s="264"/>
      <c r="G103" s="264"/>
      <c r="H103" s="264"/>
      <c r="I103" s="264"/>
      <c r="J103" s="264"/>
      <c r="K103" s="264"/>
      <c r="L103" s="264"/>
      <c r="M103" s="264"/>
      <c r="N103" s="203"/>
    </row>
    <row r="104" spans="1:15" ht="13.2" x14ac:dyDescent="0.25">
      <c r="A104" s="223"/>
      <c r="B104" s="269" t="s">
        <v>439</v>
      </c>
      <c r="C104" s="255"/>
      <c r="D104" s="264"/>
      <c r="E104" s="255"/>
      <c r="F104" s="264"/>
      <c r="G104" s="264"/>
      <c r="H104" s="264"/>
      <c r="I104" s="269" t="s">
        <v>96</v>
      </c>
      <c r="J104" s="264"/>
      <c r="K104" s="264"/>
      <c r="L104" s="264"/>
      <c r="M104" s="264"/>
      <c r="N104" s="203"/>
    </row>
    <row r="105" spans="1:15" ht="13.2" x14ac:dyDescent="0.25">
      <c r="A105" s="223"/>
      <c r="B105" s="255" t="s">
        <v>28</v>
      </c>
      <c r="C105" s="255"/>
      <c r="D105" s="255"/>
      <c r="E105" s="255"/>
      <c r="F105" s="264"/>
      <c r="G105" s="264"/>
      <c r="H105" s="264"/>
      <c r="I105" s="264"/>
      <c r="J105" s="264"/>
      <c r="K105" s="264"/>
      <c r="L105" s="264"/>
      <c r="M105" s="264"/>
      <c r="N105" s="203"/>
    </row>
    <row r="106" spans="1:15" ht="13.2" x14ac:dyDescent="0.25">
      <c r="A106" s="223"/>
      <c r="B106" s="264" t="s">
        <v>477</v>
      </c>
      <c r="C106" s="264"/>
      <c r="D106" s="264"/>
      <c r="E106" s="264"/>
      <c r="F106" s="264"/>
      <c r="G106" s="264"/>
      <c r="H106" s="264"/>
      <c r="I106" s="264"/>
      <c r="J106" s="264"/>
      <c r="K106" s="264"/>
      <c r="L106" s="264"/>
      <c r="M106" s="264"/>
      <c r="N106" s="203"/>
    </row>
    <row r="107" spans="1:15" ht="13.2" x14ac:dyDescent="0.25">
      <c r="B107" s="264" t="s">
        <v>692</v>
      </c>
      <c r="C107" s="264"/>
      <c r="D107" s="264"/>
      <c r="E107" s="264"/>
      <c r="F107" s="264"/>
      <c r="G107" s="264"/>
      <c r="I107" s="264" t="s">
        <v>103</v>
      </c>
      <c r="J107" s="264"/>
      <c r="K107" s="264"/>
      <c r="L107" s="264"/>
      <c r="M107" s="264"/>
      <c r="N107" s="203"/>
    </row>
    <row r="108" spans="1:15" ht="13.2" x14ac:dyDescent="0.25">
      <c r="A108" s="223"/>
      <c r="B108" s="264" t="s">
        <v>479</v>
      </c>
      <c r="C108" s="264"/>
      <c r="D108" s="264"/>
      <c r="E108" s="264"/>
      <c r="F108" s="264"/>
      <c r="G108" s="264"/>
      <c r="H108" s="264"/>
      <c r="I108" s="264"/>
      <c r="J108" s="264"/>
      <c r="K108" s="264"/>
      <c r="L108" s="264"/>
      <c r="M108" s="264"/>
      <c r="N108" s="203"/>
    </row>
    <row r="109" spans="1:15" ht="13.2" x14ac:dyDescent="0.25">
      <c r="A109" s="223"/>
      <c r="B109" s="264"/>
      <c r="C109" s="264"/>
      <c r="D109" s="264"/>
      <c r="E109" s="264"/>
      <c r="F109" s="264"/>
      <c r="G109" s="264"/>
      <c r="H109" s="264"/>
      <c r="I109" s="264"/>
      <c r="J109" s="264"/>
      <c r="K109" s="264"/>
      <c r="L109" s="264"/>
      <c r="M109" s="264"/>
      <c r="N109" s="203"/>
    </row>
    <row r="110" spans="1:15" ht="13.2" x14ac:dyDescent="0.25">
      <c r="A110" s="223"/>
      <c r="B110" s="264" t="s">
        <v>497</v>
      </c>
      <c r="C110" s="224">
        <f>C71</f>
        <v>-277.66082224460388</v>
      </c>
      <c r="D110" s="264" t="s">
        <v>227</v>
      </c>
      <c r="E110" s="264"/>
      <c r="F110" s="264"/>
      <c r="G110" s="264"/>
      <c r="H110" s="264"/>
      <c r="I110" s="264"/>
      <c r="J110" s="264"/>
      <c r="K110" s="264"/>
      <c r="L110" s="264"/>
      <c r="M110" s="264"/>
      <c r="N110" s="203"/>
    </row>
    <row r="111" spans="1:15" ht="13.2" x14ac:dyDescent="0.25">
      <c r="A111" s="223"/>
      <c r="B111" s="264" t="s">
        <v>498</v>
      </c>
      <c r="C111" s="224">
        <f>C72</f>
        <v>398.58667405166437</v>
      </c>
      <c r="D111" s="264" t="s">
        <v>227</v>
      </c>
      <c r="E111" s="264"/>
      <c r="F111" s="264"/>
      <c r="G111" s="264"/>
      <c r="H111" s="264"/>
      <c r="I111" s="264"/>
      <c r="J111" s="264"/>
      <c r="K111" s="264"/>
      <c r="L111" s="264"/>
      <c r="M111" s="264"/>
      <c r="N111" s="203"/>
    </row>
    <row r="112" spans="1:15" ht="13.2" x14ac:dyDescent="0.25">
      <c r="A112" s="223"/>
      <c r="B112" s="264" t="s">
        <v>499</v>
      </c>
      <c r="C112" s="224">
        <f>C73</f>
        <v>-200.15483976687509</v>
      </c>
      <c r="D112" s="264" t="s">
        <v>227</v>
      </c>
      <c r="E112" s="264"/>
      <c r="F112" s="264"/>
      <c r="G112" s="264"/>
      <c r="H112" s="264"/>
      <c r="I112" s="264"/>
      <c r="J112" s="264"/>
      <c r="K112" s="264"/>
      <c r="L112" s="264"/>
      <c r="M112" s="264"/>
      <c r="N112" s="203"/>
    </row>
    <row r="113" spans="1:14" ht="13.2" x14ac:dyDescent="0.25">
      <c r="A113" s="223"/>
      <c r="B113" s="264" t="s">
        <v>500</v>
      </c>
      <c r="C113" s="224">
        <f>C74</f>
        <v>60.892223543985835</v>
      </c>
      <c r="D113" s="264" t="s">
        <v>227</v>
      </c>
      <c r="E113" s="264"/>
      <c r="F113" s="264"/>
      <c r="G113" s="264"/>
      <c r="H113" s="264"/>
      <c r="I113" s="264"/>
      <c r="J113" s="264"/>
      <c r="K113" s="264"/>
      <c r="L113" s="264"/>
      <c r="M113" s="264"/>
      <c r="N113" s="203"/>
    </row>
    <row r="114" spans="1:14" ht="13.2" x14ac:dyDescent="0.25">
      <c r="A114" s="223"/>
      <c r="B114" s="264" t="s">
        <v>501</v>
      </c>
      <c r="C114" s="224">
        <f>C75</f>
        <v>-7.5460080896060804</v>
      </c>
      <c r="D114" s="264" t="s">
        <v>227</v>
      </c>
      <c r="E114" s="264"/>
      <c r="F114" s="264"/>
      <c r="G114" s="264"/>
      <c r="H114" s="264"/>
      <c r="I114" s="264"/>
      <c r="J114" s="264"/>
      <c r="K114" s="264"/>
      <c r="L114" s="264"/>
      <c r="M114" s="264"/>
      <c r="N114" s="203"/>
    </row>
    <row r="115" spans="1:14" ht="13.2" x14ac:dyDescent="0.25">
      <c r="A115" s="223"/>
      <c r="B115" s="264"/>
      <c r="C115" s="264"/>
      <c r="D115" s="264"/>
      <c r="E115" s="264"/>
      <c r="F115" s="264"/>
      <c r="G115" s="264"/>
      <c r="H115" s="264"/>
      <c r="I115" s="264"/>
      <c r="J115" s="264"/>
      <c r="K115" s="264"/>
      <c r="L115" s="264"/>
      <c r="M115" s="264"/>
      <c r="N115" s="203"/>
    </row>
    <row r="116" spans="1:14" ht="13.2" x14ac:dyDescent="0.25">
      <c r="A116" s="223"/>
      <c r="B116" s="264" t="s">
        <v>694</v>
      </c>
      <c r="C116" s="264"/>
      <c r="D116" s="264"/>
      <c r="E116" s="264"/>
      <c r="F116" s="264"/>
      <c r="G116" s="264"/>
      <c r="H116" s="264"/>
      <c r="I116" s="257"/>
      <c r="K116" s="222" t="s">
        <v>104</v>
      </c>
      <c r="L116" s="264"/>
      <c r="M116" s="264"/>
      <c r="N116" s="203"/>
    </row>
    <row r="117" spans="1:14" ht="13.2" x14ac:dyDescent="0.25">
      <c r="A117" s="223"/>
      <c r="B117" s="264" t="s">
        <v>693</v>
      </c>
      <c r="C117" s="264"/>
      <c r="D117" s="264"/>
      <c r="E117" s="264"/>
      <c r="F117" s="264"/>
      <c r="G117" s="264"/>
      <c r="H117" s="264"/>
      <c r="I117" s="257"/>
      <c r="K117" s="222" t="s">
        <v>105</v>
      </c>
      <c r="L117" s="264"/>
      <c r="M117" s="264"/>
      <c r="N117" s="203"/>
    </row>
    <row r="118" spans="1:14" ht="13.2" x14ac:dyDescent="0.25">
      <c r="A118" s="223"/>
      <c r="B118" s="264" t="s">
        <v>503</v>
      </c>
      <c r="C118" s="264"/>
      <c r="D118" s="264"/>
      <c r="E118" s="264"/>
      <c r="F118" s="264"/>
      <c r="G118" s="264"/>
      <c r="H118" s="264"/>
      <c r="I118" s="264"/>
      <c r="J118" s="264"/>
      <c r="K118" s="264"/>
      <c r="L118" s="264"/>
      <c r="M118" s="264"/>
      <c r="N118" s="203"/>
    </row>
    <row r="119" spans="1:14" ht="13.2" x14ac:dyDescent="0.25">
      <c r="A119" s="223"/>
      <c r="B119" s="264"/>
      <c r="C119" s="264"/>
      <c r="D119" s="264"/>
      <c r="E119" s="264"/>
      <c r="F119" s="264"/>
      <c r="G119" s="264"/>
      <c r="H119" s="264"/>
      <c r="I119" s="264"/>
      <c r="J119" s="264"/>
      <c r="K119" s="264"/>
      <c r="L119" s="264"/>
      <c r="M119" s="264"/>
      <c r="N119" s="203"/>
    </row>
    <row r="120" spans="1:14" ht="13.2" x14ac:dyDescent="0.25">
      <c r="A120" s="223"/>
      <c r="B120" s="264" t="s">
        <v>31</v>
      </c>
      <c r="C120" s="264"/>
      <c r="D120" s="264"/>
      <c r="E120" s="264"/>
      <c r="F120" s="264"/>
      <c r="G120" s="264"/>
      <c r="H120" s="264"/>
      <c r="I120" s="264"/>
      <c r="J120" s="264"/>
      <c r="K120" s="264"/>
      <c r="L120" s="264"/>
      <c r="M120" s="264"/>
      <c r="N120" s="203"/>
    </row>
    <row r="121" spans="1:14" ht="13.2" x14ac:dyDescent="0.25">
      <c r="A121" s="223"/>
      <c r="B121" s="264"/>
      <c r="C121" s="264"/>
      <c r="D121" s="264"/>
      <c r="E121" s="264"/>
      <c r="F121" s="264"/>
      <c r="G121" s="264"/>
      <c r="H121" s="264"/>
      <c r="I121" s="264"/>
      <c r="J121" s="264"/>
      <c r="K121" s="264"/>
      <c r="L121" s="264"/>
      <c r="M121" s="264"/>
      <c r="N121" s="203"/>
    </row>
    <row r="122" spans="1:14" ht="13.8" thickBot="1" x14ac:dyDescent="0.3">
      <c r="A122" s="225"/>
      <c r="B122" s="226"/>
      <c r="C122" s="226"/>
      <c r="D122" s="226"/>
      <c r="E122" s="226"/>
      <c r="F122" s="226"/>
      <c r="G122" s="226"/>
      <c r="H122" s="226"/>
      <c r="I122" s="226"/>
      <c r="J122" s="226"/>
      <c r="K122" s="226"/>
      <c r="L122" s="226"/>
      <c r="M122" s="226"/>
      <c r="N122" s="204"/>
    </row>
    <row r="123" spans="1:14" ht="13.8" thickTop="1" x14ac:dyDescent="0.25"/>
    <row r="124" spans="1:14" ht="13.2" x14ac:dyDescent="0.25"/>
    <row r="125" spans="1:14" ht="13.2" x14ac:dyDescent="0.25"/>
    <row r="126" spans="1:14" ht="13.2" x14ac:dyDescent="0.25"/>
    <row r="127" spans="1:14" ht="13.2" x14ac:dyDescent="0.25"/>
    <row r="128" spans="1:14" ht="13.2" x14ac:dyDescent="0.25"/>
    <row r="129" ht="13.2" hidden="1" x14ac:dyDescent="0.25"/>
    <row r="130" ht="13.2" hidden="1" x14ac:dyDescent="0.25"/>
    <row r="131" ht="13.2" hidden="1" x14ac:dyDescent="0.25"/>
    <row r="132" ht="13.2" hidden="1" x14ac:dyDescent="0.25"/>
    <row r="133" ht="13.2" hidden="1" x14ac:dyDescent="0.25"/>
    <row r="134" ht="13.2" hidden="1" x14ac:dyDescent="0.25"/>
    <row r="135" ht="13.2" hidden="1" x14ac:dyDescent="0.25"/>
    <row r="136" ht="13.2" hidden="1" x14ac:dyDescent="0.25"/>
    <row r="137" ht="13.2" hidden="1" x14ac:dyDescent="0.25"/>
    <row r="138" ht="13.2" hidden="1" x14ac:dyDescent="0.25"/>
    <row r="139" ht="13.2" hidden="1" x14ac:dyDescent="0.25"/>
    <row r="140" ht="13.2" hidden="1" x14ac:dyDescent="0.25"/>
    <row r="141" ht="13.2" hidden="1" x14ac:dyDescent="0.25"/>
    <row r="142" ht="13.2" hidden="1" x14ac:dyDescent="0.25"/>
    <row r="143" ht="13.2" hidden="1" x14ac:dyDescent="0.25"/>
    <row r="144" ht="13.2" hidden="1" x14ac:dyDescent="0.25"/>
    <row r="145" ht="13.2" hidden="1" x14ac:dyDescent="0.25"/>
    <row r="146" ht="13.2" hidden="1" x14ac:dyDescent="0.25"/>
    <row r="147" ht="13.2" hidden="1" x14ac:dyDescent="0.25"/>
    <row r="148" ht="13.2" hidden="1" x14ac:dyDescent="0.25"/>
    <row r="149" ht="13.2" hidden="1" x14ac:dyDescent="0.25"/>
    <row r="150" ht="13.2" hidden="1" x14ac:dyDescent="0.25"/>
    <row r="151" ht="13.2" hidden="1" x14ac:dyDescent="0.25"/>
    <row r="152" ht="13.2" hidden="1" x14ac:dyDescent="0.25"/>
    <row r="153" ht="13.2" hidden="1" x14ac:dyDescent="0.25"/>
    <row r="154" ht="13.2" hidden="1" x14ac:dyDescent="0.25"/>
    <row r="155" ht="13.2" hidden="1" x14ac:dyDescent="0.25"/>
    <row r="156" ht="13.2" hidden="1" x14ac:dyDescent="0.25"/>
    <row r="157" ht="13.2" hidden="1" x14ac:dyDescent="0.25"/>
    <row r="158" ht="13.2" hidden="1" x14ac:dyDescent="0.25"/>
    <row r="159" ht="13.2" hidden="1" x14ac:dyDescent="0.25"/>
    <row r="160" ht="13.2" hidden="1" x14ac:dyDescent="0.25"/>
    <row r="161" ht="13.2" hidden="1" x14ac:dyDescent="0.25"/>
    <row r="162" ht="13.2" customHeight="1" x14ac:dyDescent="0.25"/>
    <row r="163" ht="13.2" customHeight="1" x14ac:dyDescent="0.25"/>
    <row r="164" ht="13.2" customHeight="1" x14ac:dyDescent="0.25"/>
    <row r="165" ht="13.2" customHeight="1" x14ac:dyDescent="0.25"/>
    <row r="166" ht="13.2" customHeight="1" x14ac:dyDescent="0.25"/>
    <row r="167" ht="13.2" customHeight="1" x14ac:dyDescent="0.25"/>
    <row r="168" ht="13.2" customHeight="1" x14ac:dyDescent="0.25"/>
    <row r="169" ht="13.2" customHeight="1" x14ac:dyDescent="0.25"/>
    <row r="170" ht="13.2" customHeight="1" x14ac:dyDescent="0.25"/>
    <row r="171" ht="13.2" customHeight="1" x14ac:dyDescent="0.25"/>
    <row r="172" ht="13.2" customHeight="1" x14ac:dyDescent="0.25"/>
    <row r="173" ht="13.2" customHeight="1" x14ac:dyDescent="0.25"/>
    <row r="174" ht="13.2" customHeight="1" x14ac:dyDescent="0.25"/>
    <row r="175" ht="13.2" customHeight="1" x14ac:dyDescent="0.25"/>
    <row r="176" ht="13.2" customHeight="1" x14ac:dyDescent="0.25"/>
    <row r="177" ht="13.2" customHeight="1" x14ac:dyDescent="0.25"/>
    <row r="178" ht="13.2" customHeight="1" x14ac:dyDescent="0.25"/>
    <row r="179" ht="13.2" customHeight="1" x14ac:dyDescent="0.25"/>
    <row r="180" ht="13.2" customHeight="1" x14ac:dyDescent="0.25"/>
    <row r="181" ht="13.2" customHeight="1" x14ac:dyDescent="0.25"/>
    <row r="182" ht="13.2" customHeight="1" x14ac:dyDescent="0.25"/>
    <row r="183" ht="13.2" customHeight="1" x14ac:dyDescent="0.25"/>
    <row r="184" ht="13.2" customHeight="1" x14ac:dyDescent="0.25"/>
    <row r="185" ht="13.2" customHeight="1" x14ac:dyDescent="0.25"/>
    <row r="186" ht="13.2" customHeight="1" x14ac:dyDescent="0.25"/>
    <row r="187" ht="13.2" customHeight="1" x14ac:dyDescent="0.25"/>
    <row r="188" ht="13.2" hidden="1" customHeight="1" x14ac:dyDescent="0.25"/>
    <row r="189" ht="0" hidden="1" customHeight="1" x14ac:dyDescent="0.25"/>
  </sheetData>
  <sheetProtection algorithmName="SHA-512" hashValue="adYiwwWCm2xwQqDBR/hRVT3TaQljabnlJAq6aFgXeZnEQJhNh805vLcfUdhpJzyk2o7Z/y3q3TMEqZbNctZpJQ==" saltValue="MCxxfzY63hSW38uDbQU8AA==" spinCount="100000" sheet="1" objects="1" scenarios="1"/>
  <mergeCells count="2">
    <mergeCell ref="A1:U3"/>
    <mergeCell ref="A4:Y4"/>
  </mergeCells>
  <hyperlinks>
    <hyperlink ref="A5" location="Main!K42" display="Return to Menu" xr:uid="{00000000-0004-0000-0500-000000000000}"/>
    <hyperlink ref="B28" location="'4th Order Polynomial Tmp vs Vdc'!A123" display="Example Code" xr:uid="{00000000-0004-0000-0500-000001000000}"/>
  </hyperlink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2"/>
  <dimension ref="A1:AJ157"/>
  <sheetViews>
    <sheetView showGridLines="0" zoomScale="80" zoomScaleNormal="80" workbookViewId="0">
      <selection activeCell="A98" sqref="A98"/>
    </sheetView>
  </sheetViews>
  <sheetFormatPr defaultColWidth="0" defaultRowHeight="13.2" zeroHeight="1" x14ac:dyDescent="0.25"/>
  <cols>
    <col min="1" max="1" width="30.33203125" style="17" customWidth="1"/>
    <col min="2" max="2" width="26.33203125" style="12" customWidth="1"/>
    <col min="3" max="3" width="32.6640625" style="12" customWidth="1"/>
    <col min="4" max="4" width="14.6640625" style="12" customWidth="1"/>
    <col min="5" max="5" width="16.33203125" style="12" customWidth="1"/>
    <col min="6" max="6" width="19.6640625" style="12" customWidth="1"/>
    <col min="7" max="7" width="10" style="12" customWidth="1"/>
    <col min="8" max="8" width="9.44140625" style="12" customWidth="1"/>
    <col min="9" max="9" width="20.109375" style="12" customWidth="1"/>
    <col min="10" max="10" width="19.6640625" style="12" customWidth="1"/>
    <col min="11" max="11" width="22" style="12" customWidth="1"/>
    <col min="12" max="12" width="15.109375" style="12" customWidth="1"/>
    <col min="13" max="13" width="13.109375" style="12" customWidth="1"/>
    <col min="14" max="14" width="10" style="12" customWidth="1"/>
    <col min="15" max="15" width="10.109375" style="12" customWidth="1"/>
    <col min="16" max="16" width="9.109375" style="12" customWidth="1"/>
    <col min="17" max="17" width="9.5546875" style="12" customWidth="1"/>
    <col min="18" max="19" width="9.109375" style="12" customWidth="1"/>
    <col min="20" max="25" width="9.109375" style="12" hidden="1" customWidth="1"/>
    <col min="26" max="36" width="0" style="12" hidden="1" customWidth="1"/>
    <col min="37" max="16384" width="0" style="12" hidden="1"/>
  </cols>
  <sheetData>
    <row r="1" spans="1:36" s="2" customFormat="1" x14ac:dyDescent="0.25">
      <c r="A1" s="760"/>
      <c r="B1" s="760"/>
      <c r="C1" s="760"/>
      <c r="D1" s="760"/>
      <c r="E1" s="760"/>
      <c r="F1" s="760"/>
      <c r="G1" s="760"/>
      <c r="H1" s="760"/>
      <c r="I1" s="760"/>
      <c r="J1" s="760"/>
      <c r="K1" s="760"/>
      <c r="L1" s="760"/>
      <c r="M1" s="760"/>
      <c r="N1" s="760"/>
      <c r="O1" s="760"/>
      <c r="P1" s="760"/>
      <c r="Q1" s="760"/>
      <c r="R1" s="760"/>
      <c r="S1" s="760"/>
      <c r="T1" s="760"/>
      <c r="U1" s="760"/>
      <c r="V1" s="1"/>
      <c r="W1" s="1"/>
      <c r="X1" s="1"/>
      <c r="Y1" s="1"/>
      <c r="Z1" s="1"/>
      <c r="AA1" s="1"/>
      <c r="AB1" s="1"/>
      <c r="AC1" s="1"/>
      <c r="AD1" s="1"/>
      <c r="AE1" s="1"/>
      <c r="AF1" s="1"/>
      <c r="AG1" s="1"/>
      <c r="AH1" s="1"/>
      <c r="AI1" s="1"/>
      <c r="AJ1" s="1"/>
    </row>
    <row r="2" spans="1:36" s="2" customFormat="1" x14ac:dyDescent="0.25">
      <c r="A2" s="760"/>
      <c r="B2" s="760"/>
      <c r="C2" s="760"/>
      <c r="D2" s="760"/>
      <c r="E2" s="760"/>
      <c r="F2" s="760"/>
      <c r="G2" s="760"/>
      <c r="H2" s="760"/>
      <c r="I2" s="760"/>
      <c r="J2" s="760"/>
      <c r="K2" s="760"/>
      <c r="L2" s="760"/>
      <c r="M2" s="760"/>
      <c r="N2" s="760"/>
      <c r="O2" s="760"/>
      <c r="P2" s="760"/>
      <c r="Q2" s="760"/>
      <c r="R2" s="760"/>
      <c r="S2" s="760"/>
      <c r="T2" s="760"/>
      <c r="U2" s="760"/>
      <c r="V2" s="1"/>
      <c r="W2" s="1"/>
      <c r="X2" s="1"/>
      <c r="Y2" s="1"/>
      <c r="Z2" s="1"/>
      <c r="AA2" s="1"/>
      <c r="AB2" s="1"/>
      <c r="AC2" s="1"/>
      <c r="AD2" s="1"/>
      <c r="AE2" s="1"/>
      <c r="AF2" s="1"/>
      <c r="AG2" s="1"/>
      <c r="AH2" s="1"/>
      <c r="AI2" s="1"/>
      <c r="AJ2" s="1"/>
    </row>
    <row r="3" spans="1:36" s="2" customFormat="1" x14ac:dyDescent="0.25">
      <c r="A3" s="760"/>
      <c r="B3" s="760"/>
      <c r="C3" s="760"/>
      <c r="D3" s="760"/>
      <c r="E3" s="760"/>
      <c r="F3" s="760"/>
      <c r="G3" s="760"/>
      <c r="H3" s="760"/>
      <c r="I3" s="760"/>
      <c r="J3" s="760"/>
      <c r="K3" s="760"/>
      <c r="L3" s="760"/>
      <c r="M3" s="760"/>
      <c r="N3" s="760"/>
      <c r="O3" s="760"/>
      <c r="P3" s="760"/>
      <c r="Q3" s="760"/>
      <c r="R3" s="760"/>
      <c r="S3" s="760"/>
      <c r="T3" s="760"/>
      <c r="U3" s="760"/>
      <c r="V3" s="1"/>
      <c r="W3" s="1"/>
      <c r="X3" s="1"/>
      <c r="Y3" s="1"/>
      <c r="Z3" s="1"/>
      <c r="AA3" s="1"/>
      <c r="AB3" s="1"/>
      <c r="AC3" s="1"/>
      <c r="AD3" s="1"/>
      <c r="AE3" s="1"/>
      <c r="AF3" s="1"/>
      <c r="AG3" s="1"/>
      <c r="AH3" s="1"/>
      <c r="AI3" s="1"/>
      <c r="AJ3" s="1"/>
    </row>
    <row r="4" spans="1:36" s="2" customFormat="1" ht="12.75" customHeight="1" x14ac:dyDescent="0.25">
      <c r="A4" s="761"/>
      <c r="B4" s="762"/>
      <c r="C4" s="762"/>
      <c r="D4" s="762"/>
      <c r="E4" s="762"/>
      <c r="F4" s="762"/>
      <c r="G4" s="762"/>
      <c r="H4" s="762"/>
      <c r="I4" s="762"/>
      <c r="J4" s="762"/>
      <c r="K4" s="762"/>
      <c r="L4" s="762"/>
      <c r="M4" s="762"/>
      <c r="N4" s="762"/>
      <c r="O4" s="762"/>
      <c r="P4" s="762"/>
      <c r="Q4" s="762"/>
      <c r="R4" s="762"/>
      <c r="S4" s="762"/>
      <c r="T4" s="762"/>
      <c r="U4" s="762"/>
      <c r="V4" s="762"/>
      <c r="W4" s="762"/>
      <c r="X4" s="762"/>
      <c r="Y4" s="762"/>
      <c r="Z4" s="1"/>
      <c r="AA4" s="1"/>
      <c r="AB4" s="1"/>
      <c r="AC4" s="1"/>
      <c r="AD4" s="1"/>
      <c r="AE4" s="1"/>
      <c r="AF4" s="1"/>
      <c r="AG4" s="1"/>
      <c r="AH4" s="1"/>
      <c r="AI4" s="1"/>
      <c r="AJ4" s="1"/>
    </row>
    <row r="5" spans="1:36" ht="15" x14ac:dyDescent="0.25">
      <c r="A5" s="460" t="s">
        <v>71</v>
      </c>
    </row>
    <row r="6" spans="1:36" ht="15.6" x14ac:dyDescent="0.3">
      <c r="A6" s="136"/>
      <c r="B6" s="169"/>
      <c r="C6" s="169"/>
      <c r="D6" s="132"/>
    </row>
    <row r="7" spans="1:36" x14ac:dyDescent="0.25">
      <c r="A7" s="150"/>
      <c r="B7" s="157"/>
      <c r="C7" s="157"/>
      <c r="D7" s="42"/>
    </row>
    <row r="8" spans="1:36" s="157" customFormat="1" x14ac:dyDescent="0.25">
      <c r="A8" s="177"/>
    </row>
    <row r="9" spans="1:36" s="157" customFormat="1" x14ac:dyDescent="0.25">
      <c r="D9" s="172"/>
    </row>
    <row r="10" spans="1:36" s="157" customFormat="1" x14ac:dyDescent="0.25">
      <c r="D10" s="172"/>
    </row>
    <row r="11" spans="1:36" s="14" customFormat="1" x14ac:dyDescent="0.25">
      <c r="A11" s="157"/>
      <c r="B11" s="157"/>
      <c r="C11" s="157"/>
      <c r="D11" s="157"/>
      <c r="E11" s="157"/>
      <c r="F11" s="157"/>
      <c r="G11" s="157"/>
      <c r="H11" s="157"/>
      <c r="I11" s="157"/>
      <c r="J11" s="157"/>
      <c r="K11" s="157"/>
      <c r="L11" s="157"/>
      <c r="M11" s="157"/>
    </row>
    <row r="12" spans="1:36" x14ac:dyDescent="0.25">
      <c r="A12" s="162"/>
      <c r="B12" s="157"/>
      <c r="C12" s="157"/>
      <c r="D12" s="157"/>
      <c r="E12" s="157"/>
      <c r="F12" s="157"/>
      <c r="G12" s="157"/>
      <c r="H12" s="157"/>
      <c r="I12" s="157"/>
      <c r="J12" s="157"/>
      <c r="K12" s="157"/>
      <c r="L12" s="157"/>
      <c r="M12" s="157"/>
    </row>
    <row r="13" spans="1:36" x14ac:dyDescent="0.25">
      <c r="A13" s="15"/>
      <c r="G13" s="16"/>
    </row>
    <row r="14" spans="1:36" ht="15.6" x14ac:dyDescent="0.3">
      <c r="B14" s="179"/>
      <c r="C14" s="178"/>
      <c r="D14" s="178"/>
      <c r="E14" s="178"/>
      <c r="G14" s="18"/>
    </row>
    <row r="15" spans="1:36" ht="15" x14ac:dyDescent="0.25">
      <c r="B15" s="180"/>
      <c r="C15" s="178"/>
      <c r="D15" s="178"/>
      <c r="E15" s="178"/>
    </row>
    <row r="16" spans="1:36" ht="15" x14ac:dyDescent="0.25">
      <c r="B16" s="180"/>
      <c r="C16" s="178"/>
      <c r="D16" s="178"/>
      <c r="E16" s="178"/>
    </row>
    <row r="17" spans="1:14" s="156" customFormat="1" ht="15" x14ac:dyDescent="0.25">
      <c r="A17" s="159"/>
      <c r="B17" s="180"/>
      <c r="C17" s="178"/>
      <c r="D17" s="178"/>
      <c r="E17" s="178"/>
    </row>
    <row r="18" spans="1:14" s="156" customFormat="1" ht="15" x14ac:dyDescent="0.25">
      <c r="A18" s="159"/>
      <c r="B18" s="180"/>
      <c r="C18" s="178"/>
      <c r="D18" s="178"/>
      <c r="E18" s="178"/>
    </row>
    <row r="19" spans="1:14" s="156" customFormat="1" ht="15" x14ac:dyDescent="0.25">
      <c r="A19" s="159"/>
      <c r="B19" s="180"/>
      <c r="C19" s="178"/>
      <c r="D19" s="178"/>
      <c r="E19" s="178"/>
    </row>
    <row r="20" spans="1:14" ht="15" x14ac:dyDescent="0.25">
      <c r="B20" s="178"/>
      <c r="C20" s="178"/>
      <c r="D20" s="178"/>
      <c r="E20" s="178"/>
    </row>
    <row r="21" spans="1:14" ht="15" x14ac:dyDescent="0.25">
      <c r="A21" s="462" t="s">
        <v>209</v>
      </c>
      <c r="B21" s="178"/>
      <c r="C21" s="178"/>
      <c r="D21" s="178"/>
      <c r="E21" s="178"/>
    </row>
    <row r="22" spans="1:14" ht="15" x14ac:dyDescent="0.25">
      <c r="A22" s="159"/>
      <c r="B22" s="180"/>
      <c r="C22" s="178"/>
      <c r="D22" s="178"/>
      <c r="E22" s="178"/>
      <c r="F22" s="253"/>
      <c r="G22" s="253"/>
      <c r="H22" s="253"/>
    </row>
    <row r="23" spans="1:14" ht="13.8" x14ac:dyDescent="0.25">
      <c r="A23" s="215"/>
      <c r="B23" s="282"/>
      <c r="C23" s="282"/>
      <c r="D23" s="282"/>
      <c r="E23" s="282"/>
      <c r="F23" s="282"/>
      <c r="G23" s="282"/>
      <c r="H23" s="253"/>
    </row>
    <row r="24" spans="1:14" ht="15.6" x14ac:dyDescent="0.3">
      <c r="A24" s="605" t="s">
        <v>252</v>
      </c>
      <c r="B24" s="606" t="str">
        <f>Main!$N$22</f>
        <v>TMP6131DECR</v>
      </c>
      <c r="C24" s="607"/>
      <c r="D24" s="282"/>
      <c r="E24" s="282"/>
      <c r="F24" s="282"/>
      <c r="G24" s="282"/>
      <c r="H24" s="253"/>
    </row>
    <row r="25" spans="1:14" ht="15.6" x14ac:dyDescent="0.3">
      <c r="A25" s="538" t="s">
        <v>442</v>
      </c>
      <c r="B25" s="361">
        <f>Main!$N$25</f>
        <v>140</v>
      </c>
      <c r="C25" s="273" t="s">
        <v>441</v>
      </c>
      <c r="D25" s="282"/>
      <c r="E25" s="282"/>
      <c r="F25" s="282"/>
      <c r="G25" s="282"/>
      <c r="H25" s="253"/>
    </row>
    <row r="26" spans="1:14" ht="15.6" x14ac:dyDescent="0.3">
      <c r="A26" s="538" t="s">
        <v>42</v>
      </c>
      <c r="B26" s="312">
        <f>Main!$N$28</f>
        <v>12</v>
      </c>
      <c r="C26" s="273" t="s">
        <v>16</v>
      </c>
      <c r="D26" s="282"/>
      <c r="E26" s="282"/>
      <c r="F26" s="282"/>
      <c r="G26" s="282"/>
      <c r="H26" s="253"/>
    </row>
    <row r="27" spans="1:14" s="196" customFormat="1" ht="15.6" x14ac:dyDescent="0.3">
      <c r="A27" s="538" t="s">
        <v>265</v>
      </c>
      <c r="B27" s="355">
        <f>Main!$N$31</f>
        <v>3</v>
      </c>
      <c r="C27" s="273" t="s">
        <v>2</v>
      </c>
      <c r="D27" s="256"/>
      <c r="E27" s="256"/>
      <c r="F27" s="216"/>
      <c r="G27" s="282"/>
      <c r="H27" s="216"/>
      <c r="I27" s="214"/>
      <c r="J27" s="214"/>
      <c r="K27" s="214"/>
      <c r="L27" s="214"/>
      <c r="M27" s="214"/>
      <c r="N27" s="214"/>
    </row>
    <row r="28" spans="1:14" s="253" customFormat="1" ht="15.75" customHeight="1" x14ac:dyDescent="0.25">
      <c r="A28" s="294"/>
      <c r="B28" s="295"/>
      <c r="C28" s="256"/>
      <c r="D28" s="256"/>
      <c r="E28" s="256"/>
      <c r="F28" s="216"/>
      <c r="G28" s="282"/>
      <c r="H28" s="216"/>
      <c r="I28" s="282"/>
      <c r="J28" s="282"/>
      <c r="K28" s="282"/>
      <c r="L28" s="282"/>
      <c r="M28" s="282"/>
      <c r="N28" s="282"/>
    </row>
    <row r="29" spans="1:14" s="196" customFormat="1" ht="13.5" hidden="1" customHeight="1" x14ac:dyDescent="0.25">
      <c r="A29" s="282"/>
      <c r="B29" s="284" t="s">
        <v>187</v>
      </c>
      <c r="C29" s="284" t="s">
        <v>4</v>
      </c>
      <c r="D29" s="284" t="s">
        <v>5</v>
      </c>
      <c r="E29" s="284" t="s">
        <v>6</v>
      </c>
      <c r="F29" s="282"/>
      <c r="G29" s="282"/>
      <c r="H29" s="253"/>
      <c r="I29" s="214"/>
      <c r="J29" s="214"/>
      <c r="K29" s="214"/>
      <c r="L29" s="214"/>
      <c r="M29" s="214"/>
      <c r="N29" s="214"/>
    </row>
    <row r="30" spans="1:14" s="196" customFormat="1" ht="21.75" hidden="1" customHeight="1" x14ac:dyDescent="0.3">
      <c r="A30" s="181" t="s">
        <v>7</v>
      </c>
      <c r="B30" s="186">
        <v>-40</v>
      </c>
      <c r="C30" s="187">
        <f>'Device Resistance Tables'!E24</f>
        <v>6514.0402550496137</v>
      </c>
      <c r="D30" s="188">
        <f>B30+273.15</f>
        <v>233.14999999999998</v>
      </c>
      <c r="E30" s="189">
        <f>LN(C30)</f>
        <v>8.7817151655913577</v>
      </c>
      <c r="F30" s="282"/>
      <c r="G30" s="282"/>
      <c r="H30" s="253"/>
      <c r="I30" s="214"/>
      <c r="J30" s="214"/>
      <c r="K30" s="214"/>
      <c r="L30" s="214"/>
      <c r="M30" s="214"/>
      <c r="N30" s="214"/>
    </row>
    <row r="31" spans="1:14" s="196" customFormat="1" ht="18" hidden="1" customHeight="1" x14ac:dyDescent="0.3">
      <c r="A31" s="181" t="s">
        <v>8</v>
      </c>
      <c r="B31" s="186">
        <v>25</v>
      </c>
      <c r="C31" s="187">
        <f>'Device Resistance Tables'!E89</f>
        <v>9933.7233512253169</v>
      </c>
      <c r="D31" s="188">
        <f>B31+273.15</f>
        <v>298.14999999999998</v>
      </c>
      <c r="E31" s="189">
        <f>LN(C31)</f>
        <v>9.2036906466007657</v>
      </c>
      <c r="F31" s="216"/>
      <c r="G31" s="282"/>
      <c r="H31" s="253"/>
      <c r="I31" s="214"/>
      <c r="J31" s="214"/>
      <c r="K31" s="214"/>
      <c r="L31" s="214"/>
      <c r="M31" s="214"/>
      <c r="N31" s="214"/>
    </row>
    <row r="32" spans="1:14" s="196" customFormat="1" ht="21" hidden="1" customHeight="1" x14ac:dyDescent="0.3">
      <c r="A32" s="181" t="s">
        <v>9</v>
      </c>
      <c r="B32" s="186">
        <f>VLOOKUP(Main!$N$22,Coefficients!$E$2:$H$28,4,FALSE)</f>
        <v>125</v>
      </c>
      <c r="C32" s="187">
        <f>B53</f>
        <v>17885.726510705219</v>
      </c>
      <c r="D32" s="188">
        <f>B32+273.15</f>
        <v>398.15</v>
      </c>
      <c r="E32" s="189">
        <f>LN(C32)</f>
        <v>9.7917582720984715</v>
      </c>
      <c r="F32" s="216"/>
      <c r="G32" s="282"/>
      <c r="H32" s="253"/>
      <c r="I32" s="214"/>
      <c r="J32" s="214"/>
      <c r="K32" s="214"/>
      <c r="L32" s="214"/>
      <c r="M32" s="214"/>
      <c r="N32" s="214"/>
    </row>
    <row r="33" spans="1:14" s="196" customFormat="1" ht="17.25" hidden="1" customHeight="1" x14ac:dyDescent="0.25">
      <c r="A33" s="182"/>
      <c r="B33" s="216"/>
      <c r="C33" s="216"/>
      <c r="D33" s="216"/>
      <c r="E33" s="190">
        <f>1/D30</f>
        <v>4.2890842805061126E-3</v>
      </c>
      <c r="F33" s="215"/>
      <c r="G33" s="282"/>
      <c r="H33" s="253"/>
      <c r="I33" s="214"/>
      <c r="J33" s="214"/>
      <c r="K33" s="214"/>
      <c r="L33" s="214"/>
      <c r="M33" s="214"/>
      <c r="N33" s="214"/>
    </row>
    <row r="34" spans="1:14" s="196" customFormat="1" ht="24.75" hidden="1" customHeight="1" x14ac:dyDescent="0.25">
      <c r="A34" s="183"/>
      <c r="B34" s="184"/>
      <c r="C34" s="185"/>
      <c r="D34" s="184"/>
      <c r="E34" s="190">
        <f>1/D31</f>
        <v>3.3540164346805303E-3</v>
      </c>
      <c r="F34" s="215"/>
      <c r="G34" s="282"/>
      <c r="H34" s="253"/>
      <c r="I34" s="214"/>
      <c r="J34" s="214"/>
      <c r="K34" s="214"/>
      <c r="L34" s="214"/>
      <c r="M34" s="214"/>
      <c r="N34" s="214"/>
    </row>
    <row r="35" spans="1:14" s="196" customFormat="1" ht="13.5" hidden="1" customHeight="1" x14ac:dyDescent="0.25">
      <c r="A35" s="183"/>
      <c r="B35" s="184"/>
      <c r="C35" s="185"/>
      <c r="D35" s="184"/>
      <c r="E35" s="190">
        <f>1/D32</f>
        <v>2.511616225040814E-3</v>
      </c>
      <c r="F35" s="182"/>
      <c r="G35" s="282"/>
      <c r="H35" s="253"/>
      <c r="I35" s="214"/>
      <c r="J35" s="214"/>
      <c r="K35" s="214"/>
      <c r="L35" s="214"/>
      <c r="M35" s="214"/>
      <c r="N35" s="214"/>
    </row>
    <row r="36" spans="1:14" s="196" customFormat="1" ht="19.5" hidden="1" customHeight="1" x14ac:dyDescent="0.25">
      <c r="A36" s="183"/>
      <c r="B36" s="253"/>
      <c r="C36" s="253"/>
      <c r="D36" s="184"/>
      <c r="E36" s="218">
        <f>(E34-E33)/(E31-E30)</f>
        <v>-2.2159293321706874E-3</v>
      </c>
      <c r="F36" s="182"/>
      <c r="G36" s="282"/>
      <c r="H36" s="253"/>
      <c r="I36" s="214"/>
      <c r="J36" s="214"/>
      <c r="K36" s="214"/>
      <c r="L36" s="214"/>
      <c r="M36" s="214"/>
      <c r="N36" s="214"/>
    </row>
    <row r="37" spans="1:14" s="196" customFormat="1" ht="15.75" hidden="1" customHeight="1" x14ac:dyDescent="0.25">
      <c r="A37" s="183"/>
      <c r="B37" s="253"/>
      <c r="C37" s="253"/>
      <c r="D37" s="184"/>
      <c r="E37" s="218">
        <f>(E35-E33)/(E32-E30)</f>
        <v>-1.7597942543383714E-3</v>
      </c>
      <c r="F37" s="182"/>
      <c r="G37" s="282"/>
      <c r="H37" s="253"/>
      <c r="I37" s="214"/>
      <c r="J37" s="214"/>
      <c r="K37" s="214"/>
      <c r="L37" s="214"/>
      <c r="M37" s="214"/>
      <c r="N37" s="214"/>
    </row>
    <row r="38" spans="1:14" s="196" customFormat="1" ht="13.8" x14ac:dyDescent="0.25">
      <c r="A38" s="215"/>
      <c r="B38" s="282"/>
      <c r="C38" s="282"/>
      <c r="D38" s="216"/>
      <c r="E38" s="216"/>
      <c r="F38" s="217"/>
      <c r="G38" s="282"/>
      <c r="H38" s="253"/>
      <c r="I38" s="214"/>
      <c r="J38" s="214"/>
      <c r="K38" s="214"/>
      <c r="L38" s="214"/>
      <c r="M38" s="214"/>
      <c r="N38" s="214"/>
    </row>
    <row r="39" spans="1:14" s="196" customFormat="1" ht="15.6" x14ac:dyDescent="0.3">
      <c r="A39" s="608" t="s">
        <v>229</v>
      </c>
      <c r="B39" s="609"/>
      <c r="C39" s="388"/>
      <c r="D39" s="607"/>
      <c r="E39" s="607"/>
      <c r="F39" s="610"/>
      <c r="G39" s="388"/>
      <c r="H39" s="388"/>
      <c r="I39" s="388"/>
      <c r="J39" s="388"/>
      <c r="K39" s="388"/>
      <c r="L39" s="388"/>
      <c r="M39" s="388"/>
      <c r="N39" s="214"/>
    </row>
    <row r="40" spans="1:14" s="196" customFormat="1" ht="15.6" x14ac:dyDescent="0.3">
      <c r="A40" s="605" t="s">
        <v>11</v>
      </c>
      <c r="B40" s="611">
        <f>E33-(B41+E30^2*B42)*E30</f>
        <v>6.4340692851529213E-2</v>
      </c>
      <c r="C40" s="388"/>
      <c r="D40" s="607"/>
      <c r="E40" s="607"/>
      <c r="F40" s="610"/>
      <c r="G40" s="388"/>
      <c r="H40" s="388"/>
      <c r="I40" s="388"/>
      <c r="J40" s="388"/>
      <c r="K40" s="388"/>
      <c r="L40" s="388"/>
      <c r="M40" s="388"/>
      <c r="N40" s="214"/>
    </row>
    <row r="41" spans="1:14" s="196" customFormat="1" ht="15.6" x14ac:dyDescent="0.3">
      <c r="A41" s="605" t="s">
        <v>12</v>
      </c>
      <c r="B41" s="612">
        <f>E36-B42*(E30^2+E30*E31+E31^2)</f>
        <v>-8.9917160008991387E-3</v>
      </c>
      <c r="C41" s="388"/>
      <c r="D41" s="607"/>
      <c r="E41" s="607"/>
      <c r="F41" s="610"/>
      <c r="G41" s="388"/>
      <c r="H41" s="388"/>
      <c r="I41" s="388"/>
      <c r="J41" s="388"/>
      <c r="K41" s="388"/>
      <c r="L41" s="388"/>
      <c r="M41" s="388"/>
      <c r="N41" s="214"/>
    </row>
    <row r="42" spans="1:14" s="196" customFormat="1" ht="15.6" x14ac:dyDescent="0.3">
      <c r="A42" s="605" t="s">
        <v>13</v>
      </c>
      <c r="B42" s="612">
        <f>((E37-E36)/(E32-E31))*(E30+E31+E32)^-1</f>
        <v>2.7924042888156956E-5</v>
      </c>
      <c r="C42" s="388"/>
      <c r="D42" s="607"/>
      <c r="E42" s="607"/>
      <c r="F42" s="610"/>
      <c r="G42" s="388"/>
      <c r="H42" s="388"/>
      <c r="I42" s="388"/>
      <c r="J42" s="388"/>
      <c r="K42" s="388"/>
      <c r="L42" s="388"/>
      <c r="M42" s="388"/>
      <c r="N42" s="214"/>
    </row>
    <row r="43" spans="1:14" s="196" customFormat="1" ht="15" x14ac:dyDescent="0.25">
      <c r="A43" s="613"/>
      <c r="B43" s="388"/>
      <c r="C43" s="388"/>
      <c r="D43" s="607"/>
      <c r="E43" s="607"/>
      <c r="F43" s="610"/>
      <c r="G43" s="388"/>
      <c r="H43" s="388"/>
      <c r="I43" s="388"/>
      <c r="J43" s="388"/>
      <c r="K43" s="388"/>
      <c r="L43" s="388"/>
      <c r="M43" s="388"/>
      <c r="N43" s="214"/>
    </row>
    <row r="44" spans="1:14" ht="15.6" x14ac:dyDescent="0.3">
      <c r="A44" s="614" t="s">
        <v>255</v>
      </c>
      <c r="B44" s="615"/>
      <c r="C44" s="616"/>
      <c r="D44" s="607"/>
      <c r="E44" s="617"/>
      <c r="F44" s="607"/>
      <c r="G44" s="607"/>
      <c r="H44" s="607"/>
      <c r="I44" s="388"/>
      <c r="J44" s="388"/>
      <c r="K44" s="388"/>
      <c r="L44" s="388"/>
      <c r="M44" s="388"/>
    </row>
    <row r="45" spans="1:14" ht="16.2" thickBot="1" x14ac:dyDescent="0.35">
      <c r="A45" s="618" t="s">
        <v>90</v>
      </c>
      <c r="B45" s="619"/>
      <c r="C45" s="616"/>
      <c r="D45" s="607"/>
      <c r="E45" s="617"/>
      <c r="F45" s="607"/>
      <c r="G45" s="607"/>
      <c r="H45" s="607"/>
      <c r="I45" s="388"/>
      <c r="J45" s="388"/>
      <c r="K45" s="388"/>
      <c r="L45" s="388"/>
      <c r="M45" s="388"/>
    </row>
    <row r="46" spans="1:14" ht="15.6" thickBot="1" x14ac:dyDescent="0.3">
      <c r="A46" s="620" t="s">
        <v>280</v>
      </c>
      <c r="B46" s="621">
        <v>1.5</v>
      </c>
      <c r="C46" s="622" t="s">
        <v>14</v>
      </c>
      <c r="D46" s="623">
        <f>B46/(B25/1000000)</f>
        <v>10714.285714285716</v>
      </c>
      <c r="E46" s="405" t="s">
        <v>1</v>
      </c>
      <c r="F46" s="624" t="s">
        <v>213</v>
      </c>
      <c r="G46" s="625"/>
      <c r="H46" s="607"/>
      <c r="I46" s="388"/>
      <c r="J46" s="388"/>
      <c r="K46" s="388"/>
      <c r="L46" s="388"/>
      <c r="M46" s="388"/>
    </row>
    <row r="47" spans="1:14" ht="15.6" thickBot="1" x14ac:dyDescent="0.3">
      <c r="A47" s="620"/>
      <c r="B47" s="388"/>
      <c r="C47" s="388"/>
      <c r="D47" s="626">
        <f>B46/(B27/C52)</f>
        <v>2048</v>
      </c>
      <c r="E47" s="607" t="s">
        <v>15</v>
      </c>
      <c r="F47" s="607"/>
      <c r="G47" s="607"/>
      <c r="H47" s="607"/>
      <c r="I47" s="388"/>
      <c r="J47" s="388"/>
      <c r="K47" s="388"/>
      <c r="L47" s="388"/>
      <c r="M47" s="388"/>
    </row>
    <row r="48" spans="1:14" ht="15.6" thickBot="1" x14ac:dyDescent="0.3">
      <c r="A48" s="620"/>
      <c r="B48" s="627"/>
      <c r="C48" s="607"/>
      <c r="D48" s="628">
        <f>1/(B40+(B41*LN(D46))+(B42*(LN(D46)^3)))-273.15</f>
        <v>37.886617018850245</v>
      </c>
      <c r="E48" s="620" t="s">
        <v>187</v>
      </c>
      <c r="F48" s="607" t="s">
        <v>214</v>
      </c>
      <c r="G48" s="607"/>
      <c r="H48" s="607"/>
      <c r="I48" s="388"/>
      <c r="J48" s="388"/>
      <c r="K48" s="388"/>
      <c r="L48" s="388"/>
      <c r="M48" s="388"/>
    </row>
    <row r="49" spans="1:13" ht="15.6" x14ac:dyDescent="0.3">
      <c r="A49" s="618"/>
      <c r="B49" s="629"/>
      <c r="C49" s="630"/>
      <c r="D49" s="631"/>
      <c r="E49" s="607"/>
      <c r="F49" s="607"/>
      <c r="G49" s="607"/>
      <c r="H49" s="607"/>
      <c r="I49" s="388"/>
      <c r="J49" s="388"/>
      <c r="K49" s="388"/>
      <c r="L49" s="388"/>
      <c r="M49" s="388"/>
    </row>
    <row r="50" spans="1:13" ht="15.6" x14ac:dyDescent="0.3">
      <c r="A50" s="432"/>
      <c r="B50" s="629"/>
      <c r="C50" s="630"/>
      <c r="D50" s="388"/>
      <c r="E50" s="607"/>
      <c r="F50" s="607"/>
      <c r="G50" s="607"/>
      <c r="H50" s="607"/>
      <c r="I50" s="388"/>
      <c r="J50" s="388"/>
      <c r="K50" s="388"/>
      <c r="L50" s="388"/>
      <c r="M50" s="388"/>
    </row>
    <row r="51" spans="1:13" ht="15.6" x14ac:dyDescent="0.3">
      <c r="A51" s="618" t="s">
        <v>350</v>
      </c>
      <c r="B51" s="629"/>
      <c r="C51" s="630"/>
      <c r="D51" s="388"/>
      <c r="E51" s="607"/>
      <c r="F51" s="607"/>
      <c r="G51" s="607"/>
      <c r="H51" s="607"/>
      <c r="I51" s="388"/>
      <c r="J51" s="388"/>
      <c r="K51" s="388"/>
      <c r="L51" s="388"/>
      <c r="M51" s="388"/>
    </row>
    <row r="52" spans="1:13" ht="15.6" x14ac:dyDescent="0.3">
      <c r="A52" s="620" t="s">
        <v>15</v>
      </c>
      <c r="B52" s="632">
        <f>B26</f>
        <v>12</v>
      </c>
      <c r="C52" s="633">
        <f>2^B52</f>
        <v>4096</v>
      </c>
      <c r="D52" s="611" t="s">
        <v>16</v>
      </c>
      <c r="E52" s="634">
        <f>B27/C52</f>
        <v>7.32421875E-4</v>
      </c>
      <c r="F52" s="635" t="s">
        <v>17</v>
      </c>
      <c r="G52" s="607"/>
      <c r="H52" s="607"/>
      <c r="I52" s="388"/>
      <c r="J52" s="388"/>
      <c r="K52" s="388"/>
      <c r="L52" s="388"/>
      <c r="M52" s="388"/>
    </row>
    <row r="53" spans="1:13" ht="15.6" x14ac:dyDescent="0.3">
      <c r="A53" s="636" t="s">
        <v>256</v>
      </c>
      <c r="B53" s="637">
        <f>VLOOKUP(B32,'Device Resistance Tables'!B164:D239,3,FALSE)</f>
        <v>17885.726510705219</v>
      </c>
      <c r="C53" s="638" t="s">
        <v>1</v>
      </c>
      <c r="D53" s="152"/>
      <c r="E53" s="639"/>
      <c r="F53" s="639"/>
      <c r="G53" s="607"/>
      <c r="H53" s="607"/>
      <c r="I53" s="388"/>
      <c r="J53" s="388"/>
      <c r="K53" s="388"/>
      <c r="L53" s="388"/>
      <c r="M53" s="388"/>
    </row>
    <row r="54" spans="1:13" ht="15.6" x14ac:dyDescent="0.3">
      <c r="A54" s="620" t="s">
        <v>257</v>
      </c>
      <c r="B54" s="640">
        <f>VLOOKUP(B32-1,'Device Resistance Tables'!B164:D239,3,FALSE)</f>
        <v>17785.855974347101</v>
      </c>
      <c r="C54" s="638" t="s">
        <v>1</v>
      </c>
      <c r="D54" s="152"/>
      <c r="E54" s="639"/>
      <c r="F54" s="639"/>
      <c r="G54" s="607"/>
      <c r="H54" s="607"/>
      <c r="I54" s="388"/>
      <c r="J54" s="388"/>
      <c r="K54" s="388"/>
      <c r="L54" s="388"/>
      <c r="M54" s="388"/>
    </row>
    <row r="55" spans="1:13" s="21" customFormat="1" ht="15.6" x14ac:dyDescent="0.3">
      <c r="A55" s="620" t="s">
        <v>258</v>
      </c>
      <c r="B55" s="641">
        <f>B53*($B$25/1000000)</f>
        <v>2.5040017114987303</v>
      </c>
      <c r="C55" s="642" t="s">
        <v>18</v>
      </c>
      <c r="D55" s="152"/>
      <c r="E55" s="639"/>
      <c r="F55" s="639"/>
      <c r="G55" s="607"/>
      <c r="H55" s="607"/>
      <c r="I55" s="388"/>
      <c r="J55" s="178"/>
      <c r="K55" s="388"/>
      <c r="L55" s="388"/>
      <c r="M55" s="178"/>
    </row>
    <row r="56" spans="1:13" s="21" customFormat="1" ht="15.6" x14ac:dyDescent="0.3">
      <c r="A56" s="620" t="s">
        <v>259</v>
      </c>
      <c r="B56" s="641">
        <f>B54*($B$25/1000000)</f>
        <v>2.4900198364085941</v>
      </c>
      <c r="C56" s="638" t="s">
        <v>18</v>
      </c>
      <c r="D56" s="152"/>
      <c r="E56" s="639"/>
      <c r="F56" s="639"/>
      <c r="G56" s="607"/>
      <c r="H56" s="607"/>
      <c r="I56" s="388"/>
      <c r="J56" s="178"/>
      <c r="K56" s="388"/>
      <c r="L56" s="388"/>
      <c r="M56" s="178"/>
    </row>
    <row r="57" spans="1:13" s="21" customFormat="1" ht="15.6" x14ac:dyDescent="0.3">
      <c r="A57" s="620" t="s">
        <v>260</v>
      </c>
      <c r="B57" s="641">
        <f>B55-B56</f>
        <v>1.3981875090136153E-2</v>
      </c>
      <c r="C57" s="643" t="s">
        <v>19</v>
      </c>
      <c r="D57" s="152"/>
      <c r="E57" s="644">
        <f>B57/E52</f>
        <v>19.089920123065895</v>
      </c>
      <c r="F57" s="635" t="s">
        <v>188</v>
      </c>
      <c r="G57" s="607"/>
      <c r="H57" s="607"/>
      <c r="I57" s="388"/>
      <c r="J57" s="645"/>
      <c r="K57" s="388"/>
      <c r="L57" s="388"/>
      <c r="M57" s="178"/>
    </row>
    <row r="58" spans="1:13" s="21" customFormat="1" ht="15.6" x14ac:dyDescent="0.3">
      <c r="A58" s="620" t="s">
        <v>20</v>
      </c>
      <c r="B58" s="640">
        <f>'Device Resistance Tables'!E24</f>
        <v>6514.0402550496137</v>
      </c>
      <c r="C58" s="638" t="s">
        <v>1</v>
      </c>
      <c r="D58" s="152"/>
      <c r="E58" s="639"/>
      <c r="F58" s="639"/>
      <c r="G58" s="639"/>
      <c r="H58" s="639"/>
      <c r="I58" s="388"/>
      <c r="J58" s="178"/>
      <c r="K58" s="388"/>
      <c r="L58" s="388"/>
      <c r="M58" s="178"/>
    </row>
    <row r="59" spans="1:13" s="21" customFormat="1" ht="15.6" x14ac:dyDescent="0.3">
      <c r="A59" s="620" t="s">
        <v>21</v>
      </c>
      <c r="B59" s="640">
        <f>'Device Resistance Tables'!E25</f>
        <v>6555.848186798853</v>
      </c>
      <c r="C59" s="638" t="s">
        <v>1</v>
      </c>
      <c r="D59" s="152"/>
      <c r="E59" s="639"/>
      <c r="F59" s="639"/>
      <c r="G59" s="639"/>
      <c r="H59" s="639"/>
      <c r="I59" s="388"/>
      <c r="J59" s="178"/>
      <c r="K59" s="388"/>
      <c r="L59" s="388"/>
      <c r="M59" s="178"/>
    </row>
    <row r="60" spans="1:13" s="21" customFormat="1" ht="15.6" x14ac:dyDescent="0.3">
      <c r="A60" s="620" t="s">
        <v>3</v>
      </c>
      <c r="B60" s="641">
        <f>B58*($B$25/1000000)</f>
        <v>0.91196563570694589</v>
      </c>
      <c r="C60" s="642" t="s">
        <v>18</v>
      </c>
      <c r="D60" s="152"/>
      <c r="E60" s="639"/>
      <c r="F60" s="639"/>
      <c r="G60" s="639"/>
      <c r="H60" s="639"/>
      <c r="I60" s="388"/>
      <c r="J60" s="388"/>
      <c r="K60" s="388"/>
      <c r="L60" s="388"/>
      <c r="M60" s="178"/>
    </row>
    <row r="61" spans="1:13" s="21" customFormat="1" ht="15.6" x14ac:dyDescent="0.3">
      <c r="A61" s="620" t="s">
        <v>22</v>
      </c>
      <c r="B61" s="641">
        <f>B59*($B$25/1000000)</f>
        <v>0.91781874615183934</v>
      </c>
      <c r="C61" s="638" t="s">
        <v>18</v>
      </c>
      <c r="D61" s="152"/>
      <c r="E61" s="639"/>
      <c r="F61" s="639"/>
      <c r="G61" s="639"/>
      <c r="H61" s="639"/>
      <c r="I61" s="388"/>
      <c r="J61" s="388"/>
      <c r="K61" s="388"/>
      <c r="L61" s="388"/>
      <c r="M61" s="178"/>
    </row>
    <row r="62" spans="1:13" s="21" customFormat="1" ht="15.6" x14ac:dyDescent="0.3">
      <c r="A62" s="620" t="s">
        <v>23</v>
      </c>
      <c r="B62" s="641">
        <f>B61-B60</f>
        <v>5.8531104448934501E-3</v>
      </c>
      <c r="C62" s="643" t="s">
        <v>19</v>
      </c>
      <c r="D62" s="152"/>
      <c r="E62" s="644">
        <f>B62/E52</f>
        <v>7.9914467940945242</v>
      </c>
      <c r="F62" s="635" t="s">
        <v>188</v>
      </c>
      <c r="G62" s="639"/>
      <c r="H62" s="639"/>
      <c r="I62" s="388"/>
      <c r="J62" s="388"/>
      <c r="K62" s="388"/>
      <c r="L62" s="388"/>
      <c r="M62" s="178"/>
    </row>
    <row r="63" spans="1:13" s="21" customFormat="1" ht="15.6" x14ac:dyDescent="0.3">
      <c r="A63" s="432"/>
      <c r="B63" s="646"/>
      <c r="C63" s="434"/>
      <c r="D63" s="152"/>
      <c r="E63" s="430"/>
      <c r="F63" s="647"/>
      <c r="G63" s="639"/>
      <c r="H63" s="639"/>
      <c r="I63" s="388"/>
      <c r="J63" s="388"/>
      <c r="K63" s="388"/>
      <c r="L63" s="388"/>
      <c r="M63" s="178"/>
    </row>
    <row r="64" spans="1:13" s="21" customFormat="1" ht="15.6" x14ac:dyDescent="0.3">
      <c r="A64" s="432"/>
      <c r="B64" s="646"/>
      <c r="C64" s="434"/>
      <c r="D64" s="152"/>
      <c r="E64" s="430"/>
      <c r="F64" s="647"/>
      <c r="G64" s="639"/>
      <c r="H64" s="639"/>
      <c r="I64" s="388"/>
      <c r="J64" s="388"/>
      <c r="K64" s="388"/>
      <c r="L64" s="388"/>
      <c r="M64" s="178"/>
    </row>
    <row r="65" spans="1:13" s="160" customFormat="1" x14ac:dyDescent="0.25">
      <c r="A65" s="158"/>
      <c r="B65" s="164"/>
      <c r="C65" s="165"/>
      <c r="D65" s="157"/>
      <c r="E65" s="166"/>
      <c r="F65" s="161"/>
      <c r="G65" s="163"/>
      <c r="H65" s="163"/>
      <c r="I65" s="156"/>
      <c r="J65" s="156"/>
      <c r="K65" s="156"/>
      <c r="L65" s="156"/>
    </row>
    <row r="66" spans="1:13" s="160" customFormat="1" x14ac:dyDescent="0.25">
      <c r="A66" s="158"/>
      <c r="B66" s="164"/>
      <c r="C66" s="165"/>
      <c r="D66" s="157"/>
      <c r="E66" s="166"/>
      <c r="F66" s="161"/>
      <c r="G66" s="163"/>
      <c r="H66" s="163"/>
      <c r="I66" s="156"/>
      <c r="J66" s="156"/>
      <c r="K66" s="156"/>
      <c r="L66" s="156"/>
    </row>
    <row r="67" spans="1:13" s="160" customFormat="1" x14ac:dyDescent="0.25">
      <c r="A67" s="158"/>
      <c r="B67" s="164"/>
      <c r="C67" s="165"/>
      <c r="D67" s="157"/>
      <c r="E67" s="166"/>
      <c r="F67" s="161"/>
      <c r="G67" s="163"/>
      <c r="H67" s="163"/>
      <c r="I67" s="156"/>
      <c r="J67" s="156"/>
      <c r="K67" s="156"/>
      <c r="L67" s="156"/>
    </row>
    <row r="68" spans="1:13" s="21" customFormat="1" x14ac:dyDescent="0.25">
      <c r="A68" s="15"/>
      <c r="B68" s="25"/>
      <c r="C68" s="26"/>
      <c r="D68" s="14"/>
      <c r="E68" s="27"/>
      <c r="F68" s="23"/>
      <c r="G68" s="24"/>
      <c r="H68" s="24"/>
      <c r="I68" s="12"/>
      <c r="J68" s="12"/>
      <c r="K68" s="12"/>
      <c r="L68" s="12"/>
    </row>
    <row r="69" spans="1:13" s="21" customFormat="1" x14ac:dyDescent="0.25">
      <c r="A69" s="28"/>
      <c r="B69" s="25"/>
      <c r="C69" s="26"/>
      <c r="E69" s="27"/>
      <c r="F69" s="23"/>
      <c r="G69" s="29"/>
      <c r="H69" s="29"/>
      <c r="I69" s="19"/>
      <c r="J69" s="19"/>
      <c r="K69" s="19"/>
      <c r="L69" s="19"/>
    </row>
    <row r="70" spans="1:13" x14ac:dyDescent="0.25"/>
    <row r="71" spans="1:13" ht="16.2" thickBot="1" x14ac:dyDescent="0.35">
      <c r="A71" s="237" t="s">
        <v>116</v>
      </c>
      <c r="D71" s="237" t="s">
        <v>236</v>
      </c>
    </row>
    <row r="72" spans="1:13" ht="13.8" thickTop="1" x14ac:dyDescent="0.25">
      <c r="A72" s="227"/>
      <c r="B72" s="228"/>
      <c r="C72" s="228"/>
      <c r="D72" s="228"/>
      <c r="E72" s="228"/>
      <c r="F72" s="228"/>
      <c r="G72" s="228"/>
      <c r="H72" s="228"/>
      <c r="I72" s="228"/>
      <c r="J72" s="228"/>
      <c r="K72" s="228"/>
      <c r="L72" s="228"/>
      <c r="M72" s="229"/>
    </row>
    <row r="73" spans="1:13" x14ac:dyDescent="0.25">
      <c r="A73" s="33" t="s">
        <v>87</v>
      </c>
      <c r="B73" s="34"/>
      <c r="C73" s="34"/>
      <c r="D73" s="34"/>
      <c r="E73" s="34"/>
      <c r="F73" s="34"/>
      <c r="G73" s="34"/>
      <c r="H73" s="34"/>
      <c r="I73" s="34"/>
      <c r="J73" s="34"/>
      <c r="K73" s="34"/>
      <c r="L73" s="34"/>
      <c r="M73" s="35"/>
    </row>
    <row r="74" spans="1:13" x14ac:dyDescent="0.25">
      <c r="A74" s="33" t="s">
        <v>106</v>
      </c>
      <c r="B74" s="34"/>
      <c r="C74" s="34"/>
      <c r="D74" s="34"/>
      <c r="E74" s="34"/>
      <c r="F74" s="34"/>
      <c r="G74" s="34"/>
      <c r="H74" s="34"/>
      <c r="I74" s="34"/>
      <c r="J74" s="34"/>
      <c r="K74" s="34"/>
      <c r="L74" s="34"/>
      <c r="M74" s="35"/>
    </row>
    <row r="75" spans="1:13" x14ac:dyDescent="0.25">
      <c r="A75" s="219"/>
      <c r="B75" s="198"/>
      <c r="C75" s="198"/>
      <c r="D75" s="198"/>
      <c r="E75" s="198"/>
      <c r="F75" s="198"/>
      <c r="G75" s="198"/>
      <c r="H75" s="198"/>
      <c r="I75" s="198"/>
      <c r="J75" s="198"/>
      <c r="K75" s="198"/>
      <c r="L75" s="198"/>
      <c r="M75" s="220"/>
    </row>
    <row r="76" spans="1:13" x14ac:dyDescent="0.25">
      <c r="A76" s="221"/>
      <c r="B76" s="264" t="s">
        <v>449</v>
      </c>
      <c r="C76" s="305">
        <f>B27</f>
        <v>3</v>
      </c>
      <c r="D76" s="264" t="s">
        <v>227</v>
      </c>
      <c r="F76" s="255"/>
      <c r="G76" s="222" t="s">
        <v>462</v>
      </c>
      <c r="H76" s="255"/>
      <c r="J76" s="255"/>
      <c r="K76" s="255"/>
      <c r="L76" s="255"/>
      <c r="M76" s="220"/>
    </row>
    <row r="77" spans="1:13" x14ac:dyDescent="0.25">
      <c r="A77" s="219"/>
      <c r="B77" s="208" t="s">
        <v>447</v>
      </c>
      <c r="C77" s="198">
        <f>B25</f>
        <v>140</v>
      </c>
      <c r="D77" s="208" t="s">
        <v>227</v>
      </c>
      <c r="E77" s="198"/>
      <c r="G77" s="222" t="s">
        <v>450</v>
      </c>
      <c r="H77" s="198"/>
      <c r="I77" s="198"/>
      <c r="J77" s="198"/>
      <c r="K77" s="198"/>
      <c r="L77" s="198"/>
      <c r="M77" s="220"/>
    </row>
    <row r="78" spans="1:13" x14ac:dyDescent="0.25">
      <c r="A78" s="219"/>
      <c r="B78" s="207" t="s">
        <v>234</v>
      </c>
      <c r="C78" s="235">
        <f>E52</f>
        <v>7.32421875E-4</v>
      </c>
      <c r="D78" s="207" t="s">
        <v>227</v>
      </c>
      <c r="E78" s="197"/>
      <c r="G78" s="230" t="s">
        <v>505</v>
      </c>
      <c r="H78" s="198"/>
      <c r="I78" s="198"/>
      <c r="J78" s="198"/>
      <c r="K78" s="198"/>
      <c r="L78" s="198"/>
      <c r="M78" s="220"/>
    </row>
    <row r="79" spans="1:13" x14ac:dyDescent="0.25">
      <c r="A79" s="219"/>
      <c r="B79" s="208" t="s">
        <v>107</v>
      </c>
      <c r="C79" s="198"/>
      <c r="D79" s="198"/>
      <c r="E79" s="198"/>
      <c r="G79" s="222" t="s">
        <v>101</v>
      </c>
      <c r="H79" s="198"/>
      <c r="I79" s="198"/>
      <c r="J79" s="198"/>
      <c r="K79" s="198"/>
      <c r="L79" s="198"/>
      <c r="M79" s="220"/>
    </row>
    <row r="80" spans="1:13" x14ac:dyDescent="0.25">
      <c r="A80" s="219"/>
      <c r="B80" s="208" t="s">
        <v>108</v>
      </c>
      <c r="C80" s="198"/>
      <c r="D80" s="198"/>
      <c r="E80" s="198"/>
      <c r="G80" s="222" t="s">
        <v>474</v>
      </c>
      <c r="H80" s="198"/>
      <c r="I80" s="198"/>
      <c r="J80" s="198"/>
      <c r="K80" s="198"/>
      <c r="L80" s="198"/>
      <c r="M80" s="220"/>
    </row>
    <row r="81" spans="1:13" x14ac:dyDescent="0.25">
      <c r="A81" s="219"/>
      <c r="B81" s="208" t="s">
        <v>109</v>
      </c>
      <c r="C81" s="198"/>
      <c r="D81" s="198"/>
      <c r="E81" s="198"/>
      <c r="G81" s="222" t="s">
        <v>114</v>
      </c>
      <c r="H81" s="198"/>
      <c r="I81" s="198"/>
      <c r="J81" s="198"/>
      <c r="K81" s="198"/>
      <c r="L81" s="198"/>
      <c r="M81" s="220"/>
    </row>
    <row r="82" spans="1:13" x14ac:dyDescent="0.25">
      <c r="A82" s="219"/>
      <c r="B82" s="208" t="s">
        <v>110</v>
      </c>
      <c r="C82" s="198"/>
      <c r="D82" s="198"/>
      <c r="E82" s="198"/>
      <c r="G82" s="222" t="s">
        <v>102</v>
      </c>
      <c r="H82" s="198"/>
      <c r="I82" s="198"/>
      <c r="J82" s="198"/>
      <c r="K82" s="198"/>
      <c r="L82" s="198"/>
      <c r="M82" s="220"/>
    </row>
    <row r="83" spans="1:13" x14ac:dyDescent="0.25">
      <c r="A83" s="219"/>
      <c r="B83" s="198"/>
      <c r="C83" s="198"/>
      <c r="D83" s="198"/>
      <c r="E83" s="198"/>
      <c r="G83" s="198"/>
      <c r="H83" s="198"/>
      <c r="I83" s="198"/>
      <c r="J83" s="198"/>
      <c r="K83" s="198"/>
      <c r="L83" s="198"/>
      <c r="M83" s="220"/>
    </row>
    <row r="84" spans="1:13" x14ac:dyDescent="0.25">
      <c r="A84" s="221"/>
      <c r="B84" s="208" t="s">
        <v>137</v>
      </c>
      <c r="C84" s="198"/>
      <c r="D84" s="198"/>
      <c r="E84" s="198"/>
      <c r="G84" s="198"/>
      <c r="H84" s="198"/>
      <c r="I84" s="198"/>
      <c r="J84" s="198"/>
      <c r="K84" s="198"/>
      <c r="L84" s="198"/>
      <c r="M84" s="220"/>
    </row>
    <row r="85" spans="1:13" x14ac:dyDescent="0.25">
      <c r="A85" s="221"/>
      <c r="B85" s="198" t="s">
        <v>28</v>
      </c>
      <c r="C85" s="198"/>
      <c r="D85" s="198"/>
      <c r="E85" s="198"/>
      <c r="G85" s="198"/>
      <c r="H85" s="198"/>
      <c r="I85" s="198"/>
      <c r="J85" s="198"/>
      <c r="K85" s="198"/>
      <c r="L85" s="198"/>
      <c r="M85" s="220"/>
    </row>
    <row r="86" spans="1:13" x14ac:dyDescent="0.25">
      <c r="A86" s="221"/>
      <c r="B86" s="198"/>
      <c r="C86" s="208" t="s">
        <v>230</v>
      </c>
      <c r="D86" s="198">
        <f>B40</f>
        <v>6.4340692851529213E-2</v>
      </c>
      <c r="E86" s="208" t="s">
        <v>227</v>
      </c>
      <c r="G86" s="208" t="s">
        <v>88</v>
      </c>
      <c r="H86" s="198"/>
      <c r="I86" s="198"/>
      <c r="J86" s="198"/>
      <c r="K86" s="198"/>
      <c r="L86" s="198"/>
      <c r="M86" s="220"/>
    </row>
    <row r="87" spans="1:13" x14ac:dyDescent="0.25">
      <c r="A87" s="221"/>
      <c r="B87" s="198"/>
      <c r="C87" s="208" t="s">
        <v>231</v>
      </c>
      <c r="D87" s="234">
        <f>B41</f>
        <v>-8.9917160008991387E-3</v>
      </c>
      <c r="E87" s="208" t="s">
        <v>227</v>
      </c>
      <c r="G87" s="208" t="s">
        <v>88</v>
      </c>
      <c r="H87" s="198"/>
      <c r="I87" s="198"/>
      <c r="J87" s="198"/>
      <c r="K87" s="198"/>
      <c r="L87" s="198"/>
      <c r="M87" s="220"/>
    </row>
    <row r="88" spans="1:13" x14ac:dyDescent="0.25">
      <c r="A88" s="221"/>
      <c r="B88" s="198"/>
      <c r="C88" s="208" t="s">
        <v>232</v>
      </c>
      <c r="D88" s="234">
        <f>B42</f>
        <v>2.7924042888156956E-5</v>
      </c>
      <c r="E88" s="208" t="s">
        <v>227</v>
      </c>
      <c r="G88" s="208" t="s">
        <v>88</v>
      </c>
      <c r="H88" s="198"/>
      <c r="I88" s="198"/>
      <c r="J88" s="198"/>
      <c r="K88" s="198"/>
      <c r="L88" s="198"/>
      <c r="M88" s="220"/>
    </row>
    <row r="89" spans="1:13" x14ac:dyDescent="0.25">
      <c r="A89" s="221"/>
      <c r="B89" s="198"/>
      <c r="C89" s="198"/>
      <c r="D89" s="198"/>
      <c r="E89" s="198"/>
      <c r="G89" s="208"/>
      <c r="H89" s="198"/>
      <c r="I89" s="198"/>
      <c r="J89" s="198"/>
      <c r="K89" s="198"/>
      <c r="L89" s="198"/>
      <c r="M89" s="220"/>
    </row>
    <row r="90" spans="1:13" x14ac:dyDescent="0.25">
      <c r="A90" s="221"/>
      <c r="B90" s="198"/>
      <c r="C90" s="208" t="s">
        <v>138</v>
      </c>
      <c r="D90" s="198"/>
      <c r="E90" s="198"/>
      <c r="G90" s="208" t="s">
        <v>115</v>
      </c>
      <c r="H90" s="198"/>
      <c r="I90" s="198"/>
      <c r="J90" s="198"/>
      <c r="K90" s="198"/>
      <c r="L90" s="198"/>
      <c r="M90" s="220"/>
    </row>
    <row r="91" spans="1:13" x14ac:dyDescent="0.25">
      <c r="A91" s="221"/>
      <c r="B91" s="198"/>
      <c r="C91" s="208" t="s">
        <v>469</v>
      </c>
      <c r="D91" s="198"/>
      <c r="E91" s="198"/>
      <c r="G91" s="269" t="s">
        <v>451</v>
      </c>
      <c r="H91" s="198"/>
      <c r="I91" s="198"/>
      <c r="J91" s="198"/>
      <c r="K91" s="198"/>
      <c r="L91" s="198"/>
      <c r="M91" s="220"/>
    </row>
    <row r="92" spans="1:13" x14ac:dyDescent="0.25">
      <c r="A92" s="221"/>
      <c r="B92" s="198"/>
      <c r="C92" s="208" t="s">
        <v>111</v>
      </c>
      <c r="D92" s="198"/>
      <c r="E92" s="198"/>
      <c r="G92" s="208" t="s">
        <v>113</v>
      </c>
      <c r="H92" s="198"/>
      <c r="I92" s="198"/>
      <c r="J92" s="198"/>
      <c r="K92" s="198"/>
      <c r="L92" s="198"/>
      <c r="M92" s="220"/>
    </row>
    <row r="93" spans="1:13" x14ac:dyDescent="0.25">
      <c r="A93" s="221"/>
      <c r="B93" s="198"/>
      <c r="C93" s="208" t="s">
        <v>112</v>
      </c>
      <c r="D93" s="198"/>
      <c r="E93" s="198"/>
      <c r="G93" s="198" t="s">
        <v>29</v>
      </c>
      <c r="H93" s="198"/>
      <c r="I93" s="198"/>
      <c r="J93" s="198"/>
      <c r="K93" s="198"/>
      <c r="L93" s="198"/>
      <c r="M93" s="220"/>
    </row>
    <row r="94" spans="1:13" x14ac:dyDescent="0.25">
      <c r="A94" s="221"/>
      <c r="B94" s="198"/>
      <c r="C94" s="198"/>
      <c r="D94" s="198"/>
      <c r="E94" s="198"/>
      <c r="G94" s="198"/>
      <c r="H94" s="198"/>
      <c r="I94" s="198"/>
      <c r="J94" s="198"/>
      <c r="K94" s="198"/>
      <c r="L94" s="198"/>
      <c r="M94" s="220"/>
    </row>
    <row r="95" spans="1:13" x14ac:dyDescent="0.25">
      <c r="A95" s="221"/>
      <c r="B95" s="198"/>
      <c r="C95" s="198" t="s">
        <v>30</v>
      </c>
      <c r="D95" s="198"/>
      <c r="E95" s="198"/>
      <c r="G95" s="208" t="s">
        <v>89</v>
      </c>
      <c r="H95" s="198"/>
      <c r="I95" s="198"/>
      <c r="J95" s="198"/>
      <c r="K95" s="198"/>
      <c r="L95" s="198"/>
      <c r="M95" s="220"/>
    </row>
    <row r="96" spans="1:13" x14ac:dyDescent="0.25">
      <c r="A96" s="221"/>
      <c r="B96" s="198" t="s">
        <v>31</v>
      </c>
      <c r="C96" s="198"/>
      <c r="D96" s="198"/>
      <c r="E96" s="198"/>
      <c r="F96" s="198"/>
      <c r="G96" s="198"/>
      <c r="H96" s="198"/>
      <c r="I96" s="198"/>
      <c r="J96" s="198"/>
      <c r="K96" s="198"/>
      <c r="L96" s="198"/>
      <c r="M96" s="220"/>
    </row>
    <row r="97" spans="1:13" x14ac:dyDescent="0.25">
      <c r="A97" s="221"/>
      <c r="B97" s="198"/>
      <c r="C97" s="198"/>
      <c r="D97" s="198"/>
      <c r="E97" s="198"/>
      <c r="F97" s="198"/>
      <c r="G97" s="198"/>
      <c r="H97" s="198"/>
      <c r="I97" s="198"/>
      <c r="J97" s="198"/>
      <c r="K97" s="198"/>
      <c r="L97" s="198"/>
      <c r="M97" s="220"/>
    </row>
    <row r="98" spans="1:13" ht="13.8" thickBot="1" x14ac:dyDescent="0.3">
      <c r="A98" s="231"/>
      <c r="B98" s="232"/>
      <c r="C98" s="232"/>
      <c r="D98" s="232"/>
      <c r="E98" s="232"/>
      <c r="F98" s="232"/>
      <c r="G98" s="232"/>
      <c r="H98" s="232"/>
      <c r="I98" s="232"/>
      <c r="J98" s="232"/>
      <c r="K98" s="232"/>
      <c r="L98" s="232"/>
      <c r="M98" s="233"/>
    </row>
    <row r="99" spans="1:13" ht="13.8" thickTop="1" x14ac:dyDescent="0.25">
      <c r="A99" s="12"/>
    </row>
    <row r="100" spans="1:13" x14ac:dyDescent="0.25">
      <c r="A100" s="12"/>
    </row>
    <row r="101" spans="1:13" x14ac:dyDescent="0.25">
      <c r="A101" s="12"/>
    </row>
    <row r="102" spans="1:13" x14ac:dyDescent="0.25"/>
    <row r="103" spans="1:13" x14ac:dyDescent="0.25"/>
    <row r="104" spans="1:13" x14ac:dyDescent="0.25"/>
    <row r="105" spans="1:13" x14ac:dyDescent="0.25"/>
    <row r="106" spans="1:13" x14ac:dyDescent="0.25"/>
    <row r="107" spans="1:13" hidden="1" x14ac:dyDescent="0.25"/>
    <row r="108" spans="1:13" hidden="1" x14ac:dyDescent="0.25"/>
    <row r="109" spans="1:13" hidden="1" x14ac:dyDescent="0.25"/>
    <row r="110" spans="1:13" hidden="1" x14ac:dyDescent="0.25"/>
    <row r="111" spans="1:13" hidden="1" x14ac:dyDescent="0.25"/>
    <row r="112" spans="1:13"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x14ac:dyDescent="0.25"/>
    <row r="155" x14ac:dyDescent="0.25"/>
    <row r="156" x14ac:dyDescent="0.25"/>
    <row r="157" x14ac:dyDescent="0.25"/>
  </sheetData>
  <sheetProtection algorithmName="SHA-512" hashValue="qyN0JyIcUXFOTCXpqLhwkRby201ME9sjKAKsRwnadzXs7RSFc0Ramib0m1laRdLd4YPbtwJCi/SG13eNyEromg==" saltValue="wXUJHVVfKZ1RY51lpAR/DQ==" spinCount="100000" sheet="1" objects="1" scenarios="1"/>
  <mergeCells count="2">
    <mergeCell ref="A1:U3"/>
    <mergeCell ref="A4:Y4"/>
  </mergeCells>
  <conditionalFormatting sqref="B46">
    <cfRule type="cellIs" dxfId="1" priority="1" operator="greaterThan">
      <formula>$B$27</formula>
    </cfRule>
  </conditionalFormatting>
  <hyperlinks>
    <hyperlink ref="A5" location="Main!K43" display="Return to Menu" xr:uid="{00000000-0004-0000-0600-000000000000}"/>
    <hyperlink ref="A21" location="'Steinhart-Hart'!A98" display="Example Code" xr:uid="{00000000-0004-0000-0600-000001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decimal" allowBlank="1" showInputMessage="1" showErrorMessage="1" errorTitle="Resistor Divider Voltage" error="Enter a value betwen the minimum and maximum Vdc values in column F of the &quot;NTC Thermistor Comparison&quot; sheet_x000a_" promptTitle="Resistor Divider Voltage" prompt="Enter a value betwen the minimum and maximum Vdc values in column F of the &quot;NTC Thermistor Comparison&quot; sheet_x000a_" xr:uid="{00000000-0002-0000-0600-000000000000}">
          <x14:formula1>
            <xm:f>('NTC Thermistor Comparison'!F36)-0.01</xm:f>
          </x14:formula1>
          <x14:formula2>
            <xm:f>IF((VLOOKUP(Main!$N$22,Coefficients!$E$2:$H$28,4,FALSE)) = 125,'NTC Thermistor Comparison'!F201+0.01,'NTC Thermistor Comparison'!F226+0.01)</xm:f>
          </x14:formula2>
          <xm:sqref>B46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J346"/>
  <sheetViews>
    <sheetView showGridLines="0" zoomScale="80" zoomScaleNormal="80" workbookViewId="0">
      <selection activeCell="A5" sqref="A5"/>
    </sheetView>
  </sheetViews>
  <sheetFormatPr defaultColWidth="0" defaultRowHeight="13.2" customHeight="1" zeroHeight="1" x14ac:dyDescent="0.25"/>
  <cols>
    <col min="1" max="1" width="29.6640625" style="258" customWidth="1"/>
    <col min="2" max="2" width="24.33203125" style="258" customWidth="1"/>
    <col min="3" max="3" width="26.88671875" style="258" customWidth="1"/>
    <col min="4" max="25" width="10.6640625" style="258" customWidth="1"/>
    <col min="26" max="36" width="0" style="258" hidden="1" customWidth="1"/>
    <col min="37" max="16384" width="0" style="258" hidden="1"/>
  </cols>
  <sheetData>
    <row r="1" spans="1:36" s="2" customFormat="1" x14ac:dyDescent="0.25">
      <c r="A1" s="760"/>
      <c r="B1" s="760"/>
      <c r="C1" s="760"/>
      <c r="D1" s="760"/>
      <c r="E1" s="760"/>
      <c r="F1" s="760"/>
      <c r="G1" s="760"/>
      <c r="H1" s="760"/>
      <c r="I1" s="760"/>
      <c r="J1" s="760"/>
      <c r="K1" s="760"/>
      <c r="L1" s="760"/>
      <c r="M1" s="760"/>
      <c r="N1" s="760"/>
      <c r="O1" s="760"/>
      <c r="P1" s="760"/>
      <c r="Q1" s="760"/>
      <c r="R1" s="760"/>
      <c r="S1" s="760"/>
      <c r="T1" s="760"/>
      <c r="U1" s="760"/>
      <c r="V1" s="1"/>
      <c r="W1" s="1"/>
      <c r="X1" s="1"/>
      <c r="Y1" s="1"/>
      <c r="Z1" s="1"/>
      <c r="AA1" s="1"/>
      <c r="AB1" s="1"/>
      <c r="AC1" s="1"/>
      <c r="AD1" s="1"/>
      <c r="AE1" s="1"/>
      <c r="AF1" s="1"/>
      <c r="AG1" s="1"/>
      <c r="AH1" s="1"/>
      <c r="AI1" s="1"/>
      <c r="AJ1" s="1"/>
    </row>
    <row r="2" spans="1:36" s="2" customFormat="1" x14ac:dyDescent="0.25">
      <c r="A2" s="760"/>
      <c r="B2" s="760"/>
      <c r="C2" s="760"/>
      <c r="D2" s="760"/>
      <c r="E2" s="760"/>
      <c r="F2" s="760"/>
      <c r="G2" s="760"/>
      <c r="H2" s="760"/>
      <c r="I2" s="760"/>
      <c r="J2" s="760"/>
      <c r="K2" s="760"/>
      <c r="L2" s="760"/>
      <c r="M2" s="760"/>
      <c r="N2" s="760"/>
      <c r="O2" s="760"/>
      <c r="P2" s="760"/>
      <c r="Q2" s="760"/>
      <c r="R2" s="760"/>
      <c r="S2" s="760"/>
      <c r="T2" s="760"/>
      <c r="U2" s="760"/>
      <c r="V2" s="1"/>
      <c r="W2" s="1"/>
      <c r="X2" s="1"/>
      <c r="Y2" s="1"/>
      <c r="Z2" s="1"/>
      <c r="AA2" s="1"/>
      <c r="AB2" s="1"/>
      <c r="AC2" s="1"/>
      <c r="AD2" s="1"/>
      <c r="AE2" s="1"/>
      <c r="AF2" s="1"/>
      <c r="AG2" s="1"/>
      <c r="AH2" s="1"/>
      <c r="AI2" s="1"/>
      <c r="AJ2" s="1"/>
    </row>
    <row r="3" spans="1:36" s="2" customFormat="1" x14ac:dyDescent="0.25">
      <c r="A3" s="760"/>
      <c r="B3" s="760"/>
      <c r="C3" s="760"/>
      <c r="D3" s="760"/>
      <c r="E3" s="760"/>
      <c r="F3" s="760"/>
      <c r="G3" s="760"/>
      <c r="H3" s="760"/>
      <c r="I3" s="760"/>
      <c r="J3" s="760"/>
      <c r="K3" s="760"/>
      <c r="L3" s="760"/>
      <c r="M3" s="760"/>
      <c r="N3" s="760"/>
      <c r="O3" s="760"/>
      <c r="P3" s="760"/>
      <c r="Q3" s="760"/>
      <c r="R3" s="760"/>
      <c r="S3" s="760"/>
      <c r="T3" s="760"/>
      <c r="U3" s="760"/>
      <c r="V3" s="1"/>
      <c r="W3" s="1"/>
      <c r="X3" s="1"/>
      <c r="Y3" s="1"/>
      <c r="Z3" s="1"/>
      <c r="AA3" s="1"/>
      <c r="AB3" s="1"/>
      <c r="AC3" s="1"/>
      <c r="AD3" s="1"/>
      <c r="AE3" s="1"/>
      <c r="AF3" s="1"/>
      <c r="AG3" s="1"/>
      <c r="AH3" s="1"/>
      <c r="AI3" s="1"/>
      <c r="AJ3" s="1"/>
    </row>
    <row r="4" spans="1:36" s="2" customFormat="1" ht="12.75" customHeight="1" x14ac:dyDescent="0.25">
      <c r="A4" s="761"/>
      <c r="B4" s="762"/>
      <c r="C4" s="762"/>
      <c r="D4" s="762"/>
      <c r="E4" s="762"/>
      <c r="F4" s="762"/>
      <c r="G4" s="762"/>
      <c r="H4" s="762"/>
      <c r="I4" s="762"/>
      <c r="J4" s="762"/>
      <c r="K4" s="762"/>
      <c r="L4" s="762"/>
      <c r="M4" s="762"/>
      <c r="N4" s="762"/>
      <c r="O4" s="762"/>
      <c r="P4" s="762"/>
      <c r="Q4" s="762"/>
      <c r="R4" s="762"/>
      <c r="S4" s="762"/>
      <c r="T4" s="762"/>
      <c r="U4" s="762"/>
      <c r="V4" s="762"/>
      <c r="W4" s="762"/>
      <c r="X4" s="762"/>
      <c r="Y4" s="762"/>
      <c r="Z4" s="1"/>
      <c r="AA4" s="1"/>
      <c r="AB4" s="1"/>
      <c r="AC4" s="1"/>
      <c r="AD4" s="1"/>
      <c r="AE4" s="1"/>
      <c r="AF4" s="1"/>
      <c r="AG4" s="1"/>
      <c r="AH4" s="1"/>
      <c r="AI4" s="1"/>
      <c r="AJ4" s="1"/>
    </row>
    <row r="5" spans="1:36" s="256" customFormat="1" ht="15" x14ac:dyDescent="0.25">
      <c r="A5" s="460" t="s">
        <v>71</v>
      </c>
      <c r="B5" s="253"/>
      <c r="C5" s="253"/>
    </row>
    <row r="6" spans="1:36" s="257" customFormat="1" ht="15.6" x14ac:dyDescent="0.3">
      <c r="A6" s="280"/>
      <c r="F6" s="285"/>
    </row>
    <row r="7" spans="1:36" s="256" customFormat="1" x14ac:dyDescent="0.25">
      <c r="D7" s="257"/>
      <c r="F7" s="168"/>
    </row>
    <row r="8" spans="1:36" s="256" customFormat="1" x14ac:dyDescent="0.25">
      <c r="D8" s="257"/>
      <c r="F8" s="168"/>
    </row>
    <row r="9" spans="1:36" s="256" customFormat="1" x14ac:dyDescent="0.25">
      <c r="D9" s="257"/>
      <c r="F9" s="168"/>
    </row>
    <row r="10" spans="1:36" s="256" customFormat="1" x14ac:dyDescent="0.25">
      <c r="D10" s="257"/>
      <c r="F10" s="168"/>
    </row>
    <row r="11" spans="1:36" s="256" customFormat="1" x14ac:dyDescent="0.25">
      <c r="D11" s="257"/>
      <c r="F11" s="168"/>
    </row>
    <row r="12" spans="1:36" s="256" customFormat="1" x14ac:dyDescent="0.25">
      <c r="D12" s="257"/>
      <c r="F12" s="168"/>
    </row>
    <row r="13" spans="1:36" s="256" customFormat="1" x14ac:dyDescent="0.25">
      <c r="D13" s="257"/>
      <c r="F13" s="168"/>
    </row>
    <row r="14" spans="1:36" s="256" customFormat="1" x14ac:dyDescent="0.25">
      <c r="D14" s="257"/>
      <c r="F14" s="168"/>
    </row>
    <row r="15" spans="1:36" s="256" customFormat="1" x14ac:dyDescent="0.25">
      <c r="D15" s="257"/>
      <c r="F15" s="168"/>
    </row>
    <row r="16" spans="1:36" s="256" customFormat="1" x14ac:dyDescent="0.25">
      <c r="D16" s="257"/>
      <c r="F16" s="168"/>
    </row>
    <row r="17" spans="1:7" s="256" customFormat="1" x14ac:dyDescent="0.25">
      <c r="D17" s="257"/>
      <c r="F17" s="168"/>
    </row>
    <row r="18" spans="1:7" s="256" customFormat="1" x14ac:dyDescent="0.25">
      <c r="D18" s="257"/>
      <c r="F18" s="168"/>
    </row>
    <row r="19" spans="1:7" s="256" customFormat="1" x14ac:dyDescent="0.25">
      <c r="D19" s="257"/>
      <c r="F19" s="168"/>
    </row>
    <row r="20" spans="1:7" s="256" customFormat="1" x14ac:dyDescent="0.25">
      <c r="D20" s="257"/>
      <c r="F20" s="168"/>
    </row>
    <row r="21" spans="1:7" s="256" customFormat="1" x14ac:dyDescent="0.25">
      <c r="D21" s="257"/>
      <c r="F21" s="168"/>
    </row>
    <row r="22" spans="1:7" s="257" customFormat="1" x14ac:dyDescent="0.25">
      <c r="A22" s="285"/>
      <c r="F22" s="192"/>
    </row>
    <row r="23" spans="1:7" s="257" customFormat="1" x14ac:dyDescent="0.25">
      <c r="A23" s="254"/>
      <c r="B23" s="254"/>
      <c r="C23" s="254"/>
    </row>
    <row r="24" spans="1:7" s="257" customFormat="1" x14ac:dyDescent="0.25">
      <c r="A24" s="254"/>
      <c r="B24" s="254"/>
      <c r="C24" s="254"/>
    </row>
    <row r="25" spans="1:7" s="257" customFormat="1" x14ac:dyDescent="0.25">
      <c r="A25" s="254"/>
      <c r="B25" s="254"/>
      <c r="C25" s="254"/>
    </row>
    <row r="26" spans="1:7" x14ac:dyDescent="0.25">
      <c r="A26" s="195"/>
    </row>
    <row r="27" spans="1:7" s="257" customFormat="1" x14ac:dyDescent="0.25">
      <c r="B27" s="256"/>
      <c r="C27" s="256"/>
      <c r="E27" s="256"/>
      <c r="F27" s="254"/>
      <c r="G27" s="254"/>
    </row>
    <row r="28" spans="1:7" s="257" customFormat="1" ht="15.6" x14ac:dyDescent="0.3">
      <c r="A28" s="181" t="s">
        <v>252</v>
      </c>
      <c r="B28" s="283" t="str">
        <f>Main!$N$22</f>
        <v>TMP6131DECR</v>
      </c>
      <c r="G28" s="254"/>
    </row>
    <row r="29" spans="1:7" ht="15.6" x14ac:dyDescent="0.3">
      <c r="A29" s="294" t="s">
        <v>442</v>
      </c>
      <c r="B29" s="361">
        <f>Main!$N$25</f>
        <v>140</v>
      </c>
      <c r="C29" s="40" t="s">
        <v>441</v>
      </c>
      <c r="D29" s="256"/>
      <c r="E29" s="257"/>
      <c r="F29" s="256"/>
    </row>
    <row r="30" spans="1:7" ht="15.6" x14ac:dyDescent="0.3">
      <c r="A30" s="294" t="s">
        <v>42</v>
      </c>
      <c r="B30" s="312">
        <f>Main!N28</f>
        <v>12</v>
      </c>
      <c r="C30" s="40" t="s">
        <v>16</v>
      </c>
      <c r="D30" s="256"/>
      <c r="E30" s="257"/>
      <c r="F30" s="256"/>
    </row>
    <row r="31" spans="1:7" ht="15.6" x14ac:dyDescent="0.3">
      <c r="A31" s="294" t="s">
        <v>265</v>
      </c>
      <c r="B31" s="355">
        <f>Main!$N$31</f>
        <v>3</v>
      </c>
      <c r="C31" s="40" t="s">
        <v>2</v>
      </c>
      <c r="D31" s="256"/>
      <c r="E31" s="256"/>
      <c r="F31" s="256"/>
    </row>
    <row r="32" spans="1:7" x14ac:dyDescent="0.25"/>
    <row r="33" spans="1:14" ht="15.6" x14ac:dyDescent="0.3">
      <c r="A33" s="296"/>
      <c r="B33" s="44"/>
      <c r="C33" s="165"/>
      <c r="D33" s="254"/>
      <c r="E33" s="166"/>
      <c r="F33" s="161"/>
    </row>
    <row r="34" spans="1:14" s="193" customFormat="1" ht="13.8" thickBot="1" x14ac:dyDescent="0.3">
      <c r="A34" s="162"/>
      <c r="B34" s="164"/>
      <c r="C34" s="165"/>
      <c r="D34" s="171"/>
      <c r="E34" s="166"/>
      <c r="F34" s="161"/>
    </row>
    <row r="35" spans="1:14" ht="16.2" thickBot="1" x14ac:dyDescent="0.35">
      <c r="A35" s="432" t="s">
        <v>592</v>
      </c>
      <c r="B35" s="433">
        <f>B31/(B29/10000)*(B36/B37)</f>
        <v>2142.8571428571427</v>
      </c>
      <c r="C35" s="434" t="s">
        <v>1</v>
      </c>
      <c r="D35" s="152" t="s">
        <v>281</v>
      </c>
      <c r="E35" s="430"/>
      <c r="F35" s="161"/>
      <c r="H35" s="300"/>
    </row>
    <row r="36" spans="1:14" ht="15.6" x14ac:dyDescent="0.3">
      <c r="A36" s="435" t="s">
        <v>581</v>
      </c>
      <c r="B36" s="436">
        <v>10000</v>
      </c>
      <c r="C36" s="434" t="s">
        <v>1</v>
      </c>
      <c r="D36" s="431" t="s">
        <v>593</v>
      </c>
      <c r="E36" s="430"/>
      <c r="F36" s="161"/>
    </row>
    <row r="37" spans="1:14" ht="15.6" x14ac:dyDescent="0.3">
      <c r="A37" s="435" t="s">
        <v>583</v>
      </c>
      <c r="B37" s="437">
        <v>1000</v>
      </c>
      <c r="C37" s="434" t="s">
        <v>1</v>
      </c>
      <c r="D37" s="429"/>
      <c r="E37" s="428"/>
      <c r="F37" s="161"/>
    </row>
    <row r="38" spans="1:14" x14ac:dyDescent="0.25">
      <c r="A38" s="158"/>
      <c r="B38" s="207"/>
      <c r="C38" s="253"/>
      <c r="D38" s="253"/>
      <c r="E38" s="253"/>
      <c r="F38" s="253"/>
    </row>
    <row r="39" spans="1:14" x14ac:dyDescent="0.25">
      <c r="A39" s="389"/>
      <c r="B39" s="301"/>
      <c r="C39" s="165"/>
      <c r="D39" s="255"/>
      <c r="E39" s="166"/>
      <c r="F39" s="161"/>
    </row>
    <row r="40" spans="1:14" x14ac:dyDescent="0.25">
      <c r="A40" s="389"/>
      <c r="B40" s="390"/>
      <c r="C40" s="109"/>
      <c r="D40" s="255"/>
      <c r="E40" s="166"/>
      <c r="F40" s="161"/>
    </row>
    <row r="41" spans="1:14" x14ac:dyDescent="0.25">
      <c r="A41" s="389"/>
      <c r="B41" s="269"/>
      <c r="C41" s="19"/>
      <c r="D41" s="19"/>
      <c r="E41" s="19"/>
      <c r="F41" s="253"/>
    </row>
    <row r="42" spans="1:14" x14ac:dyDescent="0.25">
      <c r="A42" s="389"/>
      <c r="B42" s="391"/>
      <c r="C42" s="165"/>
      <c r="D42" s="269"/>
      <c r="E42" s="166"/>
      <c r="F42" s="161"/>
    </row>
    <row r="43" spans="1:14" x14ac:dyDescent="0.25"/>
    <row r="44" spans="1:14" ht="13.8" thickBot="1" x14ac:dyDescent="0.3"/>
    <row r="45" spans="1:14" ht="17.399999999999999" x14ac:dyDescent="0.3">
      <c r="A45" s="401" t="s">
        <v>580</v>
      </c>
      <c r="B45" s="402"/>
      <c r="C45" s="403"/>
      <c r="E45" s="399" t="s">
        <v>599</v>
      </c>
    </row>
    <row r="46" spans="1:14" ht="17.399999999999999" x14ac:dyDescent="0.3">
      <c r="A46" s="404"/>
      <c r="B46" s="405"/>
      <c r="C46" s="406"/>
      <c r="E46" s="399" t="s">
        <v>600</v>
      </c>
    </row>
    <row r="47" spans="1:14" ht="17.399999999999999" x14ac:dyDescent="0.3">
      <c r="A47" s="407" t="s">
        <v>602</v>
      </c>
      <c r="B47" s="408" t="s">
        <v>582</v>
      </c>
      <c r="C47" s="409"/>
      <c r="E47" s="400" t="s">
        <v>623</v>
      </c>
    </row>
    <row r="48" spans="1:14" ht="17.399999999999999" x14ac:dyDescent="0.3">
      <c r="A48" s="407" t="s">
        <v>603</v>
      </c>
      <c r="B48" s="408" t="s">
        <v>584</v>
      </c>
      <c r="C48" s="409"/>
      <c r="E48" s="399"/>
      <c r="N48" s="399" t="s">
        <v>606</v>
      </c>
    </row>
    <row r="49" spans="1:14" ht="17.399999999999999" x14ac:dyDescent="0.3">
      <c r="A49" s="407" t="s">
        <v>585</v>
      </c>
      <c r="B49" s="408" t="s">
        <v>586</v>
      </c>
      <c r="C49" s="409"/>
      <c r="N49" s="399" t="s">
        <v>607</v>
      </c>
    </row>
    <row r="50" spans="1:14" ht="17.399999999999999" x14ac:dyDescent="0.3">
      <c r="A50" s="407" t="s">
        <v>601</v>
      </c>
      <c r="B50" s="408" t="s">
        <v>587</v>
      </c>
      <c r="C50" s="409"/>
      <c r="E50" s="399" t="s">
        <v>578</v>
      </c>
      <c r="N50" s="399" t="s">
        <v>594</v>
      </c>
    </row>
    <row r="51" spans="1:14" ht="17.399999999999999" x14ac:dyDescent="0.3">
      <c r="A51" s="407" t="s">
        <v>588</v>
      </c>
      <c r="B51" s="408" t="s">
        <v>590</v>
      </c>
      <c r="C51" s="409"/>
      <c r="E51" s="399" t="s">
        <v>596</v>
      </c>
      <c r="N51" s="399"/>
    </row>
    <row r="52" spans="1:14" ht="17.399999999999999" x14ac:dyDescent="0.3">
      <c r="A52" s="407" t="s">
        <v>589</v>
      </c>
      <c r="B52" s="408" t="s">
        <v>591</v>
      </c>
      <c r="C52" s="409"/>
      <c r="E52" s="399" t="s">
        <v>597</v>
      </c>
      <c r="N52" s="399" t="s">
        <v>595</v>
      </c>
    </row>
    <row r="53" spans="1:14" ht="18" thickBot="1" x14ac:dyDescent="0.35">
      <c r="A53" s="410"/>
      <c r="B53" s="411"/>
      <c r="C53" s="412"/>
      <c r="E53" s="399" t="s">
        <v>598</v>
      </c>
      <c r="N53" s="399" t="s">
        <v>604</v>
      </c>
    </row>
    <row r="54" spans="1:14" ht="17.399999999999999" x14ac:dyDescent="0.3">
      <c r="A54" s="388"/>
      <c r="B54" s="388"/>
      <c r="N54" s="399" t="s">
        <v>605</v>
      </c>
    </row>
    <row r="55" spans="1:14" ht="15" x14ac:dyDescent="0.25">
      <c r="A55" s="388"/>
      <c r="B55" s="388"/>
    </row>
    <row r="56" spans="1:14" x14ac:dyDescent="0.25"/>
    <row r="57" spans="1:14" x14ac:dyDescent="0.25"/>
    <row r="58" spans="1:14" x14ac:dyDescent="0.25"/>
    <row r="59" spans="1:14" x14ac:dyDescent="0.25"/>
    <row r="60" spans="1:14" x14ac:dyDescent="0.25"/>
    <row r="61" spans="1:14" x14ac:dyDescent="0.25"/>
    <row r="62" spans="1:14" x14ac:dyDescent="0.25"/>
    <row r="63" spans="1:14" x14ac:dyDescent="0.25"/>
    <row r="64" spans="1:1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spans="11:11" x14ac:dyDescent="0.25"/>
    <row r="82" spans="11:11" x14ac:dyDescent="0.25"/>
    <row r="83" spans="11:11" x14ac:dyDescent="0.25"/>
    <row r="84" spans="11:11" x14ac:dyDescent="0.25"/>
    <row r="85" spans="11:11" x14ac:dyDescent="0.25"/>
    <row r="86" spans="11:11" x14ac:dyDescent="0.25"/>
    <row r="87" spans="11:11" x14ac:dyDescent="0.25">
      <c r="K87" s="258" t="s">
        <v>634</v>
      </c>
    </row>
    <row r="88" spans="11:11" x14ac:dyDescent="0.25"/>
    <row r="89" spans="11:11" x14ac:dyDescent="0.25"/>
    <row r="90" spans="11:11" x14ac:dyDescent="0.25"/>
    <row r="91" spans="11:11" x14ac:dyDescent="0.25"/>
    <row r="92" spans="11:11" x14ac:dyDescent="0.25"/>
    <row r="93" spans="11:11" x14ac:dyDescent="0.25"/>
    <row r="94" spans="11:11" x14ac:dyDescent="0.25"/>
    <row r="95" spans="11:11" x14ac:dyDescent="0.25"/>
    <row r="96" spans="11:11"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row r="110" x14ac:dyDescent="0.25"/>
    <row r="111" x14ac:dyDescent="0.25"/>
    <row r="112" x14ac:dyDescent="0.25"/>
    <row r="113"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s="256" customFormat="1" hidden="1" x14ac:dyDescent="0.25"/>
    <row r="173" s="256" customFormat="1" hidden="1" x14ac:dyDescent="0.25"/>
    <row r="174" s="256" customFormat="1" hidden="1" x14ac:dyDescent="0.25"/>
    <row r="175" s="256" customFormat="1" hidden="1" x14ac:dyDescent="0.25"/>
    <row r="176" s="256" customFormat="1" hidden="1" x14ac:dyDescent="0.25"/>
    <row r="177" s="256" customFormat="1" hidden="1" x14ac:dyDescent="0.25"/>
    <row r="178" s="256" customFormat="1" hidden="1" x14ac:dyDescent="0.25"/>
    <row r="179" s="256" customFormat="1" hidden="1" x14ac:dyDescent="0.25"/>
    <row r="180" s="256" customFormat="1" hidden="1" x14ac:dyDescent="0.25"/>
    <row r="181" s="256" customFormat="1" hidden="1" x14ac:dyDescent="0.25"/>
    <row r="182" s="256" customFormat="1" hidden="1" x14ac:dyDescent="0.25"/>
    <row r="183" s="256" customFormat="1" hidden="1" x14ac:dyDescent="0.25"/>
    <row r="184" s="256" customFormat="1" hidden="1" x14ac:dyDescent="0.25"/>
    <row r="185" s="256" customFormat="1" hidden="1" x14ac:dyDescent="0.25"/>
    <row r="186" s="256" customFormat="1" hidden="1" x14ac:dyDescent="0.25"/>
    <row r="187" s="256" customFormat="1" hidden="1" x14ac:dyDescent="0.25"/>
    <row r="188" s="256" customFormat="1" hidden="1" x14ac:dyDescent="0.25"/>
    <row r="189" s="256" customFormat="1" hidden="1" x14ac:dyDescent="0.25"/>
    <row r="190" s="256" customFormat="1" hidden="1" x14ac:dyDescent="0.25"/>
    <row r="191" s="256" customFormat="1" hidden="1" x14ac:dyDescent="0.25"/>
    <row r="192" s="256" customFormat="1" hidden="1" x14ac:dyDescent="0.25"/>
    <row r="193" s="256" customFormat="1" hidden="1" x14ac:dyDescent="0.25"/>
    <row r="194" s="256" customFormat="1" hidden="1" x14ac:dyDescent="0.25"/>
    <row r="195" s="256" customFormat="1" hidden="1" x14ac:dyDescent="0.25"/>
    <row r="196" s="256" customFormat="1" hidden="1" x14ac:dyDescent="0.25"/>
    <row r="197" s="256" customFormat="1" hidden="1" x14ac:dyDescent="0.25"/>
    <row r="198" s="256" customFormat="1" hidden="1" x14ac:dyDescent="0.25"/>
    <row r="199" s="256" customFormat="1" hidden="1" x14ac:dyDescent="0.25"/>
    <row r="200" s="256" customFormat="1" hidden="1" x14ac:dyDescent="0.25"/>
    <row r="201" s="256" customFormat="1" hidden="1" x14ac:dyDescent="0.25"/>
    <row r="202" s="256" customFormat="1" hidden="1" x14ac:dyDescent="0.25"/>
    <row r="203" s="256" customFormat="1" hidden="1" x14ac:dyDescent="0.25"/>
    <row r="204" s="256" customFormat="1"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t="13.2" hidden="1" customHeight="1" x14ac:dyDescent="0.25"/>
    <row r="246" ht="13.2" hidden="1" customHeight="1" x14ac:dyDescent="0.25"/>
    <row r="247" ht="13.2" hidden="1" customHeight="1" x14ac:dyDescent="0.25"/>
    <row r="248" ht="13.2" hidden="1" customHeight="1" x14ac:dyDescent="0.25"/>
    <row r="249" ht="13.2" hidden="1" customHeight="1" x14ac:dyDescent="0.25"/>
    <row r="250" ht="13.2" hidden="1" customHeight="1" x14ac:dyDescent="0.25"/>
    <row r="251" ht="13.2" hidden="1" customHeight="1" x14ac:dyDescent="0.25"/>
    <row r="252" ht="13.2" hidden="1" customHeight="1" x14ac:dyDescent="0.25"/>
    <row r="253" ht="13.2" hidden="1" customHeight="1" x14ac:dyDescent="0.25"/>
    <row r="254" ht="13.2" hidden="1" customHeight="1" x14ac:dyDescent="0.25"/>
    <row r="255" ht="13.2" hidden="1" customHeight="1" x14ac:dyDescent="0.25"/>
    <row r="256" ht="13.2" hidden="1" customHeight="1" x14ac:dyDescent="0.25"/>
    <row r="257" ht="13.2" hidden="1" customHeight="1" x14ac:dyDescent="0.25"/>
    <row r="258" ht="13.2" hidden="1" customHeight="1" x14ac:dyDescent="0.25"/>
    <row r="259" ht="13.2" hidden="1" customHeight="1" x14ac:dyDescent="0.25"/>
    <row r="260" ht="13.2" hidden="1" customHeight="1" x14ac:dyDescent="0.25"/>
    <row r="261" ht="13.2" hidden="1" customHeight="1" x14ac:dyDescent="0.25"/>
    <row r="262" ht="13.2" hidden="1" customHeight="1" x14ac:dyDescent="0.25"/>
    <row r="263" ht="13.2" hidden="1" customHeight="1" x14ac:dyDescent="0.25"/>
    <row r="264" ht="13.2" hidden="1" customHeight="1" x14ac:dyDescent="0.25"/>
    <row r="265" ht="13.2" hidden="1" customHeight="1" x14ac:dyDescent="0.25"/>
    <row r="266" ht="13.2" hidden="1" customHeight="1" x14ac:dyDescent="0.25"/>
    <row r="267" ht="13.2" hidden="1" customHeight="1" x14ac:dyDescent="0.25"/>
    <row r="268" ht="13.2" hidden="1" customHeight="1" x14ac:dyDescent="0.25"/>
    <row r="269" ht="13.2" hidden="1" customHeight="1" x14ac:dyDescent="0.25"/>
    <row r="270" ht="13.2" hidden="1" customHeight="1" x14ac:dyDescent="0.25"/>
    <row r="271" ht="13.2" hidden="1" customHeight="1" x14ac:dyDescent="0.25"/>
    <row r="272" ht="13.2" hidden="1" customHeight="1" x14ac:dyDescent="0.25"/>
    <row r="273" ht="13.2" hidden="1" customHeight="1" x14ac:dyDescent="0.25"/>
    <row r="274" ht="13.2" hidden="1" customHeight="1" x14ac:dyDescent="0.25"/>
    <row r="275" ht="13.2" hidden="1" customHeight="1" x14ac:dyDescent="0.25"/>
    <row r="276" ht="13.2" hidden="1" customHeight="1" x14ac:dyDescent="0.25"/>
    <row r="277" ht="13.2" hidden="1" customHeight="1" x14ac:dyDescent="0.25"/>
    <row r="278" ht="13.2" hidden="1" customHeight="1" x14ac:dyDescent="0.25"/>
    <row r="279" ht="13.2" hidden="1" customHeight="1" x14ac:dyDescent="0.25"/>
    <row r="280" ht="13.2" hidden="1" customHeight="1" x14ac:dyDescent="0.25"/>
    <row r="281" ht="13.2" hidden="1" customHeight="1" x14ac:dyDescent="0.25"/>
    <row r="282" ht="13.2" hidden="1" customHeight="1" x14ac:dyDescent="0.25"/>
    <row r="283" ht="13.2" hidden="1" customHeight="1" x14ac:dyDescent="0.25"/>
    <row r="284" ht="13.2" hidden="1" customHeight="1" x14ac:dyDescent="0.25"/>
    <row r="285" ht="13.2" hidden="1" customHeight="1" x14ac:dyDescent="0.25"/>
    <row r="286" ht="13.2" hidden="1" customHeight="1" x14ac:dyDescent="0.25"/>
    <row r="287" ht="13.2" hidden="1" customHeight="1" x14ac:dyDescent="0.25"/>
    <row r="288" ht="13.2" hidden="1" customHeight="1" x14ac:dyDescent="0.25"/>
    <row r="289" ht="13.2" hidden="1" customHeight="1" x14ac:dyDescent="0.25"/>
    <row r="290" ht="13.2" hidden="1" customHeight="1" x14ac:dyDescent="0.25"/>
    <row r="291" ht="13.2" hidden="1" customHeight="1" x14ac:dyDescent="0.25"/>
    <row r="292" ht="13.2" hidden="1" customHeight="1" x14ac:dyDescent="0.25"/>
    <row r="293" ht="13.2" hidden="1" customHeight="1" x14ac:dyDescent="0.25"/>
    <row r="294" ht="13.2" hidden="1" customHeight="1" x14ac:dyDescent="0.25"/>
    <row r="295" ht="13.2" hidden="1" customHeight="1" x14ac:dyDescent="0.25"/>
    <row r="296" ht="13.2" hidden="1" customHeight="1" x14ac:dyDescent="0.25"/>
    <row r="297" ht="13.2" hidden="1" customHeight="1" x14ac:dyDescent="0.25"/>
    <row r="298" ht="13.2" hidden="1" customHeight="1" x14ac:dyDescent="0.25"/>
    <row r="299" ht="13.2" hidden="1" customHeight="1" x14ac:dyDescent="0.25"/>
    <row r="300" ht="13.2" hidden="1" customHeight="1" x14ac:dyDescent="0.25"/>
    <row r="301" ht="13.2" hidden="1" customHeight="1" x14ac:dyDescent="0.25"/>
    <row r="302" ht="13.2" hidden="1" customHeight="1" x14ac:dyDescent="0.25"/>
    <row r="303" ht="13.2" hidden="1" customHeight="1" x14ac:dyDescent="0.25"/>
    <row r="304" ht="13.2" hidden="1" customHeight="1" x14ac:dyDescent="0.25"/>
    <row r="305" ht="13.2" hidden="1" customHeight="1" x14ac:dyDescent="0.25"/>
    <row r="306" ht="13.2" hidden="1" customHeight="1" x14ac:dyDescent="0.25"/>
    <row r="307" ht="13.2" hidden="1" customHeight="1" x14ac:dyDescent="0.25"/>
    <row r="308" ht="13.2" hidden="1" customHeight="1" x14ac:dyDescent="0.25"/>
    <row r="309" ht="13.2" hidden="1" customHeight="1" x14ac:dyDescent="0.25"/>
    <row r="310" ht="13.2" hidden="1" customHeight="1" x14ac:dyDescent="0.25"/>
    <row r="311" ht="13.2" hidden="1" customHeight="1" x14ac:dyDescent="0.25"/>
    <row r="312" ht="13.2" hidden="1" customHeight="1" x14ac:dyDescent="0.25"/>
    <row r="313" ht="13.2" hidden="1" customHeight="1" x14ac:dyDescent="0.25"/>
    <row r="314" ht="13.2" hidden="1" customHeight="1" x14ac:dyDescent="0.25"/>
    <row r="315" ht="13.2" hidden="1" customHeight="1" x14ac:dyDescent="0.25"/>
    <row r="316" ht="13.2" hidden="1" customHeight="1" x14ac:dyDescent="0.25"/>
    <row r="317" ht="13.2" hidden="1" customHeight="1" x14ac:dyDescent="0.25"/>
    <row r="318" ht="13.2" hidden="1" customHeight="1" x14ac:dyDescent="0.25"/>
    <row r="319" ht="13.2" hidden="1" customHeight="1" x14ac:dyDescent="0.25"/>
    <row r="320" ht="13.2" hidden="1" customHeight="1" x14ac:dyDescent="0.25"/>
    <row r="321" ht="13.2" hidden="1" customHeight="1" x14ac:dyDescent="0.25"/>
    <row r="322" ht="13.2" hidden="1" customHeight="1" x14ac:dyDescent="0.25"/>
    <row r="323" ht="13.2" hidden="1" customHeight="1" x14ac:dyDescent="0.25"/>
    <row r="324" ht="13.2" hidden="1" customHeight="1" x14ac:dyDescent="0.25"/>
    <row r="325" ht="13.2" hidden="1" customHeight="1" x14ac:dyDescent="0.25"/>
    <row r="326" ht="13.2" hidden="1" customHeight="1" x14ac:dyDescent="0.25"/>
    <row r="327" ht="13.2" hidden="1" customHeight="1" x14ac:dyDescent="0.25"/>
    <row r="328" ht="13.2" hidden="1" customHeight="1" x14ac:dyDescent="0.25"/>
    <row r="329" ht="13.2" hidden="1" customHeight="1" x14ac:dyDescent="0.25"/>
    <row r="330" ht="13.2" hidden="1" customHeight="1" x14ac:dyDescent="0.25"/>
    <row r="331" ht="13.2" hidden="1" customHeight="1" x14ac:dyDescent="0.25"/>
    <row r="332" ht="13.2" hidden="1" customHeight="1" x14ac:dyDescent="0.25"/>
    <row r="333" ht="13.2" hidden="1" customHeight="1" x14ac:dyDescent="0.25"/>
    <row r="334" ht="13.2" hidden="1" customHeight="1" x14ac:dyDescent="0.25"/>
    <row r="335" ht="13.2" hidden="1" customHeight="1" x14ac:dyDescent="0.25"/>
    <row r="336" ht="13.2" hidden="1" customHeight="1" x14ac:dyDescent="0.25"/>
    <row r="337" ht="13.2" hidden="1" customHeight="1" x14ac:dyDescent="0.25"/>
    <row r="338" ht="13.2" hidden="1" customHeight="1" x14ac:dyDescent="0.25"/>
    <row r="339" ht="13.2" hidden="1" customHeight="1" x14ac:dyDescent="0.25"/>
    <row r="340" ht="13.2" hidden="1" customHeight="1" x14ac:dyDescent="0.25"/>
    <row r="341" ht="13.2" hidden="1" customHeight="1" x14ac:dyDescent="0.25"/>
    <row r="342" ht="13.2" hidden="1" customHeight="1" x14ac:dyDescent="0.25"/>
    <row r="343" ht="13.2" hidden="1" customHeight="1" x14ac:dyDescent="0.25"/>
    <row r="344" ht="13.2" hidden="1" customHeight="1" x14ac:dyDescent="0.25"/>
    <row r="345" ht="13.2" hidden="1" customHeight="1" x14ac:dyDescent="0.25"/>
    <row r="346" ht="13.2" hidden="1" customHeight="1" x14ac:dyDescent="0.25"/>
  </sheetData>
  <sheetProtection algorithmName="SHA-512" hashValue="n+TVZsYVg3SklFj0VnUOswG9bFpJW6EG6Z7Fr8PhrLpzFRHkVwM15DE6mJkHhUOS8BF9AerPf3CBKMUIAvhCRg==" saltValue="P396iKvsZSuS7rsVXTQzHw==" spinCount="100000" sheet="1" objects="1" scenarios="1"/>
  <mergeCells count="2">
    <mergeCell ref="A1:U3"/>
    <mergeCell ref="A4:Y4"/>
  </mergeCells>
  <hyperlinks>
    <hyperlink ref="A5" location="Main!K44" display="Return to Menu" xr:uid="{00000000-0004-0000-0700-000000000000}"/>
  </hyperlinks>
  <pageMargins left="0.7" right="0.7" top="0.75" bottom="0.75" header="0.3" footer="0.3"/>
  <pageSetup orientation="portrait" r:id="rId1"/>
  <drawing r:id="rId2"/>
  <legacyDrawing r:id="rId3"/>
  <oleObjects>
    <mc:AlternateContent xmlns:mc="http://schemas.openxmlformats.org/markup-compatibility/2006">
      <mc:Choice Requires="x14">
        <oleObject progId="Visio.Drawing.15" shapeId="6146" r:id="rId4">
          <objectPr defaultSize="0" autoPict="0" r:id="rId5">
            <anchor moveWithCells="1">
              <from>
                <xdr:col>0</xdr:col>
                <xdr:colOff>1958340</xdr:colOff>
                <xdr:row>57</xdr:row>
                <xdr:rowOff>68580</xdr:rowOff>
              </from>
              <to>
                <xdr:col>9</xdr:col>
                <xdr:colOff>320040</xdr:colOff>
                <xdr:row>112</xdr:row>
                <xdr:rowOff>38100</xdr:rowOff>
              </to>
            </anchor>
          </objectPr>
        </oleObject>
      </mc:Choice>
      <mc:Fallback>
        <oleObject progId="Visio.Drawing.15" shapeId="6146" r:id="rId4"/>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AJ343"/>
  <sheetViews>
    <sheetView showGridLines="0" zoomScale="80" zoomScaleNormal="80" workbookViewId="0">
      <selection activeCell="K183" sqref="K183"/>
    </sheetView>
  </sheetViews>
  <sheetFormatPr defaultColWidth="0" defaultRowHeight="13.2" zeroHeight="1" x14ac:dyDescent="0.25"/>
  <cols>
    <col min="1" max="1" width="28.6640625" style="43" customWidth="1"/>
    <col min="2" max="2" width="24.33203125" style="43" customWidth="1"/>
    <col min="3" max="3" width="26.88671875" style="43" customWidth="1"/>
    <col min="4" max="25" width="10.6640625" style="43" customWidth="1"/>
    <col min="26" max="36" width="0" style="43" hidden="1" customWidth="1"/>
    <col min="37" max="16384" width="10.6640625" style="43" hidden="1"/>
  </cols>
  <sheetData>
    <row r="1" spans="1:36" s="2" customFormat="1" x14ac:dyDescent="0.25">
      <c r="A1" s="760"/>
      <c r="B1" s="760"/>
      <c r="C1" s="760"/>
      <c r="D1" s="760"/>
      <c r="E1" s="760"/>
      <c r="F1" s="760"/>
      <c r="G1" s="760"/>
      <c r="H1" s="760"/>
      <c r="I1" s="760"/>
      <c r="J1" s="760"/>
      <c r="K1" s="760"/>
      <c r="L1" s="760"/>
      <c r="M1" s="760"/>
      <c r="N1" s="760"/>
      <c r="O1" s="760"/>
      <c r="P1" s="760"/>
      <c r="Q1" s="760"/>
      <c r="R1" s="760"/>
      <c r="S1" s="760"/>
      <c r="T1" s="760"/>
      <c r="U1" s="760"/>
      <c r="V1" s="1"/>
      <c r="W1" s="1"/>
      <c r="X1" s="1"/>
      <c r="Y1" s="1"/>
      <c r="Z1" s="1"/>
      <c r="AA1" s="1"/>
      <c r="AB1" s="1"/>
      <c r="AC1" s="1"/>
      <c r="AD1" s="1"/>
      <c r="AE1" s="1"/>
      <c r="AF1" s="1"/>
      <c r="AG1" s="1"/>
      <c r="AH1" s="1"/>
      <c r="AI1" s="1"/>
      <c r="AJ1" s="1"/>
    </row>
    <row r="2" spans="1:36" s="2" customFormat="1" x14ac:dyDescent="0.25">
      <c r="A2" s="760"/>
      <c r="B2" s="760"/>
      <c r="C2" s="760"/>
      <c r="D2" s="760"/>
      <c r="E2" s="760"/>
      <c r="F2" s="760"/>
      <c r="G2" s="760"/>
      <c r="H2" s="760"/>
      <c r="I2" s="760"/>
      <c r="J2" s="760"/>
      <c r="K2" s="760"/>
      <c r="L2" s="760"/>
      <c r="M2" s="760"/>
      <c r="N2" s="760"/>
      <c r="O2" s="760"/>
      <c r="P2" s="760"/>
      <c r="Q2" s="760"/>
      <c r="R2" s="760"/>
      <c r="S2" s="760"/>
      <c r="T2" s="760"/>
      <c r="U2" s="760"/>
      <c r="V2" s="1"/>
      <c r="W2" s="1"/>
      <c r="X2" s="1"/>
      <c r="Y2" s="1"/>
      <c r="Z2" s="1"/>
      <c r="AA2" s="1"/>
      <c r="AB2" s="1"/>
      <c r="AC2" s="1"/>
      <c r="AD2" s="1"/>
      <c r="AE2" s="1"/>
      <c r="AF2" s="1"/>
      <c r="AG2" s="1"/>
      <c r="AH2" s="1"/>
      <c r="AI2" s="1"/>
      <c r="AJ2" s="1"/>
    </row>
    <row r="3" spans="1:36" s="2" customFormat="1" x14ac:dyDescent="0.25">
      <c r="A3" s="760"/>
      <c r="B3" s="760"/>
      <c r="C3" s="760"/>
      <c r="D3" s="760"/>
      <c r="E3" s="760"/>
      <c r="F3" s="760"/>
      <c r="G3" s="760"/>
      <c r="H3" s="760"/>
      <c r="I3" s="760"/>
      <c r="J3" s="760"/>
      <c r="K3" s="760"/>
      <c r="L3" s="760"/>
      <c r="M3" s="760"/>
      <c r="N3" s="760"/>
      <c r="O3" s="760"/>
      <c r="P3" s="760"/>
      <c r="Q3" s="760"/>
      <c r="R3" s="760"/>
      <c r="S3" s="760"/>
      <c r="T3" s="760"/>
      <c r="U3" s="760"/>
      <c r="V3" s="1"/>
      <c r="W3" s="1"/>
      <c r="X3" s="1"/>
      <c r="Y3" s="1"/>
      <c r="Z3" s="1"/>
      <c r="AA3" s="1"/>
      <c r="AB3" s="1"/>
      <c r="AC3" s="1"/>
      <c r="AD3" s="1"/>
      <c r="AE3" s="1"/>
      <c r="AF3" s="1"/>
      <c r="AG3" s="1"/>
      <c r="AH3" s="1"/>
      <c r="AI3" s="1"/>
      <c r="AJ3" s="1"/>
    </row>
    <row r="4" spans="1:36" s="2" customFormat="1" ht="12.75" customHeight="1" x14ac:dyDescent="0.25">
      <c r="A4" s="761"/>
      <c r="B4" s="762"/>
      <c r="C4" s="762"/>
      <c r="D4" s="762"/>
      <c r="E4" s="762"/>
      <c r="F4" s="762"/>
      <c r="G4" s="762"/>
      <c r="H4" s="762"/>
      <c r="I4" s="762"/>
      <c r="J4" s="762"/>
      <c r="K4" s="762"/>
      <c r="L4" s="762"/>
      <c r="M4" s="762"/>
      <c r="N4" s="762"/>
      <c r="O4" s="762"/>
      <c r="P4" s="762"/>
      <c r="Q4" s="762"/>
      <c r="R4" s="762"/>
      <c r="S4" s="762"/>
      <c r="T4" s="762"/>
      <c r="U4" s="762"/>
      <c r="V4" s="762"/>
      <c r="W4" s="762"/>
      <c r="X4" s="762"/>
      <c r="Y4" s="762"/>
      <c r="Z4" s="1"/>
      <c r="AA4" s="1"/>
      <c r="AB4" s="1"/>
      <c r="AC4" s="1"/>
      <c r="AD4" s="1"/>
      <c r="AE4" s="1"/>
      <c r="AF4" s="1"/>
      <c r="AG4" s="1"/>
      <c r="AH4" s="1"/>
      <c r="AI4" s="1"/>
      <c r="AJ4" s="1"/>
    </row>
    <row r="5" spans="1:36" s="30" customFormat="1" ht="15" x14ac:dyDescent="0.25">
      <c r="A5" s="460" t="s">
        <v>71</v>
      </c>
      <c r="B5" s="12"/>
      <c r="C5" s="12"/>
    </row>
    <row r="6" spans="1:36" s="169" customFormat="1" ht="15.6" x14ac:dyDescent="0.3">
      <c r="A6" s="148"/>
      <c r="F6" s="191"/>
    </row>
    <row r="7" spans="1:36" s="30" customFormat="1" x14ac:dyDescent="0.25">
      <c r="D7" s="42"/>
      <c r="F7" s="41"/>
    </row>
    <row r="8" spans="1:36" s="167" customFormat="1" x14ac:dyDescent="0.25">
      <c r="D8" s="169"/>
      <c r="F8" s="168"/>
    </row>
    <row r="9" spans="1:36" s="167" customFormat="1" x14ac:dyDescent="0.25">
      <c r="D9" s="169"/>
      <c r="F9" s="168"/>
    </row>
    <row r="10" spans="1:36" s="256" customFormat="1" x14ac:dyDescent="0.25">
      <c r="D10" s="257"/>
      <c r="F10" s="168"/>
    </row>
    <row r="11" spans="1:36" s="256" customFormat="1" x14ac:dyDescent="0.25">
      <c r="D11" s="257"/>
      <c r="F11" s="168"/>
    </row>
    <row r="12" spans="1:36" s="256" customFormat="1" x14ac:dyDescent="0.25">
      <c r="D12" s="257"/>
      <c r="F12" s="168"/>
    </row>
    <row r="13" spans="1:36" s="256" customFormat="1" x14ac:dyDescent="0.25">
      <c r="D13" s="257"/>
      <c r="F13" s="168"/>
    </row>
    <row r="14" spans="1:36" s="256" customFormat="1" x14ac:dyDescent="0.25">
      <c r="D14" s="257"/>
      <c r="F14" s="168"/>
    </row>
    <row r="15" spans="1:36" s="256" customFormat="1" x14ac:dyDescent="0.25">
      <c r="D15" s="257"/>
      <c r="F15" s="168"/>
    </row>
    <row r="16" spans="1:36" s="256" customFormat="1" x14ac:dyDescent="0.25">
      <c r="D16" s="257"/>
      <c r="F16" s="168"/>
    </row>
    <row r="17" spans="1:18" s="256" customFormat="1" x14ac:dyDescent="0.25">
      <c r="D17" s="257"/>
      <c r="F17" s="168"/>
    </row>
    <row r="18" spans="1:18" s="167" customFormat="1" x14ac:dyDescent="0.25">
      <c r="D18" s="169"/>
      <c r="F18" s="168"/>
    </row>
    <row r="19" spans="1:18" s="167" customFormat="1" x14ac:dyDescent="0.25">
      <c r="D19" s="169"/>
      <c r="F19" s="168"/>
    </row>
    <row r="20" spans="1:18" s="167" customFormat="1" x14ac:dyDescent="0.25">
      <c r="D20" s="169"/>
      <c r="F20" s="168"/>
    </row>
    <row r="21" spans="1:18" s="167" customFormat="1" x14ac:dyDescent="0.25">
      <c r="D21" s="169"/>
      <c r="F21" s="168"/>
    </row>
    <row r="22" spans="1:18" s="169" customFormat="1" x14ac:dyDescent="0.25">
      <c r="A22" s="191"/>
      <c r="F22" s="192"/>
    </row>
    <row r="23" spans="1:18" s="169" customFormat="1" x14ac:dyDescent="0.25">
      <c r="A23" s="157"/>
      <c r="B23" s="157"/>
      <c r="C23" s="157"/>
    </row>
    <row r="24" spans="1:18" s="169" customFormat="1" x14ac:dyDescent="0.25">
      <c r="A24" s="157"/>
      <c r="B24" s="157"/>
      <c r="C24" s="157"/>
    </row>
    <row r="25" spans="1:18" s="42" customFormat="1" x14ac:dyDescent="0.25">
      <c r="A25" s="14"/>
      <c r="B25" s="14"/>
      <c r="C25" s="14"/>
    </row>
    <row r="26" spans="1:18" ht="15" x14ac:dyDescent="0.25">
      <c r="A26" s="460" t="s">
        <v>209</v>
      </c>
    </row>
    <row r="27" spans="1:18" s="42" customFormat="1" ht="15" x14ac:dyDescent="0.25">
      <c r="A27" s="528"/>
      <c r="B27" s="483"/>
      <c r="C27" s="483"/>
      <c r="D27" s="528"/>
      <c r="E27" s="483"/>
      <c r="F27" s="152"/>
      <c r="G27" s="152"/>
      <c r="H27" s="528"/>
      <c r="I27" s="528"/>
      <c r="J27" s="528"/>
      <c r="K27" s="528"/>
      <c r="L27" s="528"/>
      <c r="M27" s="528"/>
      <c r="N27" s="528"/>
      <c r="O27" s="528"/>
      <c r="P27" s="528"/>
      <c r="Q27" s="528"/>
      <c r="R27" s="528"/>
    </row>
    <row r="28" spans="1:18" s="42" customFormat="1" ht="15.6" x14ac:dyDescent="0.3">
      <c r="A28" s="605" t="s">
        <v>252</v>
      </c>
      <c r="B28" s="283" t="str">
        <f>Main!$N$22</f>
        <v>TMP6131DECR</v>
      </c>
      <c r="C28" s="528"/>
      <c r="D28" s="528"/>
      <c r="E28" s="528"/>
      <c r="F28" s="528"/>
      <c r="G28" s="152"/>
      <c r="H28" s="528"/>
      <c r="I28" s="528"/>
      <c r="J28" s="528"/>
      <c r="K28" s="528"/>
      <c r="L28" s="528"/>
      <c r="M28" s="528"/>
      <c r="N28" s="528"/>
      <c r="O28" s="528"/>
      <c r="P28" s="528"/>
      <c r="Q28" s="528"/>
      <c r="R28" s="528"/>
    </row>
    <row r="29" spans="1:18" ht="15.6" x14ac:dyDescent="0.3">
      <c r="A29" s="538" t="s">
        <v>442</v>
      </c>
      <c r="B29" s="361">
        <f>Main!$N$25</f>
        <v>140</v>
      </c>
      <c r="C29" s="273" t="s">
        <v>441</v>
      </c>
      <c r="D29" s="483"/>
      <c r="E29" s="528"/>
      <c r="F29" s="483"/>
      <c r="G29" s="388"/>
      <c r="H29" s="388"/>
      <c r="I29" s="388"/>
      <c r="J29" s="388"/>
      <c r="K29" s="388"/>
      <c r="L29" s="388"/>
      <c r="M29" s="388"/>
      <c r="N29" s="388"/>
      <c r="O29" s="388"/>
      <c r="P29" s="388"/>
      <c r="Q29" s="388"/>
      <c r="R29" s="388"/>
    </row>
    <row r="30" spans="1:18" s="258" customFormat="1" ht="15.6" x14ac:dyDescent="0.3">
      <c r="A30" s="538" t="s">
        <v>42</v>
      </c>
      <c r="B30" s="312">
        <f>Main!N28</f>
        <v>12</v>
      </c>
      <c r="C30" s="273" t="s">
        <v>16</v>
      </c>
      <c r="D30" s="483"/>
      <c r="E30" s="528"/>
      <c r="F30" s="483"/>
      <c r="G30" s="388"/>
      <c r="H30" s="388"/>
      <c r="I30" s="388"/>
      <c r="J30" s="388"/>
      <c r="K30" s="388"/>
      <c r="L30" s="388"/>
      <c r="M30" s="388"/>
      <c r="N30" s="388"/>
      <c r="O30" s="388"/>
      <c r="P30" s="388"/>
      <c r="Q30" s="388"/>
      <c r="R30" s="388"/>
    </row>
    <row r="31" spans="1:18" s="258" customFormat="1" ht="15.6" x14ac:dyDescent="0.3">
      <c r="A31" s="538" t="s">
        <v>265</v>
      </c>
      <c r="B31" s="355">
        <f>Main!$N$31</f>
        <v>3</v>
      </c>
      <c r="C31" s="273" t="s">
        <v>2</v>
      </c>
      <c r="D31" s="483"/>
      <c r="E31" s="483"/>
      <c r="F31" s="483"/>
      <c r="G31" s="388"/>
      <c r="H31" s="388"/>
      <c r="I31" s="388"/>
      <c r="J31" s="388"/>
      <c r="K31" s="388"/>
      <c r="L31" s="388"/>
      <c r="M31" s="388"/>
      <c r="N31" s="388"/>
      <c r="O31" s="388"/>
      <c r="P31" s="388"/>
      <c r="Q31" s="388"/>
      <c r="R31" s="388"/>
    </row>
    <row r="32" spans="1:18" ht="15" x14ac:dyDescent="0.25">
      <c r="A32" s="388"/>
      <c r="B32" s="388"/>
      <c r="C32" s="388"/>
      <c r="D32" s="388"/>
      <c r="E32" s="388"/>
      <c r="F32" s="388"/>
      <c r="G32" s="388"/>
      <c r="H32" s="388"/>
      <c r="I32" s="388"/>
      <c r="J32" s="388"/>
      <c r="K32" s="388"/>
      <c r="L32" s="388"/>
      <c r="M32" s="388"/>
      <c r="N32" s="388"/>
      <c r="O32" s="388"/>
      <c r="P32" s="388"/>
      <c r="Q32" s="388"/>
      <c r="R32" s="388"/>
    </row>
    <row r="33" spans="1:18" ht="15.6" x14ac:dyDescent="0.3">
      <c r="A33" s="296" t="s">
        <v>261</v>
      </c>
      <c r="B33" s="649"/>
      <c r="C33" s="434"/>
      <c r="D33" s="152"/>
      <c r="E33" s="430"/>
      <c r="F33" s="647"/>
      <c r="G33" s="388"/>
      <c r="H33" s="388"/>
      <c r="I33" s="388"/>
      <c r="J33" s="388"/>
      <c r="K33" s="388"/>
      <c r="L33" s="388"/>
      <c r="M33" s="388"/>
      <c r="N33" s="388"/>
      <c r="O33" s="388"/>
      <c r="P33" s="388"/>
      <c r="Q33" s="388"/>
      <c r="R33" s="388"/>
    </row>
    <row r="34" spans="1:18" s="193" customFormat="1" ht="16.2" thickBot="1" x14ac:dyDescent="0.35">
      <c r="A34" s="618" t="s">
        <v>136</v>
      </c>
      <c r="B34" s="646"/>
      <c r="C34" s="434"/>
      <c r="D34" s="650"/>
      <c r="E34" s="430"/>
      <c r="F34" s="647"/>
      <c r="G34" s="152"/>
      <c r="H34" s="152"/>
      <c r="I34" s="152"/>
      <c r="J34" s="152"/>
      <c r="K34" s="152"/>
      <c r="L34" s="152"/>
      <c r="M34" s="152"/>
      <c r="N34" s="152"/>
      <c r="O34" s="152"/>
      <c r="P34" s="152"/>
      <c r="Q34" s="152"/>
      <c r="R34" s="152"/>
    </row>
    <row r="35" spans="1:18" ht="16.2" thickBot="1" x14ac:dyDescent="0.35">
      <c r="A35" s="432" t="s">
        <v>4</v>
      </c>
      <c r="B35" s="529">
        <v>10000</v>
      </c>
      <c r="C35" s="434" t="s">
        <v>1</v>
      </c>
      <c r="D35" s="152" t="s">
        <v>281</v>
      </c>
      <c r="E35" s="430"/>
      <c r="F35" s="647"/>
      <c r="G35" s="388"/>
      <c r="H35" s="540"/>
      <c r="I35" s="388"/>
      <c r="J35" s="388"/>
      <c r="K35" s="388"/>
      <c r="L35" s="388"/>
      <c r="M35" s="388"/>
      <c r="N35" s="388"/>
      <c r="O35" s="388"/>
      <c r="P35" s="388"/>
      <c r="Q35" s="388"/>
      <c r="R35" s="388"/>
    </row>
    <row r="36" spans="1:18" ht="15.6" x14ac:dyDescent="0.3">
      <c r="A36" s="435" t="s">
        <v>178</v>
      </c>
      <c r="B36" s="651">
        <f t="array" ref="B36">VLOOKUP(B37,B46:C261,2,FALSE)</f>
        <v>9996.5594673336454</v>
      </c>
      <c r="C36" s="434" t="s">
        <v>1</v>
      </c>
      <c r="D36" s="431" t="s">
        <v>282</v>
      </c>
      <c r="E36" s="430"/>
      <c r="F36" s="647"/>
      <c r="G36" s="388"/>
      <c r="H36" s="388"/>
      <c r="I36" s="388"/>
      <c r="J36" s="388"/>
      <c r="K36" s="388"/>
      <c r="L36" s="388"/>
      <c r="M36" s="388"/>
      <c r="N36" s="388"/>
      <c r="O36" s="388"/>
      <c r="P36" s="388"/>
      <c r="Q36" s="388"/>
      <c r="R36" s="388"/>
    </row>
    <row r="37" spans="1:18" ht="15.6" x14ac:dyDescent="0.3">
      <c r="A37" s="435" t="s">
        <v>179</v>
      </c>
      <c r="B37" s="652">
        <f t="array" ref="B37">MAX(IF(C46:C261&lt;B35+0.001,B46:B261,""))</f>
        <v>26</v>
      </c>
      <c r="C37" s="178" t="s">
        <v>185</v>
      </c>
      <c r="D37" s="653" t="s">
        <v>24</v>
      </c>
      <c r="E37" s="430"/>
      <c r="F37" s="647"/>
      <c r="G37" s="388"/>
      <c r="H37" s="388"/>
      <c r="I37" s="388"/>
      <c r="J37" s="388"/>
      <c r="K37" s="388"/>
      <c r="L37" s="388"/>
      <c r="M37" s="388"/>
      <c r="N37" s="388"/>
      <c r="O37" s="388"/>
      <c r="P37" s="388"/>
      <c r="Q37" s="388"/>
      <c r="R37" s="388"/>
    </row>
    <row r="38" spans="1:18" ht="15.6" x14ac:dyDescent="0.3">
      <c r="A38" s="432"/>
      <c r="B38" s="152"/>
      <c r="C38" s="388"/>
      <c r="D38" s="388"/>
      <c r="E38" s="388"/>
      <c r="F38" s="388"/>
      <c r="G38" s="388"/>
      <c r="H38" s="388"/>
      <c r="I38" s="388"/>
      <c r="J38" s="388"/>
      <c r="K38" s="388"/>
      <c r="L38" s="388"/>
      <c r="M38" s="388"/>
      <c r="N38" s="388"/>
      <c r="O38" s="388"/>
      <c r="P38" s="388"/>
      <c r="Q38" s="388"/>
      <c r="R38" s="388"/>
    </row>
    <row r="39" spans="1:18" ht="15.6" x14ac:dyDescent="0.3">
      <c r="A39" s="432" t="s">
        <v>180</v>
      </c>
      <c r="B39" s="640">
        <f>VLOOKUP(B40,B46:C261,2,FALSE)</f>
        <v>10059.692822079123</v>
      </c>
      <c r="C39" s="434" t="s">
        <v>1</v>
      </c>
      <c r="D39" s="178" t="s">
        <v>27</v>
      </c>
      <c r="E39" s="430"/>
      <c r="F39" s="647"/>
      <c r="G39" s="388"/>
      <c r="H39" s="388"/>
      <c r="I39" s="388"/>
      <c r="J39" s="388"/>
      <c r="K39" s="388"/>
      <c r="L39" s="388"/>
      <c r="M39" s="388"/>
      <c r="N39" s="388"/>
      <c r="O39" s="388"/>
      <c r="P39" s="388"/>
      <c r="Q39" s="388"/>
      <c r="R39" s="388"/>
    </row>
    <row r="40" spans="1:18" ht="15.6" x14ac:dyDescent="0.3">
      <c r="A40" s="432" t="s">
        <v>181</v>
      </c>
      <c r="B40" s="652">
        <f t="array" ref="B40">MIN(IF(C46:C261&gt;B35,B46:B261,""))</f>
        <v>27</v>
      </c>
      <c r="C40" s="434" t="s">
        <v>185</v>
      </c>
      <c r="D40" s="152" t="s">
        <v>26</v>
      </c>
      <c r="E40" s="430"/>
      <c r="F40" s="647"/>
      <c r="G40" s="388"/>
      <c r="H40" s="388"/>
      <c r="I40" s="388"/>
      <c r="J40" s="388"/>
      <c r="K40" s="388"/>
      <c r="L40" s="388"/>
      <c r="M40" s="388"/>
      <c r="N40" s="388"/>
      <c r="O40" s="388"/>
      <c r="P40" s="388"/>
      <c r="Q40" s="388"/>
      <c r="R40" s="388"/>
    </row>
    <row r="41" spans="1:18" ht="16.2" thickBot="1" x14ac:dyDescent="0.35">
      <c r="A41" s="432"/>
      <c r="B41" s="152"/>
      <c r="C41" s="388"/>
      <c r="D41" s="388"/>
      <c r="E41" s="388"/>
      <c r="F41" s="388"/>
      <c r="G41" s="388"/>
      <c r="H41" s="388"/>
      <c r="I41" s="388"/>
      <c r="J41" s="388"/>
      <c r="K41" s="388"/>
      <c r="L41" s="388"/>
      <c r="M41" s="388"/>
      <c r="N41" s="388"/>
      <c r="O41" s="388"/>
      <c r="P41" s="388"/>
      <c r="Q41" s="388"/>
      <c r="R41" s="388"/>
    </row>
    <row r="42" spans="1:18" ht="16.2" thickBot="1" x14ac:dyDescent="0.35">
      <c r="A42" s="432" t="s">
        <v>182</v>
      </c>
      <c r="B42" s="654">
        <f>IF(ABS(B35-B36)&lt;=ABS(B35-B39),B37,B40)</f>
        <v>26</v>
      </c>
      <c r="C42" s="434" t="s">
        <v>186</v>
      </c>
      <c r="D42" s="152" t="s">
        <v>262</v>
      </c>
      <c r="E42" s="430"/>
      <c r="F42" s="647"/>
      <c r="G42" s="388"/>
      <c r="H42" s="388"/>
      <c r="I42" s="388"/>
      <c r="J42" s="388"/>
      <c r="K42" s="388"/>
      <c r="L42" s="388"/>
      <c r="M42" s="388"/>
      <c r="N42" s="388"/>
      <c r="O42" s="388"/>
      <c r="P42" s="388"/>
      <c r="Q42" s="388"/>
      <c r="R42" s="388"/>
    </row>
    <row r="43" spans="1:18" ht="15" x14ac:dyDescent="0.25">
      <c r="A43" s="388"/>
      <c r="B43" s="388"/>
      <c r="C43" s="388"/>
      <c r="D43" s="388"/>
      <c r="E43" s="388"/>
      <c r="F43" s="388"/>
      <c r="G43" s="388"/>
      <c r="H43" s="388"/>
      <c r="I43" s="388"/>
      <c r="J43" s="388"/>
      <c r="K43" s="388"/>
      <c r="L43" s="388"/>
      <c r="M43" s="388"/>
      <c r="N43" s="388"/>
      <c r="O43" s="388"/>
      <c r="P43" s="388"/>
      <c r="Q43" s="388"/>
      <c r="R43" s="388"/>
    </row>
    <row r="44" spans="1:18" ht="15.6" x14ac:dyDescent="0.3">
      <c r="A44" s="238" t="s">
        <v>263</v>
      </c>
      <c r="B44" s="388"/>
      <c r="C44" s="388"/>
      <c r="D44" s="388"/>
      <c r="E44" s="388"/>
      <c r="F44" s="388"/>
      <c r="G44" s="388"/>
      <c r="H44" s="388"/>
      <c r="I44" s="388"/>
      <c r="J44" s="388"/>
      <c r="K44" s="388"/>
      <c r="L44" s="388"/>
      <c r="M44" s="388"/>
      <c r="N44" s="388"/>
      <c r="O44" s="388"/>
      <c r="P44" s="388"/>
      <c r="Q44" s="388"/>
      <c r="R44" s="388"/>
    </row>
    <row r="45" spans="1:18" ht="15.6" x14ac:dyDescent="0.3">
      <c r="A45" s="578" t="s">
        <v>84</v>
      </c>
      <c r="B45" s="578" t="str">
        <f>'Device Resistance Tables'!B23</f>
        <v>Temperature (°C)</v>
      </c>
      <c r="C45" s="578" t="s">
        <v>688</v>
      </c>
      <c r="D45" s="388"/>
      <c r="E45" s="388"/>
      <c r="F45" s="388"/>
      <c r="G45" s="388"/>
      <c r="H45" s="388"/>
      <c r="I45" s="388"/>
      <c r="J45" s="388"/>
      <c r="K45" s="388"/>
      <c r="L45" s="388"/>
      <c r="M45" s="388"/>
      <c r="N45" s="388"/>
      <c r="O45" s="388"/>
      <c r="P45" s="388"/>
      <c r="Q45" s="388"/>
      <c r="R45" s="388"/>
    </row>
    <row r="46" spans="1:18" ht="15" x14ac:dyDescent="0.25">
      <c r="A46" s="562">
        <v>1</v>
      </c>
      <c r="B46" s="563">
        <v>-40</v>
      </c>
      <c r="C46" s="437">
        <f>IFERROR('Device Resistance Tables'!D24,NA())</f>
        <v>6514.0402550496137</v>
      </c>
      <c r="D46" s="388"/>
      <c r="E46" s="388"/>
      <c r="F46" s="388"/>
      <c r="G46" s="388"/>
      <c r="H46" s="388"/>
      <c r="I46" s="388"/>
      <c r="J46" s="388"/>
      <c r="K46" s="388"/>
      <c r="L46" s="388"/>
      <c r="M46" s="388"/>
      <c r="N46" s="388"/>
      <c r="O46" s="388"/>
      <c r="P46" s="388"/>
      <c r="Q46" s="388"/>
      <c r="R46" s="388"/>
    </row>
    <row r="47" spans="1:18" ht="15" x14ac:dyDescent="0.25">
      <c r="A47" s="562">
        <v>2</v>
      </c>
      <c r="B47" s="563">
        <v>-39</v>
      </c>
      <c r="C47" s="437">
        <f>IFERROR('Device Resistance Tables'!D25,NA())</f>
        <v>6555.848186798853</v>
      </c>
      <c r="D47" s="388"/>
      <c r="E47" s="388"/>
      <c r="F47" s="388"/>
      <c r="G47" s="388"/>
      <c r="H47" s="388"/>
      <c r="I47" s="388"/>
      <c r="J47" s="388"/>
      <c r="K47" s="388"/>
      <c r="L47" s="388"/>
      <c r="M47" s="388"/>
      <c r="N47" s="388"/>
      <c r="O47" s="388"/>
      <c r="P47" s="388"/>
      <c r="Q47" s="388"/>
      <c r="R47" s="388"/>
    </row>
    <row r="48" spans="1:18" ht="15" x14ac:dyDescent="0.25">
      <c r="A48" s="562">
        <v>3</v>
      </c>
      <c r="B48" s="563">
        <v>-38</v>
      </c>
      <c r="C48" s="437">
        <f>IFERROR('Device Resistance Tables'!D26,NA())</f>
        <v>6598.0350925161956</v>
      </c>
      <c r="D48" s="388"/>
      <c r="E48" s="388"/>
      <c r="F48" s="388"/>
      <c r="G48" s="388"/>
      <c r="H48" s="388"/>
      <c r="I48" s="388"/>
      <c r="J48" s="388"/>
      <c r="K48" s="388"/>
      <c r="L48" s="388"/>
      <c r="M48" s="388"/>
      <c r="N48" s="388"/>
      <c r="O48" s="388"/>
      <c r="P48" s="388"/>
      <c r="Q48" s="388"/>
      <c r="R48" s="388"/>
    </row>
    <row r="49" spans="1:18" ht="15" x14ac:dyDescent="0.25">
      <c r="A49" s="562">
        <v>4</v>
      </c>
      <c r="B49" s="563">
        <v>-37</v>
      </c>
      <c r="C49" s="437">
        <f>IFERROR('Device Resistance Tables'!D27,NA())</f>
        <v>6640.5983306888866</v>
      </c>
      <c r="D49" s="388"/>
      <c r="E49" s="388"/>
      <c r="F49" s="388"/>
      <c r="G49" s="388"/>
      <c r="H49" s="388"/>
      <c r="I49" s="388"/>
      <c r="J49" s="388"/>
      <c r="K49" s="388"/>
      <c r="L49" s="388"/>
      <c r="M49" s="388"/>
      <c r="N49" s="388"/>
      <c r="O49" s="388"/>
      <c r="P49" s="388"/>
      <c r="Q49" s="388"/>
      <c r="R49" s="388"/>
    </row>
    <row r="50" spans="1:18" ht="15" x14ac:dyDescent="0.25">
      <c r="A50" s="562">
        <v>5</v>
      </c>
      <c r="B50" s="563">
        <v>-36</v>
      </c>
      <c r="C50" s="437">
        <f>IFERROR('Device Resistance Tables'!D28,NA())</f>
        <v>6683.535303055618</v>
      </c>
      <c r="D50" s="388"/>
      <c r="E50" s="388"/>
      <c r="F50" s="388"/>
      <c r="G50" s="388"/>
      <c r="H50" s="388"/>
      <c r="I50" s="388"/>
      <c r="J50" s="388"/>
      <c r="K50" s="388"/>
      <c r="L50" s="388"/>
      <c r="M50" s="388"/>
      <c r="N50" s="388"/>
      <c r="O50" s="388"/>
      <c r="P50" s="388"/>
      <c r="Q50" s="388"/>
      <c r="R50" s="388"/>
    </row>
    <row r="51" spans="1:18" ht="15" x14ac:dyDescent="0.25">
      <c r="A51" s="562">
        <v>6</v>
      </c>
      <c r="B51" s="563">
        <v>-35</v>
      </c>
      <c r="C51" s="437">
        <f>IFERROR('Device Resistance Tables'!D29,NA())</f>
        <v>6726.8434546065191</v>
      </c>
      <c r="D51" s="388"/>
      <c r="E51" s="388"/>
      <c r="F51" s="388"/>
      <c r="G51" s="388"/>
      <c r="H51" s="388"/>
      <c r="I51" s="388"/>
      <c r="J51" s="388"/>
      <c r="K51" s="388"/>
      <c r="L51" s="388"/>
      <c r="M51" s="388"/>
      <c r="N51" s="388"/>
      <c r="O51" s="388"/>
      <c r="P51" s="388"/>
      <c r="Q51" s="388"/>
      <c r="R51" s="388"/>
    </row>
    <row r="52" spans="1:18" ht="15" x14ac:dyDescent="0.25">
      <c r="A52" s="562">
        <v>7</v>
      </c>
      <c r="B52" s="563">
        <v>-34</v>
      </c>
      <c r="C52" s="437">
        <f>IFERROR('Device Resistance Tables'!D30,NA())</f>
        <v>6770.5202735831617</v>
      </c>
      <c r="D52" s="388"/>
      <c r="E52" s="388"/>
      <c r="F52" s="388"/>
      <c r="G52" s="388"/>
      <c r="H52" s="388"/>
      <c r="I52" s="388"/>
      <c r="J52" s="388"/>
      <c r="K52" s="388"/>
      <c r="L52" s="388"/>
      <c r="M52" s="388"/>
      <c r="N52" s="388"/>
      <c r="O52" s="388"/>
      <c r="P52" s="388"/>
      <c r="Q52" s="388"/>
      <c r="R52" s="388"/>
    </row>
    <row r="53" spans="1:18" ht="15" x14ac:dyDescent="0.25">
      <c r="A53" s="562">
        <v>8</v>
      </c>
      <c r="B53" s="563">
        <v>-33</v>
      </c>
      <c r="C53" s="437">
        <f>IFERROR('Device Resistance Tables'!D31,NA())</f>
        <v>6814.563291478561</v>
      </c>
      <c r="D53" s="388"/>
      <c r="E53" s="388"/>
      <c r="F53" s="388"/>
      <c r="G53" s="388"/>
      <c r="H53" s="388"/>
      <c r="I53" s="388"/>
      <c r="J53" s="388"/>
      <c r="K53" s="388"/>
      <c r="L53" s="388"/>
      <c r="M53" s="388"/>
      <c r="N53" s="388"/>
      <c r="O53" s="388"/>
      <c r="P53" s="388"/>
      <c r="Q53" s="388"/>
      <c r="R53" s="388"/>
    </row>
    <row r="54" spans="1:18" ht="15" x14ac:dyDescent="0.25">
      <c r="A54" s="562">
        <v>9</v>
      </c>
      <c r="B54" s="563">
        <v>-32</v>
      </c>
      <c r="C54" s="437">
        <f>IFERROR('Device Resistance Tables'!D32,NA())</f>
        <v>6858.9700830371703</v>
      </c>
      <c r="D54" s="388"/>
      <c r="E54" s="388"/>
      <c r="F54" s="388"/>
      <c r="G54" s="388"/>
      <c r="H54" s="388"/>
      <c r="I54" s="388"/>
      <c r="J54" s="388"/>
      <c r="K54" s="388"/>
      <c r="L54" s="388"/>
      <c r="M54" s="388"/>
      <c r="N54" s="388"/>
      <c r="O54" s="388"/>
      <c r="P54" s="388"/>
      <c r="Q54" s="388"/>
      <c r="R54" s="388"/>
    </row>
    <row r="55" spans="1:18" ht="15" x14ac:dyDescent="0.25">
      <c r="A55" s="562">
        <v>10</v>
      </c>
      <c r="B55" s="563">
        <v>-31</v>
      </c>
      <c r="C55" s="437">
        <f>IFERROR('Device Resistance Tables'!D33,NA())</f>
        <v>6903.7382662548889</v>
      </c>
      <c r="D55" s="388"/>
      <c r="E55" s="388"/>
      <c r="F55" s="388"/>
      <c r="G55" s="388"/>
      <c r="H55" s="388"/>
      <c r="I55" s="388"/>
      <c r="J55" s="388"/>
      <c r="K55" s="388"/>
      <c r="L55" s="388"/>
      <c r="M55" s="388"/>
      <c r="N55" s="388"/>
      <c r="O55" s="388"/>
      <c r="P55" s="388"/>
      <c r="Q55" s="388"/>
      <c r="R55" s="388"/>
    </row>
    <row r="56" spans="1:18" ht="15" x14ac:dyDescent="0.25">
      <c r="A56" s="562">
        <v>11</v>
      </c>
      <c r="B56" s="563">
        <v>-30</v>
      </c>
      <c r="C56" s="437">
        <f>IFERROR('Device Resistance Tables'!D34,NA())</f>
        <v>6948.8655023790488</v>
      </c>
      <c r="D56" s="388"/>
      <c r="E56" s="388"/>
      <c r="F56" s="388"/>
      <c r="G56" s="388"/>
      <c r="H56" s="388"/>
      <c r="I56" s="388"/>
      <c r="J56" s="388"/>
      <c r="K56" s="388"/>
      <c r="L56" s="388"/>
      <c r="M56" s="388"/>
      <c r="N56" s="388"/>
      <c r="O56" s="388"/>
      <c r="P56" s="388"/>
      <c r="Q56" s="388"/>
      <c r="R56" s="388"/>
    </row>
    <row r="57" spans="1:18" ht="15" x14ac:dyDescent="0.25">
      <c r="A57" s="562">
        <v>12</v>
      </c>
      <c r="B57" s="563">
        <v>-29</v>
      </c>
      <c r="C57" s="437">
        <f>IFERROR('Device Resistance Tables'!D35,NA())</f>
        <v>6994.3494959084337</v>
      </c>
      <c r="D57" s="388"/>
      <c r="E57" s="388"/>
      <c r="F57" s="388"/>
      <c r="G57" s="388"/>
      <c r="H57" s="388"/>
      <c r="I57" s="388"/>
      <c r="J57" s="388"/>
      <c r="K57" s="388"/>
      <c r="L57" s="388"/>
      <c r="M57" s="388"/>
      <c r="N57" s="388"/>
      <c r="O57" s="388"/>
      <c r="P57" s="388"/>
      <c r="Q57" s="388"/>
      <c r="R57" s="388"/>
    </row>
    <row r="58" spans="1:18" ht="15" x14ac:dyDescent="0.25">
      <c r="A58" s="562">
        <v>13</v>
      </c>
      <c r="B58" s="563">
        <v>-28</v>
      </c>
      <c r="C58" s="437">
        <f>IFERROR('Device Resistance Tables'!D36,NA())</f>
        <v>7040.1879945932606</v>
      </c>
      <c r="D58" s="388"/>
      <c r="E58" s="388"/>
      <c r="F58" s="388"/>
      <c r="G58" s="388"/>
      <c r="H58" s="388"/>
      <c r="I58" s="388"/>
      <c r="J58" s="388"/>
      <c r="K58" s="388"/>
      <c r="L58" s="388"/>
      <c r="M58" s="388"/>
      <c r="N58" s="388"/>
      <c r="O58" s="388"/>
      <c r="P58" s="388"/>
      <c r="Q58" s="388"/>
      <c r="R58" s="388"/>
    </row>
    <row r="59" spans="1:18" ht="15" x14ac:dyDescent="0.25">
      <c r="A59" s="562">
        <v>14</v>
      </c>
      <c r="B59" s="563">
        <v>-27</v>
      </c>
      <c r="C59" s="437">
        <f>IFERROR('Device Resistance Tables'!D37,NA())</f>
        <v>7086.3787894351908</v>
      </c>
      <c r="D59" s="388"/>
      <c r="E59" s="388"/>
      <c r="F59" s="388"/>
      <c r="G59" s="388"/>
      <c r="H59" s="388"/>
      <c r="I59" s="388"/>
      <c r="J59" s="388"/>
      <c r="K59" s="388"/>
      <c r="L59" s="388"/>
      <c r="M59" s="388"/>
      <c r="N59" s="388"/>
      <c r="O59" s="388"/>
      <c r="P59" s="388"/>
      <c r="Q59" s="388"/>
      <c r="R59" s="388"/>
    </row>
    <row r="60" spans="1:18" ht="15" x14ac:dyDescent="0.25">
      <c r="A60" s="562">
        <v>15</v>
      </c>
      <c r="B60" s="563">
        <v>-26</v>
      </c>
      <c r="C60" s="437">
        <f>IFERROR('Device Resistance Tables'!D38,NA())</f>
        <v>7132.9197146873294</v>
      </c>
      <c r="D60" s="388"/>
      <c r="E60" s="388"/>
      <c r="F60" s="388"/>
      <c r="G60" s="388"/>
      <c r="H60" s="388"/>
      <c r="I60" s="388"/>
      <c r="J60" s="388"/>
      <c r="K60" s="388"/>
      <c r="L60" s="388"/>
      <c r="M60" s="388"/>
      <c r="N60" s="388"/>
      <c r="O60" s="388"/>
      <c r="P60" s="388"/>
      <c r="Q60" s="388"/>
      <c r="R60" s="388"/>
    </row>
    <row r="61" spans="1:18" ht="15" x14ac:dyDescent="0.25">
      <c r="A61" s="562">
        <v>16</v>
      </c>
      <c r="B61" s="563">
        <v>-25</v>
      </c>
      <c r="C61" s="437">
        <f>IFERROR('Device Resistance Tables'!D39,NA())</f>
        <v>7179.8086478542191</v>
      </c>
      <c r="D61" s="388"/>
      <c r="E61" s="388"/>
      <c r="F61" s="388"/>
      <c r="G61" s="388"/>
      <c r="H61" s="388"/>
      <c r="I61" s="388"/>
      <c r="J61" s="388"/>
      <c r="K61" s="388"/>
      <c r="L61" s="388"/>
      <c r="M61" s="388"/>
      <c r="N61" s="388"/>
      <c r="O61" s="388"/>
      <c r="P61" s="388"/>
      <c r="Q61" s="388"/>
      <c r="R61" s="388"/>
    </row>
    <row r="62" spans="1:18" ht="15" x14ac:dyDescent="0.25">
      <c r="A62" s="562">
        <v>17</v>
      </c>
      <c r="B62" s="563">
        <v>-24</v>
      </c>
      <c r="C62" s="437">
        <f>IFERROR('Device Resistance Tables'!D40,NA())</f>
        <v>7227.0435096918427</v>
      </c>
      <c r="D62" s="388"/>
      <c r="E62" s="388"/>
      <c r="F62" s="388"/>
      <c r="G62" s="388"/>
      <c r="H62" s="388"/>
      <c r="I62" s="388"/>
      <c r="J62" s="388"/>
      <c r="K62" s="388"/>
      <c r="L62" s="388"/>
      <c r="M62" s="388"/>
      <c r="N62" s="388"/>
      <c r="O62" s="388"/>
      <c r="P62" s="388"/>
      <c r="Q62" s="388"/>
      <c r="R62" s="388"/>
    </row>
    <row r="63" spans="1:18" ht="15" x14ac:dyDescent="0.25">
      <c r="A63" s="562">
        <v>18</v>
      </c>
      <c r="B63" s="563">
        <v>-23</v>
      </c>
      <c r="C63" s="437">
        <f>IFERROR('Device Resistance Tables'!D41,NA())</f>
        <v>7274.62226420763</v>
      </c>
      <c r="D63" s="388"/>
      <c r="E63" s="388"/>
      <c r="F63" s="388"/>
      <c r="G63" s="388"/>
      <c r="H63" s="388"/>
      <c r="I63" s="388"/>
      <c r="J63" s="388"/>
      <c r="K63" s="388"/>
      <c r="L63" s="388"/>
      <c r="M63" s="388"/>
      <c r="N63" s="388"/>
      <c r="O63" s="388"/>
      <c r="P63" s="388"/>
      <c r="Q63" s="388"/>
      <c r="R63" s="388"/>
    </row>
    <row r="64" spans="1:18" ht="15" x14ac:dyDescent="0.25">
      <c r="A64" s="562">
        <v>19</v>
      </c>
      <c r="B64" s="563">
        <v>-22</v>
      </c>
      <c r="C64" s="437">
        <f>IFERROR('Device Resistance Tables'!D42,NA())</f>
        <v>7322.5429186604479</v>
      </c>
      <c r="D64" s="388"/>
      <c r="E64" s="388"/>
      <c r="F64" s="388"/>
      <c r="G64" s="388"/>
      <c r="H64" s="388"/>
      <c r="I64" s="388"/>
      <c r="J64" s="388"/>
      <c r="K64" s="388"/>
      <c r="L64" s="388"/>
      <c r="M64" s="388"/>
      <c r="N64" s="388"/>
      <c r="O64" s="388"/>
      <c r="P64" s="388"/>
      <c r="Q64" s="388"/>
      <c r="R64" s="388"/>
    </row>
    <row r="65" spans="1:18" ht="15" x14ac:dyDescent="0.25">
      <c r="A65" s="562">
        <v>20</v>
      </c>
      <c r="B65" s="563">
        <v>-21</v>
      </c>
      <c r="C65" s="437">
        <f>IFERROR('Device Resistance Tables'!D43,NA())</f>
        <v>7370.8035235606039</v>
      </c>
      <c r="D65" s="388"/>
      <c r="E65" s="388"/>
      <c r="F65" s="388"/>
      <c r="G65" s="388"/>
      <c r="H65" s="388"/>
      <c r="I65" s="388"/>
      <c r="J65" s="388"/>
      <c r="K65" s="388"/>
      <c r="L65" s="388"/>
      <c r="M65" s="388"/>
      <c r="N65" s="388"/>
      <c r="O65" s="388"/>
      <c r="P65" s="388"/>
      <c r="Q65" s="388"/>
      <c r="R65" s="388"/>
    </row>
    <row r="66" spans="1:18" ht="15" x14ac:dyDescent="0.25">
      <c r="A66" s="562">
        <v>21</v>
      </c>
      <c r="B66" s="563">
        <v>-20</v>
      </c>
      <c r="C66" s="437">
        <f>IFERROR('Device Resistance Tables'!D44,NA())</f>
        <v>7419.4021726698502</v>
      </c>
      <c r="D66" s="388"/>
      <c r="E66" s="388"/>
      <c r="F66" s="388"/>
      <c r="G66" s="388"/>
      <c r="H66" s="388"/>
      <c r="I66" s="388"/>
      <c r="J66" s="388"/>
      <c r="K66" s="388"/>
      <c r="L66" s="388"/>
      <c r="M66" s="388"/>
      <c r="N66" s="388"/>
      <c r="O66" s="388"/>
      <c r="P66" s="388"/>
      <c r="Q66" s="388"/>
      <c r="R66" s="388"/>
    </row>
    <row r="67" spans="1:18" ht="15" x14ac:dyDescent="0.25">
      <c r="A67" s="562">
        <v>22</v>
      </c>
      <c r="B67" s="563">
        <v>-19</v>
      </c>
      <c r="C67" s="437">
        <f>IFERROR('Device Resistance Tables'!D45,NA())</f>
        <v>7468.3370030013784</v>
      </c>
      <c r="D67" s="388"/>
      <c r="E67" s="388"/>
      <c r="F67" s="388"/>
      <c r="G67" s="388"/>
      <c r="H67" s="388"/>
      <c r="I67" s="388"/>
      <c r="J67" s="388"/>
      <c r="K67" s="388"/>
      <c r="L67" s="388"/>
      <c r="M67" s="388"/>
      <c r="N67" s="388"/>
      <c r="O67" s="388"/>
      <c r="P67" s="388"/>
      <c r="Q67" s="388"/>
      <c r="R67" s="388"/>
    </row>
    <row r="68" spans="1:18" ht="15" x14ac:dyDescent="0.25">
      <c r="A68" s="562">
        <v>23</v>
      </c>
      <c r="B68" s="563">
        <v>-18</v>
      </c>
      <c r="C68" s="437">
        <f>IFERROR('Device Resistance Tables'!D46,NA())</f>
        <v>7517.6061948198203</v>
      </c>
      <c r="D68" s="388"/>
      <c r="E68" s="388"/>
      <c r="F68" s="388"/>
      <c r="G68" s="388"/>
      <c r="H68" s="388"/>
      <c r="I68" s="388"/>
      <c r="J68" s="388"/>
      <c r="K68" s="388"/>
      <c r="L68" s="388"/>
      <c r="M68" s="388"/>
      <c r="N68" s="388"/>
      <c r="O68" s="388"/>
      <c r="P68" s="388"/>
      <c r="Q68" s="388"/>
      <c r="R68" s="388"/>
    </row>
    <row r="69" spans="1:18" ht="15" x14ac:dyDescent="0.25">
      <c r="A69" s="562">
        <v>24</v>
      </c>
      <c r="B69" s="563">
        <v>-17</v>
      </c>
      <c r="C69" s="437">
        <f>IFERROR('Device Resistance Tables'!D47,NA())</f>
        <v>7567.2079716412518</v>
      </c>
      <c r="D69" s="388"/>
      <c r="E69" s="388"/>
      <c r="F69" s="388"/>
      <c r="G69" s="388"/>
      <c r="H69" s="388"/>
      <c r="I69" s="388"/>
      <c r="J69" s="388"/>
      <c r="K69" s="388"/>
      <c r="L69" s="388"/>
      <c r="M69" s="388"/>
      <c r="N69" s="388"/>
      <c r="O69" s="388"/>
      <c r="P69" s="388"/>
      <c r="Q69" s="388"/>
      <c r="R69" s="388"/>
    </row>
    <row r="70" spans="1:18" ht="15" x14ac:dyDescent="0.25">
      <c r="A70" s="562">
        <v>25</v>
      </c>
      <c r="B70" s="563">
        <v>-16</v>
      </c>
      <c r="C70" s="437">
        <f>IFERROR('Device Resistance Tables'!D48,NA())</f>
        <v>7617.1406002331887</v>
      </c>
      <c r="D70" s="388"/>
      <c r="E70" s="388"/>
      <c r="F70" s="388"/>
      <c r="G70" s="388"/>
      <c r="H70" s="388"/>
      <c r="I70" s="388"/>
      <c r="J70" s="388"/>
      <c r="K70" s="388"/>
      <c r="L70" s="388"/>
      <c r="M70" s="388"/>
      <c r="N70" s="388"/>
      <c r="O70" s="388"/>
      <c r="P70" s="388"/>
      <c r="Q70" s="388"/>
      <c r="R70" s="388"/>
    </row>
    <row r="71" spans="1:18" ht="15" x14ac:dyDescent="0.25">
      <c r="A71" s="562">
        <v>26</v>
      </c>
      <c r="B71" s="563">
        <v>-15</v>
      </c>
      <c r="C71" s="437">
        <f>IFERROR('Device Resistance Tables'!D49,NA())</f>
        <v>7667.4023906145867</v>
      </c>
      <c r="D71" s="388"/>
      <c r="E71" s="388"/>
      <c r="F71" s="388"/>
      <c r="G71" s="388"/>
      <c r="H71" s="388"/>
      <c r="I71" s="388"/>
      <c r="J71" s="388"/>
      <c r="K71" s="388"/>
      <c r="L71" s="388"/>
      <c r="M71" s="388"/>
      <c r="N71" s="388"/>
      <c r="O71" s="388"/>
      <c r="P71" s="388"/>
      <c r="Q71" s="388"/>
      <c r="R71" s="388"/>
    </row>
    <row r="72" spans="1:18" ht="15" x14ac:dyDescent="0.25">
      <c r="A72" s="562">
        <v>27</v>
      </c>
      <c r="B72" s="563">
        <v>-14</v>
      </c>
      <c r="C72" s="437">
        <f>IFERROR('Device Resistance Tables'!D50,NA())</f>
        <v>7717.9916960558412</v>
      </c>
      <c r="D72" s="388"/>
      <c r="E72" s="388"/>
      <c r="F72" s="388"/>
      <c r="G72" s="388"/>
      <c r="H72" s="388"/>
      <c r="I72" s="388"/>
      <c r="J72" s="388"/>
      <c r="K72" s="388"/>
      <c r="L72" s="388"/>
      <c r="M72" s="388"/>
      <c r="N72" s="388"/>
      <c r="O72" s="388"/>
      <c r="P72" s="388"/>
      <c r="Q72" s="388"/>
      <c r="R72" s="388"/>
    </row>
    <row r="73" spans="1:18" ht="15" x14ac:dyDescent="0.25">
      <c r="A73" s="562">
        <v>28</v>
      </c>
      <c r="B73" s="563">
        <v>-13</v>
      </c>
      <c r="C73" s="437">
        <f>IFERROR('Device Resistance Tables'!D51,NA())</f>
        <v>7768.9069130787975</v>
      </c>
      <c r="D73" s="388"/>
      <c r="E73" s="388"/>
      <c r="F73" s="388"/>
      <c r="G73" s="388"/>
      <c r="H73" s="388"/>
      <c r="I73" s="388"/>
      <c r="J73" s="388"/>
      <c r="K73" s="388"/>
      <c r="L73" s="388"/>
      <c r="M73" s="388"/>
      <c r="N73" s="388"/>
      <c r="O73" s="388"/>
      <c r="P73" s="388"/>
      <c r="Q73" s="388"/>
      <c r="R73" s="388"/>
    </row>
    <row r="74" spans="1:18" ht="15" x14ac:dyDescent="0.25">
      <c r="A74" s="562">
        <v>29</v>
      </c>
      <c r="B74" s="563">
        <v>-12</v>
      </c>
      <c r="C74" s="437">
        <f>IFERROR('Device Resistance Tables'!D52,NA())</f>
        <v>7820.1464814567344</v>
      </c>
      <c r="D74" s="388"/>
      <c r="E74" s="388"/>
      <c r="F74" s="388"/>
      <c r="G74" s="388"/>
      <c r="H74" s="388"/>
      <c r="I74" s="388"/>
      <c r="J74" s="388"/>
      <c r="K74" s="388"/>
      <c r="L74" s="388"/>
      <c r="M74" s="388"/>
      <c r="N74" s="388"/>
      <c r="O74" s="388"/>
      <c r="P74" s="388"/>
      <c r="Q74" s="388"/>
      <c r="R74" s="388"/>
    </row>
    <row r="75" spans="1:18" ht="15" x14ac:dyDescent="0.25">
      <c r="A75" s="562">
        <v>30</v>
      </c>
      <c r="B75" s="563">
        <v>-11</v>
      </c>
      <c r="C75" s="437">
        <f>IFERROR('Device Resistance Tables'!D53,NA())</f>
        <v>7871.7088842143712</v>
      </c>
      <c r="D75" s="388"/>
      <c r="E75" s="388"/>
      <c r="F75" s="388"/>
      <c r="G75" s="388"/>
      <c r="H75" s="388"/>
      <c r="I75" s="388"/>
      <c r="J75" s="388"/>
      <c r="K75" s="388"/>
      <c r="L75" s="388"/>
      <c r="M75" s="388"/>
      <c r="N75" s="388"/>
      <c r="O75" s="388"/>
      <c r="P75" s="388"/>
      <c r="Q75" s="388"/>
      <c r="R75" s="388"/>
    </row>
    <row r="76" spans="1:18" ht="15" x14ac:dyDescent="0.25">
      <c r="A76" s="562">
        <v>31</v>
      </c>
      <c r="B76" s="563">
        <v>-10</v>
      </c>
      <c r="C76" s="437">
        <f>IFERROR('Device Resistance Tables'!D54,NA())</f>
        <v>7923.5926476278764</v>
      </c>
      <c r="D76" s="388"/>
      <c r="E76" s="388"/>
      <c r="F76" s="388"/>
      <c r="G76" s="388"/>
      <c r="H76" s="388"/>
      <c r="I76" s="388"/>
      <c r="J76" s="388"/>
      <c r="K76" s="388"/>
      <c r="L76" s="388"/>
      <c r="M76" s="388"/>
      <c r="N76" s="388"/>
      <c r="O76" s="388"/>
      <c r="P76" s="388"/>
      <c r="Q76" s="388"/>
      <c r="R76" s="388"/>
    </row>
    <row r="77" spans="1:18" ht="15" x14ac:dyDescent="0.25">
      <c r="A77" s="562">
        <v>32</v>
      </c>
      <c r="B77" s="563">
        <v>-9</v>
      </c>
      <c r="C77" s="437">
        <f>IFERROR('Device Resistance Tables'!D55,NA())</f>
        <v>7975.7963412248491</v>
      </c>
      <c r="D77" s="388"/>
      <c r="E77" s="388"/>
      <c r="F77" s="388"/>
      <c r="G77" s="388"/>
      <c r="H77" s="388"/>
      <c r="I77" s="388"/>
      <c r="J77" s="388"/>
      <c r="K77" s="388"/>
      <c r="L77" s="388"/>
      <c r="M77" s="388"/>
      <c r="N77" s="388"/>
      <c r="O77" s="388"/>
      <c r="P77" s="388"/>
      <c r="Q77" s="388"/>
      <c r="R77" s="388"/>
    </row>
    <row r="78" spans="1:18" ht="15" x14ac:dyDescent="0.25">
      <c r="A78" s="562">
        <v>33</v>
      </c>
      <c r="B78" s="563">
        <v>-8</v>
      </c>
      <c r="C78" s="437">
        <f>IFERROR('Device Resistance Tables'!D56,NA())</f>
        <v>8028.3185777843391</v>
      </c>
      <c r="D78" s="388"/>
      <c r="E78" s="388"/>
      <c r="F78" s="388"/>
      <c r="G78" s="388"/>
      <c r="H78" s="388"/>
      <c r="I78" s="388"/>
      <c r="J78" s="388"/>
      <c r="K78" s="388"/>
      <c r="L78" s="388"/>
      <c r="M78" s="388"/>
      <c r="N78" s="388"/>
      <c r="O78" s="388"/>
      <c r="P78" s="388"/>
      <c r="Q78" s="388"/>
      <c r="R78" s="388"/>
    </row>
    <row r="79" spans="1:18" ht="15" x14ac:dyDescent="0.25">
      <c r="A79" s="562">
        <v>34</v>
      </c>
      <c r="B79" s="563">
        <v>-7</v>
      </c>
      <c r="C79" s="437">
        <f>IFERROR('Device Resistance Tables'!D57,NA())</f>
        <v>8081.1580133368334</v>
      </c>
      <c r="D79" s="388"/>
      <c r="E79" s="388"/>
      <c r="F79" s="388"/>
      <c r="G79" s="388"/>
      <c r="H79" s="388"/>
      <c r="I79" s="388"/>
      <c r="J79" s="388"/>
      <c r="K79" s="388"/>
      <c r="L79" s="388"/>
      <c r="M79" s="388"/>
      <c r="N79" s="388"/>
      <c r="O79" s="388"/>
      <c r="P79" s="388"/>
      <c r="Q79" s="388"/>
      <c r="R79" s="388"/>
    </row>
    <row r="80" spans="1:18" ht="15" x14ac:dyDescent="0.25">
      <c r="A80" s="562">
        <v>35</v>
      </c>
      <c r="B80" s="563">
        <v>-6</v>
      </c>
      <c r="C80" s="437">
        <f>IFERROR('Device Resistance Tables'!D58,NA())</f>
        <v>8134.3133471642586</v>
      </c>
      <c r="D80" s="388"/>
      <c r="E80" s="388"/>
      <c r="F80" s="388"/>
      <c r="G80" s="388"/>
      <c r="H80" s="388"/>
      <c r="I80" s="388"/>
      <c r="J80" s="388"/>
      <c r="K80" s="388"/>
      <c r="L80" s="388"/>
      <c r="M80" s="388"/>
      <c r="N80" s="388"/>
      <c r="O80" s="388"/>
      <c r="P80" s="388"/>
      <c r="Q80" s="388"/>
      <c r="R80" s="388"/>
    </row>
    <row r="81" spans="1:18" ht="15" x14ac:dyDescent="0.25">
      <c r="A81" s="562">
        <v>36</v>
      </c>
      <c r="B81" s="563">
        <v>-5</v>
      </c>
      <c r="C81" s="437">
        <f>IFERROR('Device Resistance Tables'!D59,NA())</f>
        <v>8187.7833217999869</v>
      </c>
      <c r="D81" s="388"/>
      <c r="E81" s="388"/>
      <c r="F81" s="388"/>
      <c r="G81" s="388"/>
      <c r="H81" s="388"/>
      <c r="I81" s="388"/>
      <c r="J81" s="388"/>
      <c r="K81" s="388"/>
      <c r="L81" s="388"/>
      <c r="M81" s="388"/>
      <c r="N81" s="388"/>
      <c r="O81" s="388"/>
      <c r="P81" s="388"/>
      <c r="Q81" s="388"/>
      <c r="R81" s="388"/>
    </row>
    <row r="82" spans="1:18" ht="15" x14ac:dyDescent="0.25">
      <c r="A82" s="562">
        <v>37</v>
      </c>
      <c r="B82" s="563">
        <v>-4</v>
      </c>
      <c r="C82" s="437">
        <f>IFERROR('Device Resistance Tables'!D60,NA())</f>
        <v>8241.5667230288273</v>
      </c>
      <c r="D82" s="388"/>
      <c r="E82" s="388"/>
      <c r="F82" s="388"/>
      <c r="G82" s="388"/>
      <c r="H82" s="388"/>
      <c r="I82" s="388"/>
      <c r="J82" s="388"/>
      <c r="K82" s="388"/>
      <c r="L82" s="388"/>
      <c r="M82" s="388"/>
      <c r="N82" s="388"/>
      <c r="O82" s="388"/>
      <c r="P82" s="388"/>
      <c r="Q82" s="388"/>
      <c r="R82" s="388"/>
    </row>
    <row r="83" spans="1:18" ht="15" x14ac:dyDescent="0.25">
      <c r="A83" s="562">
        <v>38</v>
      </c>
      <c r="B83" s="563">
        <v>-3</v>
      </c>
      <c r="C83" s="437">
        <f>IFERROR('Device Resistance Tables'!D61,NA())</f>
        <v>8295.6623798870351</v>
      </c>
      <c r="D83" s="388"/>
      <c r="E83" s="388"/>
      <c r="F83" s="388"/>
      <c r="G83" s="388"/>
      <c r="H83" s="388"/>
      <c r="I83" s="388"/>
      <c r="J83" s="388"/>
      <c r="K83" s="388"/>
      <c r="L83" s="388"/>
      <c r="M83" s="388"/>
      <c r="N83" s="388"/>
      <c r="O83" s="388"/>
      <c r="P83" s="388"/>
      <c r="Q83" s="388"/>
      <c r="R83" s="388"/>
    </row>
    <row r="84" spans="1:18" ht="15" x14ac:dyDescent="0.25">
      <c r="A84" s="562">
        <v>39</v>
      </c>
      <c r="B84" s="563">
        <v>-2</v>
      </c>
      <c r="C84" s="437">
        <f>IFERROR('Device Resistance Tables'!D62,NA())</f>
        <v>8350.0691646623036</v>
      </c>
      <c r="D84" s="388"/>
      <c r="E84" s="388"/>
      <c r="F84" s="388"/>
      <c r="G84" s="388"/>
      <c r="H84" s="388"/>
      <c r="I84" s="388"/>
      <c r="J84" s="388"/>
      <c r="K84" s="388"/>
      <c r="L84" s="388"/>
      <c r="M84" s="388"/>
      <c r="N84" s="388"/>
      <c r="O84" s="388"/>
      <c r="P84" s="388"/>
      <c r="Q84" s="388"/>
      <c r="R84" s="388"/>
    </row>
    <row r="85" spans="1:18" ht="15" x14ac:dyDescent="0.25">
      <c r="A85" s="562">
        <v>40</v>
      </c>
      <c r="B85" s="563">
        <v>-1</v>
      </c>
      <c r="C85" s="437">
        <f>IFERROR('Device Resistance Tables'!D63,NA())</f>
        <v>8404.7859928937669</v>
      </c>
      <c r="D85" s="388"/>
      <c r="E85" s="388"/>
      <c r="F85" s="388"/>
      <c r="G85" s="388"/>
      <c r="H85" s="388"/>
      <c r="I85" s="388"/>
      <c r="J85" s="388"/>
      <c r="K85" s="388"/>
      <c r="L85" s="388"/>
      <c r="M85" s="388"/>
      <c r="N85" s="388"/>
      <c r="O85" s="388"/>
      <c r="P85" s="388"/>
      <c r="Q85" s="388"/>
      <c r="R85" s="388"/>
    </row>
    <row r="86" spans="1:18" ht="15" x14ac:dyDescent="0.25">
      <c r="A86" s="562">
        <v>41</v>
      </c>
      <c r="B86" s="563">
        <v>0</v>
      </c>
      <c r="C86" s="437">
        <f>IFERROR('Device Resistance Tables'!D64,NA())</f>
        <v>8459.8118233719997</v>
      </c>
      <c r="D86" s="388"/>
      <c r="E86" s="388"/>
      <c r="F86" s="388"/>
      <c r="G86" s="388"/>
      <c r="H86" s="388"/>
      <c r="I86" s="388"/>
      <c r="J86" s="388"/>
      <c r="K86" s="388"/>
      <c r="L86" s="388"/>
      <c r="M86" s="388"/>
      <c r="N86" s="388"/>
      <c r="O86" s="388"/>
      <c r="P86" s="388"/>
      <c r="Q86" s="388"/>
      <c r="R86" s="388"/>
    </row>
    <row r="87" spans="1:18" ht="15" x14ac:dyDescent="0.25">
      <c r="A87" s="562">
        <v>42</v>
      </c>
      <c r="B87" s="563">
        <v>1</v>
      </c>
      <c r="C87" s="437">
        <f>IFERROR('Device Resistance Tables'!D65,NA())</f>
        <v>8515.1456581390212</v>
      </c>
      <c r="D87" s="388"/>
      <c r="E87" s="388"/>
      <c r="F87" s="388"/>
      <c r="G87" s="388"/>
      <c r="H87" s="388"/>
      <c r="I87" s="388"/>
      <c r="J87" s="388"/>
      <c r="K87" s="388"/>
      <c r="L87" s="388"/>
      <c r="M87" s="388"/>
      <c r="N87" s="388"/>
      <c r="O87" s="388"/>
      <c r="P87" s="388"/>
      <c r="Q87" s="388"/>
      <c r="R87" s="388"/>
    </row>
    <row r="88" spans="1:18" ht="15" x14ac:dyDescent="0.25">
      <c r="A88" s="562">
        <v>43</v>
      </c>
      <c r="B88" s="563">
        <v>2</v>
      </c>
      <c r="C88" s="437">
        <f>IFERROR('Device Resistance Tables'!D66,NA())</f>
        <v>8570.786542488293</v>
      </c>
      <c r="D88" s="388"/>
      <c r="E88" s="388"/>
      <c r="F88" s="388"/>
      <c r="G88" s="388"/>
      <c r="H88" s="388"/>
      <c r="I88" s="388"/>
      <c r="J88" s="388"/>
      <c r="K88" s="388"/>
      <c r="L88" s="388"/>
      <c r="M88" s="388"/>
      <c r="N88" s="388"/>
      <c r="O88" s="388"/>
      <c r="P88" s="388"/>
      <c r="Q88" s="388"/>
      <c r="R88" s="388"/>
    </row>
    <row r="89" spans="1:18" ht="15" x14ac:dyDescent="0.25">
      <c r="A89" s="562">
        <v>44</v>
      </c>
      <c r="B89" s="563">
        <v>3</v>
      </c>
      <c r="C89" s="437">
        <f>IFERROR('Device Resistance Tables'!D67,NA())</f>
        <v>8626.7335649647139</v>
      </c>
      <c r="D89" s="388"/>
      <c r="E89" s="388"/>
      <c r="F89" s="388"/>
      <c r="G89" s="388"/>
      <c r="H89" s="388"/>
      <c r="I89" s="388"/>
      <c r="J89" s="388"/>
      <c r="K89" s="388"/>
      <c r="L89" s="388"/>
      <c r="M89" s="388"/>
      <c r="N89" s="388"/>
      <c r="O89" s="388"/>
      <c r="P89" s="388"/>
      <c r="Q89" s="388"/>
      <c r="R89" s="388"/>
    </row>
    <row r="90" spans="1:18" ht="15" x14ac:dyDescent="0.25">
      <c r="A90" s="562">
        <v>45</v>
      </c>
      <c r="B90" s="563">
        <v>4</v>
      </c>
      <c r="C90" s="437">
        <f>IFERROR('Device Resistance Tables'!D68,NA())</f>
        <v>8682.9858573646234</v>
      </c>
      <c r="D90" s="388"/>
      <c r="E90" s="388"/>
      <c r="F90" s="388"/>
      <c r="G90" s="388"/>
      <c r="H90" s="388"/>
      <c r="I90" s="388"/>
      <c r="J90" s="388"/>
      <c r="K90" s="388"/>
      <c r="L90" s="388"/>
      <c r="M90" s="388"/>
      <c r="N90" s="388"/>
      <c r="O90" s="388"/>
      <c r="P90" s="388"/>
      <c r="Q90" s="388"/>
      <c r="R90" s="388"/>
    </row>
    <row r="91" spans="1:18" ht="15" x14ac:dyDescent="0.25">
      <c r="A91" s="562">
        <v>46</v>
      </c>
      <c r="B91" s="563">
        <v>5</v>
      </c>
      <c r="C91" s="437">
        <f>IFERROR('Device Resistance Tables'!D69,NA())</f>
        <v>8739.5425947358053</v>
      </c>
      <c r="D91" s="388"/>
      <c r="E91" s="388"/>
      <c r="F91" s="388"/>
      <c r="G91" s="388"/>
      <c r="H91" s="388"/>
      <c r="I91" s="388"/>
      <c r="J91" s="388"/>
      <c r="K91" s="388"/>
      <c r="L91" s="388"/>
      <c r="M91" s="388"/>
      <c r="N91" s="388"/>
      <c r="O91" s="388"/>
      <c r="P91" s="388"/>
      <c r="Q91" s="388"/>
      <c r="R91" s="388"/>
    </row>
    <row r="92" spans="1:18" ht="15" x14ac:dyDescent="0.25">
      <c r="A92" s="562">
        <v>47</v>
      </c>
      <c r="B92" s="563">
        <v>6</v>
      </c>
      <c r="C92" s="437">
        <f>IFERROR('Device Resistance Tables'!D70,NA())</f>
        <v>8796.4029953774861</v>
      </c>
      <c r="D92" s="388"/>
      <c r="E92" s="388"/>
      <c r="F92" s="388"/>
      <c r="G92" s="388"/>
      <c r="H92" s="388"/>
      <c r="I92" s="388"/>
      <c r="J92" s="388"/>
      <c r="K92" s="388"/>
      <c r="L92" s="388"/>
      <c r="M92" s="388"/>
      <c r="N92" s="388"/>
      <c r="O92" s="388"/>
      <c r="P92" s="388"/>
      <c r="Q92" s="388"/>
      <c r="R92" s="388"/>
    </row>
    <row r="93" spans="1:18" ht="15" x14ac:dyDescent="0.25">
      <c r="A93" s="562">
        <v>48</v>
      </c>
      <c r="B93" s="563">
        <v>7</v>
      </c>
      <c r="C93" s="437">
        <f>IFERROR('Device Resistance Tables'!D71,NA())</f>
        <v>8853.5663208403312</v>
      </c>
      <c r="D93" s="388"/>
      <c r="E93" s="388"/>
      <c r="F93" s="388"/>
      <c r="G93" s="388"/>
      <c r="H93" s="388"/>
      <c r="I93" s="388"/>
      <c r="J93" s="388"/>
      <c r="K93" s="388"/>
      <c r="L93" s="388"/>
      <c r="M93" s="388"/>
      <c r="N93" s="388"/>
      <c r="O93" s="388"/>
      <c r="P93" s="388"/>
      <c r="Q93" s="388"/>
      <c r="R93" s="388"/>
    </row>
    <row r="94" spans="1:18" ht="15" x14ac:dyDescent="0.25">
      <c r="A94" s="562">
        <v>49</v>
      </c>
      <c r="B94" s="563">
        <v>8</v>
      </c>
      <c r="C94" s="437">
        <f>IFERROR('Device Resistance Tables'!D72,NA())</f>
        <v>8911.0318759264446</v>
      </c>
      <c r="D94" s="388"/>
      <c r="E94" s="388"/>
      <c r="F94" s="388"/>
      <c r="G94" s="388"/>
      <c r="H94" s="388"/>
      <c r="I94" s="388"/>
      <c r="J94" s="388"/>
      <c r="K94" s="388"/>
      <c r="L94" s="388"/>
      <c r="M94" s="388"/>
      <c r="N94" s="388"/>
      <c r="O94" s="388"/>
      <c r="P94" s="388"/>
      <c r="Q94" s="388"/>
      <c r="R94" s="388"/>
    </row>
    <row r="95" spans="1:18" ht="15" x14ac:dyDescent="0.25">
      <c r="A95" s="562">
        <v>50</v>
      </c>
      <c r="B95" s="563">
        <v>9</v>
      </c>
      <c r="C95" s="437">
        <f>IFERROR('Device Resistance Tables'!D73,NA())</f>
        <v>8968.7990086893751</v>
      </c>
      <c r="D95" s="388"/>
      <c r="E95" s="388"/>
      <c r="F95" s="388"/>
      <c r="G95" s="388"/>
      <c r="H95" s="388"/>
      <c r="I95" s="388"/>
      <c r="J95" s="388"/>
      <c r="K95" s="388"/>
      <c r="L95" s="388"/>
      <c r="M95" s="388"/>
      <c r="N95" s="388"/>
      <c r="O95" s="388"/>
      <c r="P95" s="388"/>
      <c r="Q95" s="388"/>
      <c r="R95" s="388"/>
    </row>
    <row r="96" spans="1:18" ht="15" x14ac:dyDescent="0.25">
      <c r="A96" s="562">
        <v>51</v>
      </c>
      <c r="B96" s="563">
        <v>10</v>
      </c>
      <c r="C96" s="437">
        <f>IFERROR('Device Resistance Tables'!D74,NA())</f>
        <v>9026.8671104341156</v>
      </c>
      <c r="D96" s="388"/>
      <c r="E96" s="388"/>
      <c r="F96" s="388"/>
      <c r="G96" s="388"/>
      <c r="H96" s="388"/>
      <c r="I96" s="388"/>
      <c r="J96" s="388"/>
      <c r="K96" s="388"/>
      <c r="L96" s="388"/>
      <c r="M96" s="388"/>
      <c r="N96" s="388"/>
      <c r="O96" s="388"/>
      <c r="P96" s="388"/>
      <c r="Q96" s="388"/>
      <c r="R96" s="388"/>
    </row>
    <row r="97" spans="1:18" ht="15" x14ac:dyDescent="0.25">
      <c r="A97" s="562">
        <v>52</v>
      </c>
      <c r="B97" s="563">
        <v>11</v>
      </c>
      <c r="C97" s="437">
        <f>IFERROR('Device Resistance Tables'!D75,NA())</f>
        <v>9085.2356157170925</v>
      </c>
      <c r="D97" s="388"/>
      <c r="E97" s="388"/>
      <c r="F97" s="388"/>
      <c r="G97" s="388"/>
      <c r="H97" s="388"/>
      <c r="I97" s="388"/>
      <c r="J97" s="388"/>
      <c r="K97" s="388"/>
      <c r="L97" s="388"/>
      <c r="M97" s="388"/>
      <c r="N97" s="388"/>
      <c r="O97" s="388"/>
      <c r="P97" s="388"/>
      <c r="Q97" s="388"/>
      <c r="R97" s="388"/>
    </row>
    <row r="98" spans="1:18" ht="15" x14ac:dyDescent="0.25">
      <c r="A98" s="562">
        <v>53</v>
      </c>
      <c r="B98" s="563">
        <v>12</v>
      </c>
      <c r="C98" s="437">
        <f>IFERROR('Device Resistance Tables'!D76,NA())</f>
        <v>9143.9040023461821</v>
      </c>
      <c r="D98" s="388"/>
      <c r="E98" s="388"/>
      <c r="F98" s="388"/>
      <c r="G98" s="388"/>
      <c r="H98" s="388"/>
      <c r="I98" s="388"/>
      <c r="J98" s="388"/>
      <c r="K98" s="388"/>
      <c r="L98" s="388"/>
      <c r="M98" s="388"/>
      <c r="N98" s="388"/>
      <c r="O98" s="388"/>
      <c r="P98" s="388"/>
      <c r="Q98" s="388"/>
      <c r="R98" s="388"/>
    </row>
    <row r="99" spans="1:18" ht="15" x14ac:dyDescent="0.25">
      <c r="A99" s="562">
        <v>54</v>
      </c>
      <c r="B99" s="563">
        <v>13</v>
      </c>
      <c r="C99" s="437">
        <f>IFERROR('Device Resistance Tables'!D77,NA())</f>
        <v>9202.8717913806922</v>
      </c>
      <c r="D99" s="388"/>
      <c r="E99" s="388"/>
      <c r="F99" s="388"/>
      <c r="G99" s="388"/>
      <c r="H99" s="388"/>
      <c r="I99" s="388"/>
      <c r="J99" s="388"/>
      <c r="K99" s="388"/>
      <c r="L99" s="388"/>
      <c r="M99" s="388"/>
      <c r="N99" s="388"/>
      <c r="O99" s="388"/>
      <c r="P99" s="388"/>
      <c r="Q99" s="388"/>
      <c r="R99" s="388"/>
    </row>
    <row r="100" spans="1:18" ht="15" x14ac:dyDescent="0.25">
      <c r="A100" s="562">
        <v>55</v>
      </c>
      <c r="B100" s="563">
        <v>14</v>
      </c>
      <c r="C100" s="437">
        <f>IFERROR('Device Resistance Tables'!D78,NA())</f>
        <v>9262.1385471313806</v>
      </c>
      <c r="D100" s="388"/>
      <c r="E100" s="388"/>
      <c r="F100" s="388"/>
      <c r="G100" s="388"/>
      <c r="H100" s="388"/>
      <c r="I100" s="388"/>
      <c r="J100" s="388"/>
      <c r="K100" s="388"/>
      <c r="L100" s="388"/>
      <c r="M100" s="388"/>
      <c r="N100" s="388"/>
      <c r="O100" s="388"/>
      <c r="P100" s="388"/>
      <c r="Q100" s="388"/>
      <c r="R100" s="388"/>
    </row>
    <row r="101" spans="1:18" ht="15" x14ac:dyDescent="0.25">
      <c r="A101" s="562">
        <v>56</v>
      </c>
      <c r="B101" s="563">
        <v>15</v>
      </c>
      <c r="C101" s="437">
        <f>IFERROR('Device Resistance Tables'!D79,NA())</f>
        <v>9321.7038771604457</v>
      </c>
      <c r="D101" s="388"/>
      <c r="E101" s="388"/>
      <c r="F101" s="388"/>
      <c r="G101" s="388"/>
      <c r="H101" s="388"/>
      <c r="I101" s="388"/>
      <c r="J101" s="388"/>
      <c r="K101" s="388"/>
      <c r="L101" s="388"/>
      <c r="M101" s="388"/>
      <c r="N101" s="388"/>
      <c r="O101" s="388"/>
      <c r="P101" s="388"/>
      <c r="Q101" s="388"/>
      <c r="R101" s="388"/>
    </row>
    <row r="102" spans="1:18" ht="15" x14ac:dyDescent="0.25">
      <c r="A102" s="562">
        <v>57</v>
      </c>
      <c r="B102" s="563">
        <v>16</v>
      </c>
      <c r="C102" s="437">
        <f>IFERROR('Device Resistance Tables'!D80,NA())</f>
        <v>9381.5674322815212</v>
      </c>
      <c r="D102" s="388"/>
      <c r="E102" s="388"/>
      <c r="F102" s="388"/>
      <c r="G102" s="388"/>
      <c r="H102" s="388"/>
      <c r="I102" s="388"/>
      <c r="J102" s="388"/>
      <c r="K102" s="388"/>
      <c r="L102" s="388"/>
      <c r="M102" s="388"/>
      <c r="N102" s="388"/>
      <c r="O102" s="388"/>
      <c r="P102" s="388"/>
      <c r="Q102" s="388"/>
      <c r="R102" s="388"/>
    </row>
    <row r="103" spans="1:18" ht="15" x14ac:dyDescent="0.25">
      <c r="A103" s="562">
        <v>58</v>
      </c>
      <c r="B103" s="563">
        <v>17</v>
      </c>
      <c r="C103" s="437">
        <f>IFERROR('Device Resistance Tables'!D81,NA())</f>
        <v>9441.7289065596888</v>
      </c>
      <c r="D103" s="388"/>
      <c r="E103" s="388"/>
      <c r="F103" s="388"/>
      <c r="G103" s="388"/>
      <c r="H103" s="388"/>
      <c r="I103" s="388"/>
      <c r="J103" s="388"/>
      <c r="K103" s="388"/>
      <c r="L103" s="388"/>
      <c r="M103" s="388"/>
      <c r="N103" s="388"/>
      <c r="O103" s="388"/>
      <c r="P103" s="388"/>
      <c r="Q103" s="388"/>
      <c r="R103" s="388"/>
    </row>
    <row r="104" spans="1:18" ht="15" x14ac:dyDescent="0.25">
      <c r="A104" s="562">
        <v>59</v>
      </c>
      <c r="B104" s="563">
        <v>18</v>
      </c>
      <c r="C104" s="437">
        <f>IFERROR('Device Resistance Tables'!D82,NA())</f>
        <v>9502.1880373114636</v>
      </c>
      <c r="D104" s="388"/>
      <c r="E104" s="388"/>
      <c r="F104" s="388"/>
      <c r="G104" s="388"/>
      <c r="H104" s="388"/>
      <c r="I104" s="388"/>
      <c r="J104" s="388"/>
      <c r="K104" s="388"/>
      <c r="L104" s="388"/>
      <c r="M104" s="388"/>
      <c r="N104" s="388"/>
      <c r="O104" s="388"/>
      <c r="P104" s="388"/>
      <c r="Q104" s="388"/>
      <c r="R104" s="388"/>
    </row>
    <row r="105" spans="1:18" ht="15" x14ac:dyDescent="0.25">
      <c r="A105" s="562">
        <v>60</v>
      </c>
      <c r="B105" s="563">
        <v>19</v>
      </c>
      <c r="C105" s="437">
        <f>IFERROR('Device Resistance Tables'!D83,NA())</f>
        <v>9562.9446051048089</v>
      </c>
      <c r="D105" s="388"/>
      <c r="E105" s="388"/>
      <c r="F105" s="388"/>
      <c r="G105" s="388"/>
      <c r="H105" s="388"/>
      <c r="I105" s="388"/>
      <c r="J105" s="388"/>
      <c r="K105" s="388"/>
      <c r="L105" s="388"/>
      <c r="M105" s="388"/>
      <c r="N105" s="388"/>
      <c r="O105" s="388"/>
      <c r="P105" s="388"/>
      <c r="Q105" s="388"/>
      <c r="R105" s="388"/>
    </row>
    <row r="106" spans="1:18" ht="15" x14ac:dyDescent="0.25">
      <c r="A106" s="562">
        <v>61</v>
      </c>
      <c r="B106" s="563">
        <v>20</v>
      </c>
      <c r="C106" s="437">
        <f>IFERROR('Device Resistance Tables'!D84,NA())</f>
        <v>9623.9984337591304</v>
      </c>
      <c r="D106" s="388"/>
      <c r="E106" s="388"/>
      <c r="F106" s="388"/>
      <c r="G106" s="388"/>
      <c r="H106" s="388"/>
      <c r="I106" s="388"/>
      <c r="J106" s="388"/>
      <c r="K106" s="388"/>
      <c r="L106" s="388"/>
      <c r="M106" s="388"/>
      <c r="N106" s="388"/>
      <c r="O106" s="388"/>
      <c r="P106" s="388"/>
      <c r="Q106" s="388"/>
      <c r="R106" s="388"/>
    </row>
    <row r="107" spans="1:18" ht="15" x14ac:dyDescent="0.25">
      <c r="A107" s="562">
        <v>62</v>
      </c>
      <c r="B107" s="563">
        <v>21</v>
      </c>
      <c r="C107" s="437">
        <f>IFERROR('Device Resistance Tables'!D85,NA())</f>
        <v>9685.3493903452709</v>
      </c>
      <c r="D107" s="388"/>
      <c r="E107" s="388"/>
      <c r="F107" s="388"/>
      <c r="G107" s="388"/>
      <c r="H107" s="388"/>
      <c r="I107" s="388"/>
      <c r="J107" s="388"/>
      <c r="K107" s="388"/>
      <c r="L107" s="388"/>
      <c r="M107" s="388"/>
      <c r="N107" s="388"/>
      <c r="O107" s="388"/>
      <c r="P107" s="388"/>
      <c r="Q107" s="388"/>
      <c r="R107" s="388"/>
    </row>
    <row r="108" spans="1:18" ht="15" x14ac:dyDescent="0.25">
      <c r="A108" s="562">
        <v>63</v>
      </c>
      <c r="B108" s="563">
        <v>22</v>
      </c>
      <c r="C108" s="437">
        <f>IFERROR('Device Resistance Tables'!D86,NA())</f>
        <v>9746.9973851855102</v>
      </c>
      <c r="D108" s="388"/>
      <c r="E108" s="388"/>
      <c r="F108" s="388"/>
      <c r="G108" s="388"/>
      <c r="H108" s="388"/>
      <c r="I108" s="388"/>
      <c r="J108" s="388"/>
      <c r="K108" s="388"/>
      <c r="L108" s="388"/>
      <c r="M108" s="388"/>
      <c r="N108" s="388"/>
      <c r="O108" s="388"/>
      <c r="P108" s="388"/>
      <c r="Q108" s="388"/>
      <c r="R108" s="388"/>
    </row>
    <row r="109" spans="1:18" ht="15" x14ac:dyDescent="0.25">
      <c r="A109" s="562">
        <v>64</v>
      </c>
      <c r="B109" s="563">
        <v>23</v>
      </c>
      <c r="C109" s="437">
        <f>IFERROR('Device Resistance Tables'!D87,NA())</f>
        <v>9808.94237185358</v>
      </c>
      <c r="D109" s="388"/>
      <c r="E109" s="388"/>
      <c r="F109" s="388"/>
      <c r="G109" s="388"/>
      <c r="H109" s="388"/>
      <c r="I109" s="388"/>
      <c r="J109" s="388"/>
      <c r="K109" s="388"/>
      <c r="L109" s="388"/>
      <c r="M109" s="388"/>
      <c r="N109" s="388"/>
      <c r="O109" s="388"/>
      <c r="P109" s="388"/>
      <c r="Q109" s="388"/>
      <c r="R109" s="388"/>
    </row>
    <row r="110" spans="1:18" ht="15" x14ac:dyDescent="0.25">
      <c r="A110" s="562">
        <v>65</v>
      </c>
      <c r="B110" s="611">
        <v>24</v>
      </c>
      <c r="C110" s="437">
        <f>IFERROR('Device Resistance Tables'!D88,NA())</f>
        <v>9871.1843471746452</v>
      </c>
      <c r="D110" s="388"/>
      <c r="E110" s="388"/>
      <c r="F110" s="388"/>
      <c r="G110" s="388"/>
      <c r="H110" s="388"/>
      <c r="I110" s="388"/>
      <c r="J110" s="388"/>
      <c r="K110" s="388"/>
      <c r="L110" s="388"/>
      <c r="M110" s="388"/>
      <c r="N110" s="388"/>
      <c r="O110" s="388"/>
      <c r="P110" s="388"/>
      <c r="Q110" s="388"/>
      <c r="R110" s="388"/>
    </row>
    <row r="111" spans="1:18" ht="15" x14ac:dyDescent="0.25">
      <c r="A111" s="562">
        <v>66</v>
      </c>
      <c r="B111" s="573">
        <v>25</v>
      </c>
      <c r="C111" s="437">
        <f>IFERROR('Device Resistance Tables'!D89,NA())</f>
        <v>9933.7233512253169</v>
      </c>
      <c r="D111" s="388"/>
      <c r="E111" s="388"/>
      <c r="F111" s="388"/>
      <c r="G111" s="388"/>
      <c r="H111" s="388"/>
      <c r="I111" s="388"/>
      <c r="J111" s="388"/>
      <c r="K111" s="388"/>
      <c r="L111" s="388"/>
      <c r="M111" s="388"/>
      <c r="N111" s="388"/>
      <c r="O111" s="388"/>
      <c r="P111" s="388"/>
      <c r="Q111" s="388"/>
      <c r="R111" s="388"/>
    </row>
    <row r="112" spans="1:18" ht="15" x14ac:dyDescent="0.25">
      <c r="A112" s="562">
        <v>67</v>
      </c>
      <c r="B112" s="563">
        <v>26</v>
      </c>
      <c r="C112" s="437">
        <f>IFERROR('Device Resistance Tables'!D90,NA())</f>
        <v>9996.5594673336454</v>
      </c>
      <c r="D112" s="388"/>
      <c r="E112" s="388"/>
      <c r="F112" s="388"/>
      <c r="G112" s="388"/>
      <c r="H112" s="388"/>
      <c r="I112" s="388"/>
      <c r="J112" s="388"/>
      <c r="K112" s="388"/>
      <c r="L112" s="388"/>
      <c r="M112" s="388"/>
      <c r="N112" s="388"/>
      <c r="O112" s="388"/>
      <c r="P112" s="388"/>
      <c r="Q112" s="388"/>
      <c r="R112" s="388"/>
    </row>
    <row r="113" spans="1:18" ht="15" x14ac:dyDescent="0.25">
      <c r="A113" s="562">
        <v>68</v>
      </c>
      <c r="B113" s="563">
        <v>27</v>
      </c>
      <c r="C113" s="437">
        <f>IFERROR('Device Resistance Tables'!D91,NA())</f>
        <v>10059.692822079123</v>
      </c>
      <c r="D113" s="388"/>
      <c r="E113" s="388"/>
      <c r="F113" s="388"/>
      <c r="G113" s="388"/>
      <c r="H113" s="388"/>
      <c r="I113" s="388"/>
      <c r="J113" s="388"/>
      <c r="K113" s="388"/>
      <c r="L113" s="388"/>
      <c r="M113" s="388"/>
      <c r="N113" s="388"/>
      <c r="O113" s="388"/>
      <c r="P113" s="388"/>
      <c r="Q113" s="388"/>
      <c r="R113" s="388"/>
    </row>
    <row r="114" spans="1:18" ht="15" x14ac:dyDescent="0.25">
      <c r="A114" s="562">
        <v>69</v>
      </c>
      <c r="B114" s="563">
        <v>28</v>
      </c>
      <c r="C114" s="437">
        <f>IFERROR('Device Resistance Tables'!D92,NA())</f>
        <v>10123.123585292678</v>
      </c>
      <c r="D114" s="388"/>
      <c r="E114" s="388"/>
      <c r="F114" s="388"/>
      <c r="G114" s="388"/>
      <c r="H114" s="388"/>
      <c r="I114" s="388"/>
      <c r="J114" s="388"/>
      <c r="K114" s="388"/>
      <c r="L114" s="388"/>
      <c r="M114" s="388"/>
      <c r="N114" s="388"/>
      <c r="O114" s="388"/>
      <c r="P114" s="388"/>
      <c r="Q114" s="388"/>
      <c r="R114" s="388"/>
    </row>
    <row r="115" spans="1:18" ht="15" x14ac:dyDescent="0.25">
      <c r="A115" s="562">
        <v>70</v>
      </c>
      <c r="B115" s="563">
        <v>29</v>
      </c>
      <c r="C115" s="437">
        <f>IFERROR('Device Resistance Tables'!D93,NA())</f>
        <v>10186.851970056689</v>
      </c>
      <c r="D115" s="388"/>
      <c r="E115" s="388"/>
      <c r="F115" s="388"/>
      <c r="G115" s="388"/>
      <c r="H115" s="388"/>
      <c r="I115" s="388"/>
      <c r="J115" s="388"/>
      <c r="K115" s="388"/>
      <c r="L115" s="388"/>
      <c r="M115" s="388"/>
      <c r="N115" s="388"/>
      <c r="O115" s="388"/>
      <c r="P115" s="388"/>
      <c r="Q115" s="388"/>
      <c r="R115" s="388"/>
    </row>
    <row r="116" spans="1:18" ht="15" x14ac:dyDescent="0.25">
      <c r="A116" s="562">
        <v>71</v>
      </c>
      <c r="B116" s="563">
        <v>30</v>
      </c>
      <c r="C116" s="437">
        <f>IFERROR('Device Resistance Tables'!D94,NA())</f>
        <v>10250.878232704968</v>
      </c>
      <c r="D116" s="388"/>
      <c r="E116" s="388"/>
      <c r="F116" s="388"/>
      <c r="G116" s="388"/>
      <c r="H116" s="388"/>
      <c r="I116" s="388"/>
      <c r="J116" s="388"/>
      <c r="K116" s="388"/>
      <c r="L116" s="388"/>
      <c r="M116" s="388"/>
      <c r="N116" s="388"/>
      <c r="O116" s="388"/>
      <c r="P116" s="388"/>
      <c r="Q116" s="388"/>
      <c r="R116" s="388"/>
    </row>
    <row r="117" spans="1:18" ht="15" x14ac:dyDescent="0.25">
      <c r="A117" s="562">
        <v>72</v>
      </c>
      <c r="B117" s="563">
        <v>31</v>
      </c>
      <c r="C117" s="437">
        <f>IFERROR('Device Resistance Tables'!D95,NA())</f>
        <v>10315.202672822779</v>
      </c>
      <c r="D117" s="388"/>
      <c r="E117" s="388"/>
      <c r="F117" s="388"/>
      <c r="G117" s="388"/>
      <c r="H117" s="388"/>
      <c r="I117" s="388"/>
      <c r="J117" s="388"/>
      <c r="K117" s="388"/>
      <c r="L117" s="388"/>
      <c r="M117" s="388"/>
      <c r="N117" s="388"/>
      <c r="O117" s="388"/>
      <c r="P117" s="388"/>
      <c r="Q117" s="388"/>
      <c r="R117" s="388"/>
    </row>
    <row r="118" spans="1:18" ht="15" x14ac:dyDescent="0.25">
      <c r="A118" s="562">
        <v>73</v>
      </c>
      <c r="B118" s="563">
        <v>32</v>
      </c>
      <c r="C118" s="437">
        <f>IFERROR('Device Resistance Tables'!D96,NA())</f>
        <v>10379.82563324681</v>
      </c>
      <c r="D118" s="388"/>
      <c r="E118" s="388"/>
      <c r="F118" s="388"/>
      <c r="G118" s="388"/>
      <c r="H118" s="388"/>
      <c r="I118" s="388"/>
      <c r="J118" s="388"/>
      <c r="K118" s="388"/>
      <c r="L118" s="388"/>
      <c r="M118" s="388"/>
      <c r="N118" s="388"/>
      <c r="O118" s="388"/>
      <c r="P118" s="388"/>
      <c r="Q118" s="388"/>
      <c r="R118" s="388"/>
    </row>
    <row r="119" spans="1:18" ht="15" x14ac:dyDescent="0.25">
      <c r="A119" s="562">
        <v>74</v>
      </c>
      <c r="B119" s="563">
        <v>33</v>
      </c>
      <c r="C119" s="437">
        <f>IFERROR('Device Resistance Tables'!D97,NA())</f>
        <v>10444.747500065207</v>
      </c>
      <c r="D119" s="388"/>
      <c r="E119" s="388"/>
      <c r="F119" s="388"/>
      <c r="G119" s="388"/>
      <c r="H119" s="388"/>
      <c r="I119" s="388"/>
      <c r="J119" s="388"/>
      <c r="K119" s="388"/>
      <c r="L119" s="388"/>
      <c r="M119" s="388"/>
      <c r="N119" s="388"/>
      <c r="O119" s="388"/>
      <c r="P119" s="388"/>
      <c r="Q119" s="388"/>
      <c r="R119" s="388"/>
    </row>
    <row r="120" spans="1:18" ht="15" x14ac:dyDescent="0.25">
      <c r="A120" s="562">
        <v>75</v>
      </c>
      <c r="B120" s="563">
        <v>34</v>
      </c>
      <c r="C120" s="437">
        <f>IFERROR('Device Resistance Tables'!D98,NA())</f>
        <v>10509.968702617549</v>
      </c>
      <c r="D120" s="388"/>
      <c r="E120" s="388"/>
      <c r="F120" s="388"/>
      <c r="G120" s="388"/>
      <c r="H120" s="388"/>
      <c r="I120" s="388"/>
      <c r="J120" s="388"/>
      <c r="K120" s="388"/>
      <c r="L120" s="388"/>
      <c r="M120" s="388"/>
      <c r="N120" s="388"/>
      <c r="O120" s="388"/>
      <c r="P120" s="388"/>
      <c r="Q120" s="388"/>
      <c r="R120" s="388"/>
    </row>
    <row r="121" spans="1:18" ht="15" x14ac:dyDescent="0.25">
      <c r="A121" s="562">
        <v>76</v>
      </c>
      <c r="B121" s="563">
        <v>35</v>
      </c>
      <c r="C121" s="437">
        <f>IFERROR('Device Resistance Tables'!D99,NA())</f>
        <v>10575.489713494859</v>
      </c>
      <c r="D121" s="388"/>
      <c r="E121" s="388"/>
      <c r="F121" s="388"/>
      <c r="G121" s="388"/>
      <c r="H121" s="388"/>
      <c r="I121" s="388"/>
      <c r="J121" s="388"/>
      <c r="K121" s="388"/>
      <c r="L121" s="388"/>
      <c r="M121" s="388"/>
      <c r="N121" s="388"/>
      <c r="O121" s="388"/>
      <c r="P121" s="388"/>
      <c r="Q121" s="388"/>
      <c r="R121" s="388"/>
    </row>
    <row r="122" spans="1:18" ht="15" x14ac:dyDescent="0.25">
      <c r="A122" s="562">
        <v>77</v>
      </c>
      <c r="B122" s="563">
        <v>36</v>
      </c>
      <c r="C122" s="437">
        <f>IFERROR('Device Resistance Tables'!D100,NA())</f>
        <v>10641.311048539599</v>
      </c>
      <c r="D122" s="388"/>
      <c r="E122" s="388"/>
      <c r="F122" s="388"/>
      <c r="G122" s="388"/>
      <c r="H122" s="388"/>
      <c r="I122" s="388"/>
      <c r="J122" s="388"/>
      <c r="K122" s="388"/>
      <c r="L122" s="388"/>
      <c r="M122" s="388"/>
      <c r="N122" s="388"/>
      <c r="O122" s="388"/>
      <c r="P122" s="388"/>
      <c r="Q122" s="388"/>
      <c r="R122" s="388"/>
    </row>
    <row r="123" spans="1:18" ht="15" x14ac:dyDescent="0.25">
      <c r="A123" s="562">
        <v>78</v>
      </c>
      <c r="B123" s="563">
        <v>37</v>
      </c>
      <c r="C123" s="437">
        <f>IFERROR('Device Resistance Tables'!D101,NA())</f>
        <v>10707.433266845675</v>
      </c>
      <c r="D123" s="388"/>
      <c r="E123" s="388"/>
      <c r="F123" s="388"/>
      <c r="G123" s="388"/>
      <c r="H123" s="388"/>
      <c r="I123" s="388"/>
      <c r="J123" s="388"/>
      <c r="K123" s="388"/>
      <c r="L123" s="388"/>
      <c r="M123" s="388"/>
      <c r="N123" s="388"/>
      <c r="O123" s="388"/>
      <c r="P123" s="388"/>
      <c r="Q123" s="388"/>
      <c r="R123" s="388"/>
    </row>
    <row r="124" spans="1:18" ht="15" x14ac:dyDescent="0.25">
      <c r="A124" s="562">
        <v>79</v>
      </c>
      <c r="B124" s="563">
        <v>38</v>
      </c>
      <c r="C124" s="437">
        <f>IFERROR('Device Resistance Tables'!D102,NA())</f>
        <v>10773.85697075843</v>
      </c>
      <c r="D124" s="388"/>
      <c r="E124" s="388"/>
      <c r="F124" s="388"/>
      <c r="G124" s="388"/>
      <c r="H124" s="388"/>
      <c r="I124" s="388"/>
      <c r="J124" s="388"/>
      <c r="K124" s="388"/>
      <c r="L124" s="388"/>
      <c r="M124" s="388"/>
      <c r="N124" s="388"/>
      <c r="O124" s="388"/>
      <c r="P124" s="388"/>
      <c r="Q124" s="388"/>
      <c r="R124" s="388"/>
    </row>
    <row r="125" spans="1:18" ht="15" x14ac:dyDescent="0.25">
      <c r="A125" s="562">
        <v>80</v>
      </c>
      <c r="B125" s="563">
        <v>39</v>
      </c>
      <c r="C125" s="437">
        <f>IFERROR('Device Resistance Tables'!D103,NA())</f>
        <v>10840.582805874654</v>
      </c>
      <c r="D125" s="388"/>
      <c r="E125" s="388"/>
      <c r="F125" s="388"/>
      <c r="G125" s="388"/>
      <c r="H125" s="388"/>
      <c r="I125" s="388"/>
      <c r="J125" s="388"/>
      <c r="K125" s="388"/>
      <c r="L125" s="388"/>
      <c r="M125" s="388"/>
      <c r="N125" s="388"/>
      <c r="O125" s="388"/>
      <c r="P125" s="388"/>
      <c r="Q125" s="388"/>
      <c r="R125" s="388"/>
    </row>
    <row r="126" spans="1:18" ht="15" x14ac:dyDescent="0.25">
      <c r="A126" s="562">
        <v>81</v>
      </c>
      <c r="B126" s="563">
        <v>40</v>
      </c>
      <c r="C126" s="437">
        <f>IFERROR('Device Resistance Tables'!D104,NA())</f>
        <v>10907.611461042574</v>
      </c>
      <c r="D126" s="388"/>
      <c r="E126" s="388"/>
      <c r="F126" s="388"/>
      <c r="G126" s="388"/>
      <c r="H126" s="388"/>
      <c r="I126" s="388"/>
      <c r="J126" s="388"/>
      <c r="K126" s="388"/>
      <c r="L126" s="388"/>
      <c r="M126" s="388"/>
      <c r="N126" s="388"/>
      <c r="O126" s="388"/>
      <c r="P126" s="388"/>
      <c r="Q126" s="388"/>
      <c r="R126" s="388"/>
    </row>
    <row r="127" spans="1:18" ht="15" x14ac:dyDescent="0.25">
      <c r="A127" s="562">
        <v>82</v>
      </c>
      <c r="B127" s="563">
        <v>41</v>
      </c>
      <c r="C127" s="437">
        <f>IFERROR('Device Resistance Tables'!D105,NA())</f>
        <v>10974.943668361862</v>
      </c>
      <c r="D127" s="388"/>
      <c r="E127" s="388"/>
      <c r="F127" s="388"/>
      <c r="G127" s="388"/>
      <c r="H127" s="388"/>
      <c r="I127" s="388"/>
      <c r="J127" s="388"/>
      <c r="K127" s="388"/>
      <c r="L127" s="388"/>
      <c r="M127" s="388"/>
      <c r="N127" s="388"/>
      <c r="O127" s="388"/>
      <c r="P127" s="388"/>
      <c r="Q127" s="388"/>
      <c r="R127" s="388"/>
    </row>
    <row r="128" spans="1:18" ht="15" x14ac:dyDescent="0.25">
      <c r="A128" s="562">
        <v>83</v>
      </c>
      <c r="B128" s="563">
        <v>42</v>
      </c>
      <c r="C128" s="437">
        <f>IFERROR('Device Resistance Tables'!D106,NA())</f>
        <v>11042.580203183627</v>
      </c>
      <c r="D128" s="388"/>
      <c r="E128" s="388"/>
      <c r="F128" s="388"/>
      <c r="G128" s="388"/>
      <c r="H128" s="388"/>
      <c r="I128" s="388"/>
      <c r="J128" s="388"/>
      <c r="K128" s="388"/>
      <c r="L128" s="388"/>
      <c r="M128" s="388"/>
      <c r="N128" s="388"/>
      <c r="O128" s="388"/>
      <c r="P128" s="388"/>
      <c r="Q128" s="388"/>
      <c r="R128" s="388"/>
    </row>
    <row r="129" spans="1:18" ht="15" x14ac:dyDescent="0.25">
      <c r="A129" s="562">
        <v>84</v>
      </c>
      <c r="B129" s="563">
        <v>43</v>
      </c>
      <c r="C129" s="437">
        <f>IFERROR('Device Resistance Tables'!D107,NA())</f>
        <v>11110.521884110422</v>
      </c>
      <c r="D129" s="388"/>
      <c r="E129" s="388"/>
      <c r="F129" s="388"/>
      <c r="G129" s="388"/>
      <c r="H129" s="388"/>
      <c r="I129" s="388"/>
      <c r="J129" s="388"/>
      <c r="K129" s="388"/>
      <c r="L129" s="388"/>
      <c r="M129" s="388"/>
      <c r="N129" s="388"/>
      <c r="O129" s="388"/>
      <c r="P129" s="388"/>
      <c r="Q129" s="388"/>
      <c r="R129" s="388"/>
    </row>
    <row r="130" spans="1:18" ht="15" x14ac:dyDescent="0.25">
      <c r="A130" s="562">
        <v>85</v>
      </c>
      <c r="B130" s="563">
        <v>44</v>
      </c>
      <c r="C130" s="437">
        <f>IFERROR('Device Resistance Tables'!D108,NA())</f>
        <v>11178.769572996238</v>
      </c>
      <c r="D130" s="388"/>
      <c r="E130" s="388"/>
      <c r="F130" s="388"/>
      <c r="G130" s="388"/>
      <c r="H130" s="388"/>
      <c r="I130" s="388"/>
      <c r="J130" s="388"/>
      <c r="K130" s="388"/>
      <c r="L130" s="388"/>
      <c r="M130" s="388"/>
      <c r="N130" s="388"/>
      <c r="O130" s="388"/>
      <c r="P130" s="388"/>
      <c r="Q130" s="388"/>
      <c r="R130" s="388"/>
    </row>
    <row r="131" spans="1:18" ht="15" x14ac:dyDescent="0.25">
      <c r="A131" s="562">
        <v>86</v>
      </c>
      <c r="B131" s="563">
        <v>45</v>
      </c>
      <c r="C131" s="437">
        <f>IFERROR('Device Resistance Tables'!D109,NA())</f>
        <v>11247.324174946516</v>
      </c>
      <c r="D131" s="388"/>
      <c r="E131" s="388"/>
      <c r="F131" s="388"/>
      <c r="G131" s="388"/>
      <c r="H131" s="388"/>
      <c r="I131" s="388"/>
      <c r="J131" s="388"/>
      <c r="K131" s="388"/>
      <c r="L131" s="388"/>
      <c r="M131" s="388"/>
      <c r="N131" s="388"/>
      <c r="O131" s="388"/>
      <c r="P131" s="388"/>
      <c r="Q131" s="388"/>
      <c r="R131" s="388"/>
    </row>
    <row r="132" spans="1:18" ht="15" x14ac:dyDescent="0.25">
      <c r="A132" s="562">
        <v>87</v>
      </c>
      <c r="B132" s="563">
        <v>46</v>
      </c>
      <c r="C132" s="437">
        <f>IFERROR('Device Resistance Tables'!D110,NA())</f>
        <v>11316.186638318128</v>
      </c>
      <c r="D132" s="388"/>
      <c r="E132" s="388"/>
      <c r="F132" s="388"/>
      <c r="G132" s="388"/>
      <c r="H132" s="388"/>
      <c r="I132" s="388"/>
      <c r="J132" s="388"/>
      <c r="K132" s="388"/>
      <c r="L132" s="388"/>
      <c r="M132" s="388"/>
      <c r="N132" s="388"/>
      <c r="O132" s="388"/>
      <c r="P132" s="388"/>
      <c r="Q132" s="388"/>
      <c r="R132" s="388"/>
    </row>
    <row r="133" spans="1:18" ht="15" x14ac:dyDescent="0.25">
      <c r="A133" s="562">
        <v>88</v>
      </c>
      <c r="B133" s="563">
        <v>47</v>
      </c>
      <c r="C133" s="437">
        <f>IFERROR('Device Resistance Tables'!D111,NA())</f>
        <v>11385.357954719393</v>
      </c>
      <c r="D133" s="388"/>
      <c r="E133" s="388"/>
      <c r="F133" s="388"/>
      <c r="G133" s="388"/>
      <c r="H133" s="388"/>
      <c r="I133" s="388"/>
      <c r="J133" s="388"/>
      <c r="K133" s="388"/>
      <c r="L133" s="388"/>
      <c r="M133" s="388"/>
      <c r="N133" s="388"/>
      <c r="O133" s="388"/>
      <c r="P133" s="388"/>
      <c r="Q133" s="388"/>
      <c r="R133" s="388"/>
    </row>
    <row r="134" spans="1:18" ht="15" x14ac:dyDescent="0.25">
      <c r="A134" s="562">
        <v>89</v>
      </c>
      <c r="B134" s="563">
        <v>48</v>
      </c>
      <c r="C134" s="437">
        <f>IFERROR('Device Resistance Tables'!D112,NA())</f>
        <v>11454.839159010069</v>
      </c>
      <c r="D134" s="388"/>
      <c r="E134" s="388"/>
      <c r="F134" s="388"/>
      <c r="G134" s="388"/>
      <c r="H134" s="388"/>
      <c r="I134" s="388"/>
      <c r="J134" s="388"/>
      <c r="K134" s="388"/>
      <c r="L134" s="388"/>
      <c r="M134" s="388"/>
      <c r="N134" s="388"/>
      <c r="O134" s="388"/>
      <c r="P134" s="388"/>
      <c r="Q134" s="388"/>
      <c r="R134" s="388"/>
    </row>
    <row r="135" spans="1:18" ht="15" x14ac:dyDescent="0.25">
      <c r="A135" s="562">
        <v>90</v>
      </c>
      <c r="B135" s="563">
        <v>49</v>
      </c>
      <c r="C135" s="437">
        <f>IFERROR('Device Resistance Tables'!D113,NA())</f>
        <v>11524.631329301359</v>
      </c>
      <c r="D135" s="388"/>
      <c r="E135" s="388"/>
      <c r="F135" s="388"/>
      <c r="G135" s="388"/>
      <c r="H135" s="388"/>
      <c r="I135" s="388"/>
      <c r="J135" s="388"/>
      <c r="K135" s="388"/>
      <c r="L135" s="388"/>
      <c r="M135" s="388"/>
      <c r="N135" s="388"/>
      <c r="O135" s="388"/>
      <c r="P135" s="388"/>
      <c r="Q135" s="388"/>
      <c r="R135" s="388"/>
    </row>
    <row r="136" spans="1:18" ht="15" x14ac:dyDescent="0.25">
      <c r="A136" s="562">
        <v>91</v>
      </c>
      <c r="B136" s="563">
        <v>50</v>
      </c>
      <c r="C136" s="437">
        <f>IFERROR('Device Resistance Tables'!D114,NA())</f>
        <v>11594.735586955901</v>
      </c>
      <c r="D136" s="388"/>
      <c r="E136" s="388"/>
      <c r="F136" s="388"/>
      <c r="G136" s="388"/>
      <c r="H136" s="388"/>
      <c r="I136" s="388"/>
      <c r="J136" s="388"/>
      <c r="K136" s="388"/>
      <c r="L136" s="388"/>
      <c r="M136" s="388"/>
      <c r="N136" s="388"/>
      <c r="O136" s="388"/>
      <c r="P136" s="388"/>
      <c r="Q136" s="388"/>
      <c r="R136" s="388"/>
    </row>
    <row r="137" spans="1:18" ht="15" x14ac:dyDescent="0.25">
      <c r="A137" s="562">
        <v>92</v>
      </c>
      <c r="B137" s="563">
        <v>51</v>
      </c>
      <c r="C137" s="437">
        <f>IFERROR('Device Resistance Tables'!D115,NA())</f>
        <v>11665.153096587779</v>
      </c>
      <c r="D137" s="388"/>
      <c r="E137" s="388"/>
      <c r="F137" s="388"/>
      <c r="G137" s="388"/>
      <c r="H137" s="388"/>
      <c r="I137" s="388"/>
      <c r="J137" s="388"/>
      <c r="K137" s="388"/>
      <c r="L137" s="388"/>
      <c r="M137" s="388"/>
      <c r="N137" s="388"/>
      <c r="O137" s="388"/>
      <c r="P137" s="388"/>
      <c r="Q137" s="388"/>
      <c r="R137" s="388"/>
    </row>
    <row r="138" spans="1:18" ht="15" x14ac:dyDescent="0.25">
      <c r="A138" s="562">
        <v>93</v>
      </c>
      <c r="B138" s="563">
        <v>52</v>
      </c>
      <c r="C138" s="437">
        <f>IFERROR('Device Resistance Tables'!D116,NA())</f>
        <v>11735.885066062518</v>
      </c>
      <c r="D138" s="388"/>
      <c r="E138" s="388"/>
      <c r="F138" s="388"/>
      <c r="G138" s="388"/>
      <c r="H138" s="388"/>
      <c r="I138" s="388"/>
      <c r="J138" s="388"/>
      <c r="K138" s="388"/>
      <c r="L138" s="388"/>
      <c r="M138" s="388"/>
      <c r="N138" s="388"/>
      <c r="O138" s="388"/>
      <c r="P138" s="388"/>
      <c r="Q138" s="388"/>
      <c r="R138" s="388"/>
    </row>
    <row r="139" spans="1:18" ht="15" x14ac:dyDescent="0.25">
      <c r="A139" s="562">
        <v>94</v>
      </c>
      <c r="B139" s="563">
        <v>53</v>
      </c>
      <c r="C139" s="437">
        <f>IFERROR('Device Resistance Tables'!D117,NA())</f>
        <v>11806.932746497079</v>
      </c>
      <c r="D139" s="388"/>
      <c r="E139" s="388"/>
      <c r="F139" s="388"/>
      <c r="G139" s="388"/>
      <c r="H139" s="388"/>
      <c r="I139" s="388"/>
      <c r="J139" s="388"/>
      <c r="K139" s="388"/>
      <c r="L139" s="388"/>
      <c r="M139" s="388"/>
      <c r="N139" s="388"/>
      <c r="O139" s="388"/>
      <c r="P139" s="388"/>
      <c r="Q139" s="388"/>
      <c r="R139" s="388"/>
    </row>
    <row r="140" spans="1:18" ht="15" x14ac:dyDescent="0.25">
      <c r="A140" s="562">
        <v>95</v>
      </c>
      <c r="B140" s="563">
        <v>54</v>
      </c>
      <c r="C140" s="437">
        <f>IFERROR('Device Resistance Tables'!D118,NA())</f>
        <v>11878.297432259878</v>
      </c>
      <c r="D140" s="388"/>
      <c r="E140" s="388"/>
      <c r="F140" s="388"/>
      <c r="G140" s="388"/>
      <c r="H140" s="388"/>
      <c r="I140" s="388"/>
      <c r="J140" s="388"/>
      <c r="K140" s="388"/>
      <c r="L140" s="388"/>
      <c r="M140" s="388"/>
      <c r="N140" s="388"/>
      <c r="O140" s="388"/>
      <c r="P140" s="388"/>
      <c r="Q140" s="388"/>
      <c r="R140" s="388"/>
    </row>
    <row r="141" spans="1:18" ht="15" x14ac:dyDescent="0.25">
      <c r="A141" s="562">
        <v>96</v>
      </c>
      <c r="B141" s="563">
        <v>55</v>
      </c>
      <c r="C141" s="437">
        <f>IFERROR('Device Resistance Tables'!D119,NA())</f>
        <v>11949.980460970753</v>
      </c>
      <c r="D141" s="388"/>
      <c r="E141" s="388"/>
      <c r="F141" s="388"/>
      <c r="G141" s="388"/>
      <c r="H141" s="388"/>
      <c r="I141" s="388"/>
      <c r="J141" s="388"/>
      <c r="K141" s="388"/>
      <c r="L141" s="388"/>
      <c r="M141" s="388"/>
      <c r="N141" s="388"/>
      <c r="O141" s="388"/>
      <c r="P141" s="388"/>
      <c r="Q141" s="388"/>
      <c r="R141" s="388"/>
    </row>
    <row r="142" spans="1:18" ht="15" x14ac:dyDescent="0.25">
      <c r="A142" s="562">
        <v>97</v>
      </c>
      <c r="B142" s="563">
        <v>56</v>
      </c>
      <c r="C142" s="437">
        <f>IFERROR('Device Resistance Tables'!D120,NA())</f>
        <v>12021.983213501002</v>
      </c>
      <c r="D142" s="388"/>
      <c r="E142" s="388"/>
      <c r="F142" s="388"/>
      <c r="G142" s="388"/>
      <c r="H142" s="388"/>
      <c r="I142" s="388"/>
      <c r="J142" s="388"/>
      <c r="K142" s="388"/>
      <c r="L142" s="388"/>
      <c r="M142" s="388"/>
      <c r="N142" s="388"/>
      <c r="O142" s="388"/>
      <c r="P142" s="388"/>
      <c r="Q142" s="388"/>
      <c r="R142" s="388"/>
    </row>
    <row r="143" spans="1:18" ht="15" x14ac:dyDescent="0.25">
      <c r="A143" s="562">
        <v>98</v>
      </c>
      <c r="B143" s="563">
        <v>57</v>
      </c>
      <c r="C143" s="437">
        <f>IFERROR('Device Resistance Tables'!D121,NA())</f>
        <v>12094.307113973347</v>
      </c>
      <c r="D143" s="388"/>
      <c r="E143" s="388"/>
      <c r="F143" s="388"/>
      <c r="G143" s="388"/>
      <c r="H143" s="388"/>
      <c r="I143" s="388"/>
      <c r="J143" s="388"/>
      <c r="K143" s="388"/>
      <c r="L143" s="388"/>
      <c r="M143" s="388"/>
      <c r="N143" s="388"/>
      <c r="O143" s="388"/>
      <c r="P143" s="388"/>
      <c r="Q143" s="388"/>
      <c r="R143" s="388"/>
    </row>
    <row r="144" spans="1:18" ht="15" x14ac:dyDescent="0.25">
      <c r="A144" s="562">
        <v>99</v>
      </c>
      <c r="B144" s="563">
        <v>58</v>
      </c>
      <c r="C144" s="437">
        <f>IFERROR('Device Resistance Tables'!D122,NA())</f>
        <v>12166.953629761969</v>
      </c>
      <c r="D144" s="388"/>
      <c r="E144" s="388"/>
      <c r="F144" s="388"/>
      <c r="G144" s="388"/>
      <c r="H144" s="388"/>
      <c r="I144" s="388"/>
      <c r="J144" s="388"/>
      <c r="K144" s="388"/>
      <c r="L144" s="388"/>
      <c r="M144" s="388"/>
      <c r="N144" s="388"/>
      <c r="O144" s="388"/>
      <c r="P144" s="388"/>
      <c r="Q144" s="388"/>
      <c r="R144" s="388"/>
    </row>
    <row r="145" spans="1:18" ht="15" x14ac:dyDescent="0.25">
      <c r="A145" s="562">
        <v>100</v>
      </c>
      <c r="B145" s="563">
        <v>59</v>
      </c>
      <c r="C145" s="437">
        <f>IFERROR('Device Resistance Tables'!D123,NA())</f>
        <v>12239.924271492477</v>
      </c>
      <c r="D145" s="388"/>
      <c r="E145" s="388"/>
      <c r="F145" s="388"/>
      <c r="G145" s="388"/>
      <c r="H145" s="388"/>
      <c r="I145" s="388"/>
      <c r="J145" s="388"/>
      <c r="K145" s="388"/>
      <c r="L145" s="388"/>
      <c r="M145" s="388"/>
      <c r="N145" s="388"/>
      <c r="O145" s="388"/>
      <c r="P145" s="388"/>
      <c r="Q145" s="388"/>
      <c r="R145" s="388"/>
    </row>
    <row r="146" spans="1:18" ht="15" x14ac:dyDescent="0.25">
      <c r="A146" s="562">
        <v>101</v>
      </c>
      <c r="B146" s="563">
        <v>60</v>
      </c>
      <c r="C146" s="437">
        <f>IFERROR('Device Resistance Tables'!D124,NA())</f>
        <v>12313.22059304192</v>
      </c>
      <c r="D146" s="388"/>
      <c r="E146" s="388"/>
      <c r="F146" s="388"/>
      <c r="G146" s="388"/>
      <c r="H146" s="388"/>
      <c r="I146" s="388"/>
      <c r="J146" s="388"/>
      <c r="K146" s="388"/>
      <c r="L146" s="388"/>
      <c r="M146" s="388"/>
      <c r="N146" s="388"/>
      <c r="O146" s="388"/>
      <c r="P146" s="388"/>
      <c r="Q146" s="388"/>
      <c r="R146" s="388"/>
    </row>
    <row r="147" spans="1:18" ht="15" x14ac:dyDescent="0.25">
      <c r="A147" s="562">
        <v>102</v>
      </c>
      <c r="B147" s="563">
        <v>61</v>
      </c>
      <c r="C147" s="437">
        <f>IFERROR('Device Resistance Tables'!D125,NA())</f>
        <v>12386.844191538803</v>
      </c>
      <c r="D147" s="388"/>
      <c r="E147" s="388"/>
      <c r="F147" s="388"/>
      <c r="G147" s="388"/>
      <c r="H147" s="388"/>
      <c r="I147" s="388"/>
      <c r="J147" s="388"/>
      <c r="K147" s="388"/>
      <c r="L147" s="388"/>
      <c r="M147" s="388"/>
      <c r="N147" s="388"/>
      <c r="O147" s="388"/>
      <c r="P147" s="388"/>
      <c r="Q147" s="388"/>
      <c r="R147" s="388"/>
    </row>
    <row r="148" spans="1:18" ht="15" x14ac:dyDescent="0.25">
      <c r="A148" s="562">
        <v>103</v>
      </c>
      <c r="B148" s="563">
        <v>62</v>
      </c>
      <c r="C148" s="437">
        <f>IFERROR('Device Resistance Tables'!D126,NA())</f>
        <v>12460.796707363059</v>
      </c>
      <c r="D148" s="388"/>
      <c r="E148" s="388"/>
      <c r="F148" s="388"/>
      <c r="G148" s="388"/>
      <c r="H148" s="388"/>
      <c r="I148" s="388"/>
      <c r="J148" s="388"/>
      <c r="K148" s="388"/>
      <c r="L148" s="388"/>
      <c r="M148" s="388"/>
      <c r="N148" s="388"/>
      <c r="O148" s="388"/>
      <c r="P148" s="388"/>
      <c r="Q148" s="388"/>
      <c r="R148" s="388"/>
    </row>
    <row r="149" spans="1:18" ht="15" x14ac:dyDescent="0.25">
      <c r="A149" s="562">
        <v>104</v>
      </c>
      <c r="B149" s="563">
        <v>63</v>
      </c>
      <c r="C149" s="437">
        <f>IFERROR('Device Resistance Tables'!D127,NA())</f>
        <v>12535.079824146067</v>
      </c>
      <c r="D149" s="388"/>
      <c r="E149" s="388"/>
      <c r="F149" s="388"/>
      <c r="G149" s="388"/>
      <c r="H149" s="388"/>
      <c r="I149" s="388"/>
      <c r="J149" s="388"/>
      <c r="K149" s="388"/>
      <c r="L149" s="388"/>
      <c r="M149" s="388"/>
      <c r="N149" s="388"/>
      <c r="O149" s="388"/>
      <c r="P149" s="388"/>
      <c r="Q149" s="388"/>
      <c r="R149" s="388"/>
    </row>
    <row r="150" spans="1:18" ht="15" x14ac:dyDescent="0.25">
      <c r="A150" s="562">
        <v>105</v>
      </c>
      <c r="B150" s="563">
        <v>64</v>
      </c>
      <c r="C150" s="437">
        <f>IFERROR('Device Resistance Tables'!D128,NA())</f>
        <v>12609.695268770643</v>
      </c>
      <c r="D150" s="388"/>
      <c r="E150" s="388"/>
      <c r="F150" s="388"/>
      <c r="G150" s="388"/>
      <c r="H150" s="388"/>
      <c r="I150" s="388"/>
      <c r="J150" s="388"/>
      <c r="K150" s="388"/>
      <c r="L150" s="388"/>
      <c r="M150" s="388"/>
      <c r="N150" s="388"/>
      <c r="O150" s="388"/>
      <c r="P150" s="388"/>
      <c r="Q150" s="388"/>
      <c r="R150" s="388"/>
    </row>
    <row r="151" spans="1:18" ht="15" x14ac:dyDescent="0.25">
      <c r="A151" s="562">
        <v>106</v>
      </c>
      <c r="B151" s="563">
        <v>65</v>
      </c>
      <c r="C151" s="437">
        <f>IFERROR('Device Resistance Tables'!D129,NA())</f>
        <v>12684.644811371058</v>
      </c>
      <c r="D151" s="388"/>
      <c r="E151" s="388"/>
      <c r="F151" s="388"/>
      <c r="G151" s="388"/>
      <c r="H151" s="388"/>
      <c r="I151" s="388"/>
      <c r="J151" s="388"/>
      <c r="K151" s="388"/>
      <c r="L151" s="388"/>
      <c r="M151" s="388"/>
      <c r="N151" s="388"/>
      <c r="O151" s="388"/>
      <c r="P151" s="388"/>
      <c r="Q151" s="388"/>
      <c r="R151" s="388"/>
    </row>
    <row r="152" spans="1:18" ht="15" x14ac:dyDescent="0.25">
      <c r="A152" s="562">
        <v>107</v>
      </c>
      <c r="B152" s="563">
        <v>66</v>
      </c>
      <c r="C152" s="437">
        <f>IFERROR('Device Resistance Tables'!D130,NA())</f>
        <v>12759.930265333003</v>
      </c>
      <c r="D152" s="388"/>
      <c r="E152" s="388"/>
      <c r="F152" s="388"/>
      <c r="G152" s="388"/>
      <c r="H152" s="388"/>
      <c r="I152" s="388"/>
      <c r="J152" s="388"/>
      <c r="K152" s="388"/>
      <c r="L152" s="388"/>
      <c r="M152" s="388"/>
      <c r="N152" s="388"/>
      <c r="O152" s="388"/>
      <c r="P152" s="388"/>
      <c r="Q152" s="388"/>
      <c r="R152" s="388"/>
    </row>
    <row r="153" spans="1:18" ht="15" x14ac:dyDescent="0.25">
      <c r="A153" s="562">
        <v>108</v>
      </c>
      <c r="B153" s="563">
        <v>67</v>
      </c>
      <c r="C153" s="437">
        <f>IFERROR('Device Resistance Tables'!D131,NA())</f>
        <v>12835.553487293628</v>
      </c>
      <c r="D153" s="388"/>
      <c r="E153" s="388"/>
      <c r="F153" s="388"/>
      <c r="G153" s="388"/>
      <c r="H153" s="388"/>
      <c r="I153" s="388"/>
      <c r="J153" s="388"/>
      <c r="K153" s="388"/>
      <c r="L153" s="388"/>
      <c r="M153" s="388"/>
      <c r="N153" s="388"/>
      <c r="O153" s="388"/>
      <c r="P153" s="388"/>
      <c r="Q153" s="388"/>
      <c r="R153" s="388"/>
    </row>
    <row r="154" spans="1:18" ht="15" x14ac:dyDescent="0.25">
      <c r="A154" s="562">
        <v>109</v>
      </c>
      <c r="B154" s="563">
        <v>68</v>
      </c>
      <c r="C154" s="437">
        <f>IFERROR('Device Resistance Tables'!D132,NA())</f>
        <v>12911.516377141515</v>
      </c>
      <c r="D154" s="388"/>
      <c r="E154" s="388"/>
      <c r="F154" s="388"/>
      <c r="G154" s="388"/>
      <c r="H154" s="388"/>
      <c r="I154" s="388"/>
      <c r="J154" s="388"/>
      <c r="K154" s="388"/>
      <c r="L154" s="388"/>
      <c r="M154" s="388"/>
      <c r="N154" s="388"/>
      <c r="O154" s="388"/>
      <c r="P154" s="388"/>
      <c r="Q154" s="388"/>
      <c r="R154" s="388"/>
    </row>
    <row r="155" spans="1:18" ht="15" x14ac:dyDescent="0.25">
      <c r="A155" s="562">
        <v>110</v>
      </c>
      <c r="B155" s="563">
        <v>69</v>
      </c>
      <c r="C155" s="437">
        <f>IFERROR('Device Resistance Tables'!D133,NA())</f>
        <v>12987.820878016695</v>
      </c>
      <c r="D155" s="388"/>
      <c r="E155" s="388"/>
      <c r="F155" s="388"/>
      <c r="G155" s="388"/>
      <c r="H155" s="388"/>
      <c r="I155" s="388"/>
      <c r="J155" s="388"/>
      <c r="K155" s="388"/>
      <c r="L155" s="388"/>
      <c r="M155" s="388"/>
      <c r="N155" s="388"/>
      <c r="O155" s="388"/>
      <c r="P155" s="388"/>
      <c r="Q155" s="388"/>
      <c r="R155" s="388"/>
    </row>
    <row r="156" spans="1:18" ht="15" x14ac:dyDescent="0.25">
      <c r="A156" s="562">
        <v>111</v>
      </c>
      <c r="B156" s="563">
        <v>70</v>
      </c>
      <c r="C156" s="437">
        <f>IFERROR('Device Resistance Tables'!D134,NA())</f>
        <v>13064.468976310629</v>
      </c>
      <c r="D156" s="388"/>
      <c r="E156" s="388"/>
      <c r="F156" s="388"/>
      <c r="G156" s="388"/>
      <c r="H156" s="388"/>
      <c r="I156" s="388"/>
      <c r="J156" s="388"/>
      <c r="K156" s="388"/>
      <c r="L156" s="388"/>
      <c r="M156" s="388"/>
      <c r="N156" s="388"/>
      <c r="O156" s="388"/>
      <c r="P156" s="388"/>
      <c r="Q156" s="388"/>
      <c r="R156" s="388"/>
    </row>
    <row r="157" spans="1:18" ht="15" x14ac:dyDescent="0.25">
      <c r="A157" s="562">
        <v>112</v>
      </c>
      <c r="B157" s="563">
        <v>71</v>
      </c>
      <c r="C157" s="437">
        <f>IFERROR('Device Resistance Tables'!D135,NA())</f>
        <v>13141.462701666229</v>
      </c>
      <c r="D157" s="388"/>
      <c r="E157" s="388"/>
      <c r="F157" s="388"/>
      <c r="G157" s="388"/>
      <c r="H157" s="388"/>
      <c r="I157" s="388"/>
      <c r="J157" s="388"/>
      <c r="K157" s="388"/>
      <c r="L157" s="388"/>
      <c r="M157" s="388"/>
      <c r="N157" s="388"/>
      <c r="O157" s="388"/>
      <c r="P157" s="388"/>
      <c r="Q157" s="388"/>
      <c r="R157" s="388"/>
    </row>
    <row r="158" spans="1:18" ht="15" x14ac:dyDescent="0.25">
      <c r="A158" s="562">
        <v>113</v>
      </c>
      <c r="B158" s="563">
        <v>72</v>
      </c>
      <c r="C158" s="437">
        <f>IFERROR('Device Resistance Tables'!D136,NA())</f>
        <v>13218.804126977848</v>
      </c>
      <c r="D158" s="388"/>
      <c r="E158" s="388"/>
      <c r="F158" s="388"/>
      <c r="G158" s="388"/>
      <c r="H158" s="388"/>
      <c r="I158" s="388"/>
      <c r="J158" s="388"/>
      <c r="K158" s="388"/>
      <c r="L158" s="388"/>
      <c r="M158" s="388"/>
      <c r="N158" s="388"/>
      <c r="O158" s="388"/>
      <c r="P158" s="388"/>
      <c r="Q158" s="388"/>
      <c r="R158" s="388"/>
    </row>
    <row r="159" spans="1:18" ht="15" x14ac:dyDescent="0.25">
      <c r="A159" s="562">
        <v>114</v>
      </c>
      <c r="B159" s="563">
        <v>73</v>
      </c>
      <c r="C159" s="437">
        <f>IFERROR('Device Resistance Tables'!D137,NA())</f>
        <v>13296.495368391274</v>
      </c>
      <c r="D159" s="388"/>
      <c r="E159" s="388"/>
      <c r="F159" s="388"/>
      <c r="G159" s="388"/>
      <c r="H159" s="388"/>
      <c r="I159" s="388"/>
      <c r="J159" s="388"/>
      <c r="K159" s="388"/>
      <c r="L159" s="388"/>
      <c r="M159" s="388"/>
      <c r="N159" s="388"/>
      <c r="O159" s="388"/>
      <c r="P159" s="388"/>
      <c r="Q159" s="388"/>
      <c r="R159" s="388"/>
    </row>
    <row r="160" spans="1:18" ht="15" x14ac:dyDescent="0.25">
      <c r="A160" s="562">
        <v>115</v>
      </c>
      <c r="B160" s="563">
        <v>74</v>
      </c>
      <c r="C160" s="437">
        <f>IFERROR('Device Resistance Tables'!D138,NA())</f>
        <v>13374.538585303735</v>
      </c>
      <c r="D160" s="388"/>
      <c r="E160" s="388"/>
      <c r="F160" s="388"/>
      <c r="G160" s="388"/>
      <c r="H160" s="388"/>
      <c r="I160" s="388"/>
      <c r="J160" s="388"/>
      <c r="K160" s="388"/>
      <c r="L160" s="388"/>
      <c r="M160" s="388"/>
      <c r="N160" s="388"/>
      <c r="O160" s="388"/>
      <c r="P160" s="388"/>
      <c r="Q160" s="388"/>
      <c r="R160" s="388"/>
    </row>
    <row r="161" spans="1:18" ht="15" x14ac:dyDescent="0.25">
      <c r="A161" s="562">
        <v>116</v>
      </c>
      <c r="B161" s="563">
        <v>75</v>
      </c>
      <c r="C161" s="437">
        <f>IFERROR('Device Resistance Tables'!D139,NA())</f>
        <v>13452.93598036392</v>
      </c>
      <c r="D161" s="388"/>
      <c r="E161" s="388"/>
      <c r="F161" s="388"/>
      <c r="G161" s="388"/>
      <c r="H161" s="388"/>
      <c r="I161" s="388"/>
      <c r="J161" s="388"/>
      <c r="K161" s="388"/>
      <c r="L161" s="388"/>
      <c r="M161" s="388"/>
      <c r="N161" s="388"/>
      <c r="O161" s="388"/>
      <c r="P161" s="388"/>
      <c r="Q161" s="388"/>
      <c r="R161" s="388"/>
    </row>
    <row r="162" spans="1:18" ht="15" x14ac:dyDescent="0.25">
      <c r="A162" s="562">
        <v>117</v>
      </c>
      <c r="B162" s="563">
        <v>76</v>
      </c>
      <c r="C162" s="437">
        <f>IFERROR('Device Resistance Tables'!D140,NA())</f>
        <v>13531.689799471929</v>
      </c>
      <c r="D162" s="388"/>
      <c r="E162" s="388"/>
      <c r="F162" s="388"/>
      <c r="G162" s="388"/>
      <c r="H162" s="388"/>
      <c r="I162" s="388"/>
      <c r="J162" s="388"/>
      <c r="K162" s="388"/>
      <c r="L162" s="388"/>
      <c r="M162" s="388"/>
      <c r="N162" s="388"/>
      <c r="O162" s="388"/>
      <c r="P162" s="388"/>
      <c r="Q162" s="388"/>
      <c r="R162" s="388"/>
    </row>
    <row r="163" spans="1:18" ht="15" x14ac:dyDescent="0.25">
      <c r="A163" s="562">
        <v>118</v>
      </c>
      <c r="B163" s="563">
        <v>77</v>
      </c>
      <c r="C163" s="437">
        <f>IFERROR('Device Resistance Tables'!D141,NA())</f>
        <v>13610.802331779327</v>
      </c>
      <c r="D163" s="388"/>
      <c r="E163" s="388"/>
      <c r="F163" s="388"/>
      <c r="G163" s="388"/>
      <c r="H163" s="388"/>
      <c r="I163" s="388"/>
      <c r="J163" s="388"/>
      <c r="K163" s="388"/>
      <c r="L163" s="388"/>
      <c r="M163" s="388"/>
      <c r="N163" s="388"/>
      <c r="O163" s="388"/>
      <c r="P163" s="388"/>
      <c r="Q163" s="388"/>
      <c r="R163" s="388"/>
    </row>
    <row r="164" spans="1:18" ht="15" x14ac:dyDescent="0.25">
      <c r="A164" s="562">
        <v>119</v>
      </c>
      <c r="B164" s="563">
        <v>78</v>
      </c>
      <c r="C164" s="437">
        <f>IFERROR('Device Resistance Tables'!D142,NA())</f>
        <v>13690.275909689111</v>
      </c>
      <c r="D164" s="388"/>
      <c r="E164" s="388"/>
      <c r="F164" s="388"/>
      <c r="G164" s="388"/>
      <c r="H164" s="388"/>
      <c r="I164" s="388"/>
      <c r="J164" s="388"/>
      <c r="K164" s="388"/>
      <c r="L164" s="388"/>
      <c r="M164" s="388"/>
      <c r="N164" s="388"/>
      <c r="O164" s="388"/>
      <c r="P164" s="388"/>
      <c r="Q164" s="388"/>
      <c r="R164" s="388"/>
    </row>
    <row r="165" spans="1:18" ht="15" x14ac:dyDescent="0.25">
      <c r="A165" s="562">
        <v>120</v>
      </c>
      <c r="B165" s="563">
        <v>79</v>
      </c>
      <c r="C165" s="437">
        <f>IFERROR('Device Resistance Tables'!D143,NA())</f>
        <v>13770.112908855715</v>
      </c>
      <c r="D165" s="388"/>
      <c r="E165" s="388"/>
      <c r="F165" s="388"/>
      <c r="G165" s="388"/>
      <c r="H165" s="388"/>
      <c r="I165" s="388"/>
      <c r="J165" s="388"/>
      <c r="K165" s="388"/>
      <c r="L165" s="388"/>
      <c r="M165" s="388"/>
      <c r="N165" s="388"/>
      <c r="O165" s="388"/>
      <c r="P165" s="388"/>
      <c r="Q165" s="388"/>
      <c r="R165" s="388"/>
    </row>
    <row r="166" spans="1:18" ht="15" x14ac:dyDescent="0.25">
      <c r="A166" s="562">
        <v>121</v>
      </c>
      <c r="B166" s="563">
        <v>80</v>
      </c>
      <c r="C166" s="437">
        <f>IFERROR('Device Resistance Tables'!D144,NA())</f>
        <v>13850.315748185027</v>
      </c>
      <c r="D166" s="388"/>
      <c r="E166" s="388"/>
      <c r="F166" s="388"/>
      <c r="G166" s="388"/>
      <c r="H166" s="388"/>
      <c r="I166" s="388"/>
      <c r="J166" s="388"/>
      <c r="K166" s="388"/>
      <c r="L166" s="388"/>
      <c r="M166" s="388"/>
      <c r="N166" s="388"/>
      <c r="O166" s="388"/>
      <c r="P166" s="388"/>
      <c r="Q166" s="388"/>
      <c r="R166" s="388"/>
    </row>
    <row r="167" spans="1:18" ht="15" x14ac:dyDescent="0.25">
      <c r="A167" s="562">
        <v>122</v>
      </c>
      <c r="B167" s="563">
        <v>81</v>
      </c>
      <c r="C167" s="437">
        <f>IFERROR('Device Resistance Tables'!D145,NA())</f>
        <v>13930.886889834363</v>
      </c>
      <c r="D167" s="388"/>
      <c r="E167" s="388"/>
      <c r="F167" s="388"/>
      <c r="G167" s="388"/>
      <c r="H167" s="388"/>
      <c r="I167" s="388"/>
      <c r="J167" s="388"/>
      <c r="K167" s="388"/>
      <c r="L167" s="388"/>
      <c r="M167" s="388"/>
      <c r="N167" s="388"/>
      <c r="O167" s="388"/>
      <c r="P167" s="388"/>
      <c r="Q167" s="388"/>
      <c r="R167" s="388"/>
    </row>
    <row r="168" spans="1:18" ht="15" x14ac:dyDescent="0.25">
      <c r="A168" s="562">
        <v>123</v>
      </c>
      <c r="B168" s="563">
        <v>82</v>
      </c>
      <c r="C168" s="437">
        <f>IFERROR('Device Resistance Tables'!D146,NA())</f>
        <v>14011.82883921249</v>
      </c>
      <c r="D168" s="388"/>
      <c r="E168" s="388"/>
      <c r="F168" s="388"/>
      <c r="G168" s="388"/>
      <c r="H168" s="388"/>
      <c r="I168" s="388"/>
      <c r="J168" s="388"/>
      <c r="K168" s="388"/>
      <c r="L168" s="388"/>
      <c r="M168" s="388"/>
      <c r="N168" s="388"/>
      <c r="O168" s="388"/>
      <c r="P168" s="388"/>
      <c r="Q168" s="388"/>
      <c r="R168" s="388"/>
    </row>
    <row r="169" spans="1:18" ht="15" x14ac:dyDescent="0.25">
      <c r="A169" s="562">
        <v>124</v>
      </c>
      <c r="B169" s="563">
        <v>83</v>
      </c>
      <c r="C169" s="437">
        <f>IFERROR('Device Resistance Tables'!D147,NA())</f>
        <v>14093.144144979609</v>
      </c>
      <c r="D169" s="388"/>
      <c r="E169" s="388"/>
      <c r="F169" s="388"/>
      <c r="G169" s="388"/>
      <c r="H169" s="388"/>
      <c r="I169" s="388"/>
      <c r="J169" s="388"/>
      <c r="K169" s="388"/>
      <c r="L169" s="388"/>
      <c r="M169" s="388"/>
      <c r="N169" s="388"/>
      <c r="O169" s="388"/>
      <c r="P169" s="388"/>
      <c r="Q169" s="388"/>
      <c r="R169" s="388"/>
    </row>
    <row r="170" spans="1:18" ht="15" x14ac:dyDescent="0.25">
      <c r="A170" s="562">
        <v>125</v>
      </c>
      <c r="B170" s="563">
        <v>84</v>
      </c>
      <c r="C170" s="437">
        <f>IFERROR('Device Resistance Tables'!D148,NA())</f>
        <v>14174.835399047368</v>
      </c>
      <c r="D170" s="388"/>
      <c r="E170" s="388"/>
      <c r="F170" s="388"/>
      <c r="G170" s="388"/>
      <c r="H170" s="388"/>
      <c r="I170" s="388"/>
      <c r="J170" s="388"/>
      <c r="K170" s="388"/>
      <c r="L170" s="388"/>
      <c r="M170" s="388"/>
      <c r="N170" s="388"/>
      <c r="O170" s="388"/>
      <c r="P170" s="388"/>
      <c r="Q170" s="388"/>
      <c r="R170" s="388"/>
    </row>
    <row r="171" spans="1:18" ht="15" x14ac:dyDescent="0.25">
      <c r="A171" s="562">
        <v>126</v>
      </c>
      <c r="B171" s="563">
        <v>85</v>
      </c>
      <c r="C171" s="437">
        <f>IFERROR('Device Resistance Tables'!D149,NA())</f>
        <v>14256.905236578858</v>
      </c>
      <c r="D171" s="388"/>
      <c r="E171" s="388"/>
      <c r="F171" s="388"/>
      <c r="G171" s="388"/>
      <c r="H171" s="388"/>
      <c r="I171" s="388"/>
      <c r="J171" s="388"/>
      <c r="K171" s="388"/>
      <c r="L171" s="388"/>
      <c r="M171" s="388"/>
      <c r="N171" s="388"/>
      <c r="O171" s="388"/>
      <c r="P171" s="388"/>
      <c r="Q171" s="388"/>
      <c r="R171" s="388"/>
    </row>
    <row r="172" spans="1:18" ht="15" x14ac:dyDescent="0.25">
      <c r="A172" s="562">
        <v>127</v>
      </c>
      <c r="B172" s="563">
        <v>86</v>
      </c>
      <c r="C172" s="437">
        <f>IFERROR('Device Resistance Tables'!D150,NA())</f>
        <v>14339.356335988599</v>
      </c>
      <c r="D172" s="388"/>
      <c r="E172" s="388"/>
      <c r="F172" s="388"/>
      <c r="G172" s="388"/>
      <c r="H172" s="388"/>
      <c r="I172" s="388"/>
      <c r="J172" s="388"/>
      <c r="K172" s="388"/>
      <c r="L172" s="388"/>
      <c r="M172" s="388"/>
      <c r="N172" s="388"/>
      <c r="O172" s="388"/>
      <c r="P172" s="388"/>
      <c r="Q172" s="388"/>
      <c r="R172" s="388"/>
    </row>
    <row r="173" spans="1:18" ht="15" x14ac:dyDescent="0.25">
      <c r="A173" s="562">
        <v>128</v>
      </c>
      <c r="B173" s="563">
        <v>87</v>
      </c>
      <c r="C173" s="437">
        <f>IFERROR('Device Resistance Tables'!D151,NA())</f>
        <v>14422.19141894257</v>
      </c>
      <c r="D173" s="388"/>
      <c r="E173" s="388"/>
      <c r="F173" s="388"/>
      <c r="G173" s="388"/>
      <c r="H173" s="388"/>
      <c r="I173" s="388"/>
      <c r="J173" s="388"/>
      <c r="K173" s="388"/>
      <c r="L173" s="388"/>
      <c r="M173" s="388"/>
      <c r="N173" s="388"/>
      <c r="O173" s="388"/>
      <c r="P173" s="388"/>
      <c r="Q173" s="388"/>
      <c r="R173" s="388"/>
    </row>
    <row r="174" spans="1:18" ht="15" x14ac:dyDescent="0.25">
      <c r="A174" s="562">
        <v>129</v>
      </c>
      <c r="B174" s="563">
        <v>88</v>
      </c>
      <c r="C174" s="437">
        <f>IFERROR('Device Resistance Tables'!D152,NA())</f>
        <v>14505.413250358171</v>
      </c>
      <c r="D174" s="388"/>
      <c r="E174" s="388"/>
      <c r="F174" s="388"/>
      <c r="G174" s="388"/>
      <c r="H174" s="388"/>
      <c r="I174" s="388"/>
      <c r="J174" s="388"/>
      <c r="K174" s="388"/>
      <c r="L174" s="388"/>
      <c r="M174" s="388"/>
      <c r="N174" s="388"/>
      <c r="O174" s="388"/>
      <c r="P174" s="388"/>
      <c r="Q174" s="388"/>
      <c r="R174" s="388"/>
    </row>
    <row r="175" spans="1:18" ht="15" x14ac:dyDescent="0.25">
      <c r="A175" s="562">
        <v>130</v>
      </c>
      <c r="B175" s="563">
        <v>89</v>
      </c>
      <c r="C175" s="437">
        <f>IFERROR('Device Resistance Tables'!D153,NA())</f>
        <v>14589.024638404262</v>
      </c>
      <c r="D175" s="388"/>
      <c r="E175" s="388"/>
      <c r="F175" s="388"/>
      <c r="G175" s="388"/>
      <c r="H175" s="388"/>
      <c r="I175" s="388"/>
      <c r="J175" s="388"/>
      <c r="K175" s="388"/>
      <c r="L175" s="388"/>
      <c r="M175" s="388"/>
      <c r="N175" s="388"/>
      <c r="O175" s="388"/>
      <c r="P175" s="388"/>
      <c r="Q175" s="388"/>
      <c r="R175" s="388"/>
    </row>
    <row r="176" spans="1:18" ht="15" x14ac:dyDescent="0.25">
      <c r="A176" s="562">
        <v>131</v>
      </c>
      <c r="B176" s="563">
        <v>90</v>
      </c>
      <c r="C176" s="437">
        <f>IFERROR('Device Resistance Tables'!D154,NA())</f>
        <v>14673.028434501137</v>
      </c>
      <c r="D176" s="388"/>
      <c r="E176" s="388"/>
      <c r="F176" s="388"/>
      <c r="G176" s="388"/>
      <c r="H176" s="388"/>
      <c r="I176" s="388"/>
      <c r="J176" s="388"/>
      <c r="K176" s="388"/>
      <c r="L176" s="388"/>
      <c r="M176" s="388"/>
      <c r="N176" s="388"/>
      <c r="O176" s="388"/>
      <c r="P176" s="388"/>
      <c r="Q176" s="388"/>
      <c r="R176" s="388"/>
    </row>
    <row r="177" spans="1:18" ht="15" x14ac:dyDescent="0.25">
      <c r="A177" s="562">
        <v>132</v>
      </c>
      <c r="B177" s="563">
        <v>91</v>
      </c>
      <c r="C177" s="437">
        <f>IFERROR('Device Resistance Tables'!D155,NA())</f>
        <v>14757.427533320526</v>
      </c>
      <c r="D177" s="388"/>
      <c r="E177" s="388"/>
      <c r="F177" s="388"/>
      <c r="G177" s="388"/>
      <c r="H177" s="388"/>
      <c r="I177" s="388"/>
      <c r="J177" s="388"/>
      <c r="K177" s="388"/>
      <c r="L177" s="388"/>
      <c r="M177" s="388"/>
      <c r="N177" s="388"/>
      <c r="O177" s="388"/>
      <c r="P177" s="388"/>
      <c r="Q177" s="388"/>
      <c r="R177" s="388"/>
    </row>
    <row r="178" spans="1:18" ht="15" x14ac:dyDescent="0.25">
      <c r="A178" s="562">
        <v>133</v>
      </c>
      <c r="B178" s="563">
        <v>92</v>
      </c>
      <c r="C178" s="437">
        <f>IFERROR('Device Resistance Tables'!D156,NA())</f>
        <v>14842.224872785613</v>
      </c>
      <c r="D178" s="388"/>
      <c r="E178" s="388"/>
      <c r="F178" s="388"/>
      <c r="G178" s="388"/>
      <c r="H178" s="388"/>
      <c r="I178" s="388"/>
      <c r="J178" s="388"/>
      <c r="K178" s="388"/>
      <c r="L178" s="388"/>
      <c r="M178" s="388"/>
      <c r="N178" s="388"/>
      <c r="O178" s="388"/>
      <c r="P178" s="388"/>
      <c r="Q178" s="388"/>
      <c r="R178" s="388"/>
    </row>
    <row r="179" spans="1:18" ht="15" x14ac:dyDescent="0.25">
      <c r="A179" s="562">
        <v>134</v>
      </c>
      <c r="B179" s="563">
        <v>93</v>
      </c>
      <c r="C179" s="437">
        <f>IFERROR('Device Resistance Tables'!D157,NA())</f>
        <v>14927.423434071005</v>
      </c>
      <c r="D179" s="388"/>
      <c r="E179" s="388"/>
      <c r="F179" s="388"/>
      <c r="G179" s="388"/>
      <c r="H179" s="388"/>
      <c r="I179" s="388"/>
      <c r="J179" s="388"/>
      <c r="K179" s="388"/>
      <c r="L179" s="388"/>
      <c r="M179" s="388"/>
      <c r="N179" s="388"/>
      <c r="O179" s="388"/>
      <c r="P179" s="388"/>
      <c r="Q179" s="388"/>
      <c r="R179" s="388"/>
    </row>
    <row r="180" spans="1:18" ht="15" x14ac:dyDescent="0.25">
      <c r="A180" s="562">
        <v>135</v>
      </c>
      <c r="B180" s="563">
        <v>94</v>
      </c>
      <c r="C180" s="437">
        <f>IFERROR('Device Resistance Tables'!D158,NA())</f>
        <v>15013.026241602771</v>
      </c>
      <c r="D180" s="388"/>
      <c r="E180" s="388"/>
      <c r="F180" s="388"/>
      <c r="G180" s="388"/>
      <c r="H180" s="388"/>
      <c r="I180" s="388"/>
      <c r="J180" s="388"/>
      <c r="K180" s="388"/>
      <c r="L180" s="388"/>
      <c r="M180" s="388"/>
      <c r="N180" s="388"/>
      <c r="O180" s="388"/>
      <c r="P180" s="388"/>
      <c r="Q180" s="388"/>
      <c r="R180" s="388"/>
    </row>
    <row r="181" spans="1:18" ht="15" x14ac:dyDescent="0.25">
      <c r="A181" s="562">
        <v>136</v>
      </c>
      <c r="B181" s="563">
        <v>95</v>
      </c>
      <c r="C181" s="437">
        <f>IFERROR('Device Resistance Tables'!D159,NA())</f>
        <v>15099.036363058402</v>
      </c>
      <c r="D181" s="388"/>
      <c r="E181" s="388"/>
      <c r="F181" s="388"/>
      <c r="G181" s="388"/>
      <c r="H181" s="388"/>
      <c r="I181" s="388"/>
      <c r="J181" s="388"/>
      <c r="K181" s="388"/>
      <c r="L181" s="388"/>
      <c r="M181" s="388"/>
      <c r="N181" s="388"/>
      <c r="O181" s="388"/>
      <c r="P181" s="388"/>
      <c r="Q181" s="388"/>
      <c r="R181" s="388"/>
    </row>
    <row r="182" spans="1:18" ht="15" x14ac:dyDescent="0.25">
      <c r="A182" s="562">
        <v>137</v>
      </c>
      <c r="B182" s="563">
        <v>96</v>
      </c>
      <c r="C182" s="437">
        <f>IFERROR('Device Resistance Tables'!D160,NA())</f>
        <v>15185.456909366843</v>
      </c>
      <c r="D182" s="388"/>
      <c r="E182" s="388"/>
      <c r="F182" s="388"/>
      <c r="G182" s="388"/>
      <c r="H182" s="388"/>
      <c r="I182" s="388"/>
      <c r="J182" s="388"/>
      <c r="K182" s="388"/>
      <c r="L182" s="388"/>
      <c r="M182" s="388"/>
      <c r="N182" s="388"/>
      <c r="O182" s="388"/>
      <c r="P182" s="388"/>
      <c r="Q182" s="388"/>
      <c r="R182" s="388"/>
    </row>
    <row r="183" spans="1:18" ht="15" x14ac:dyDescent="0.25">
      <c r="A183" s="562">
        <v>138</v>
      </c>
      <c r="B183" s="563">
        <v>97</v>
      </c>
      <c r="C183" s="437">
        <f>IFERROR('Device Resistance Tables'!D161,NA())</f>
        <v>15272.291034708483</v>
      </c>
      <c r="D183" s="388"/>
      <c r="E183" s="388"/>
      <c r="F183" s="388"/>
      <c r="G183" s="388"/>
      <c r="H183" s="388"/>
      <c r="I183" s="388"/>
      <c r="J183" s="388"/>
      <c r="K183" s="388"/>
      <c r="L183" s="388"/>
      <c r="M183" s="388"/>
      <c r="N183" s="388"/>
      <c r="O183" s="388"/>
      <c r="P183" s="388"/>
      <c r="Q183" s="388"/>
      <c r="R183" s="388"/>
    </row>
    <row r="184" spans="1:18" ht="15" x14ac:dyDescent="0.25">
      <c r="A184" s="562">
        <v>139</v>
      </c>
      <c r="B184" s="563">
        <v>98</v>
      </c>
      <c r="C184" s="437">
        <f>IFERROR('Device Resistance Tables'!D162,NA())</f>
        <v>15359.541936515136</v>
      </c>
      <c r="D184" s="388"/>
      <c r="E184" s="388"/>
      <c r="F184" s="388"/>
      <c r="G184" s="388"/>
      <c r="H184" s="388"/>
      <c r="I184" s="388"/>
      <c r="J184" s="388"/>
      <c r="K184" s="388"/>
      <c r="L184" s="388"/>
      <c r="M184" s="388"/>
      <c r="N184" s="388"/>
      <c r="O184" s="388"/>
      <c r="P184" s="388"/>
      <c r="Q184" s="388"/>
      <c r="R184" s="388"/>
    </row>
    <row r="185" spans="1:18" ht="15" x14ac:dyDescent="0.25">
      <c r="A185" s="562">
        <v>140</v>
      </c>
      <c r="B185" s="563">
        <v>99</v>
      </c>
      <c r="C185" s="437">
        <f>IFERROR('Device Resistance Tables'!D163,NA())</f>
        <v>15447.212855470074</v>
      </c>
      <c r="D185" s="388"/>
      <c r="E185" s="388"/>
      <c r="F185" s="388"/>
      <c r="G185" s="388"/>
      <c r="H185" s="388"/>
      <c r="I185" s="388"/>
      <c r="J185" s="388"/>
      <c r="K185" s="388"/>
      <c r="L185" s="388"/>
      <c r="M185" s="388"/>
      <c r="N185" s="388"/>
      <c r="O185" s="388"/>
      <c r="P185" s="388"/>
      <c r="Q185" s="388"/>
      <c r="R185" s="388"/>
    </row>
    <row r="186" spans="1:18" ht="15" x14ac:dyDescent="0.25">
      <c r="A186" s="562">
        <v>141</v>
      </c>
      <c r="B186" s="563">
        <v>100</v>
      </c>
      <c r="C186" s="437">
        <f>IFERROR('Device Resistance Tables'!D164,NA())</f>
        <v>15535.307075507999</v>
      </c>
      <c r="D186" s="388"/>
      <c r="E186" s="388"/>
      <c r="F186" s="388"/>
      <c r="G186" s="388"/>
      <c r="H186" s="388"/>
      <c r="I186" s="388"/>
      <c r="J186" s="388"/>
      <c r="K186" s="388"/>
      <c r="L186" s="388"/>
      <c r="M186" s="388"/>
      <c r="N186" s="388"/>
      <c r="O186" s="388"/>
      <c r="P186" s="388"/>
      <c r="Q186" s="388"/>
      <c r="R186" s="388"/>
    </row>
    <row r="187" spans="1:18" ht="15" x14ac:dyDescent="0.25">
      <c r="A187" s="562">
        <v>142</v>
      </c>
      <c r="B187" s="563">
        <v>101</v>
      </c>
      <c r="C187" s="437">
        <f>IFERROR('Device Resistance Tables'!D165,NA())</f>
        <v>15623.827923815064</v>
      </c>
      <c r="D187" s="388"/>
      <c r="E187" s="388"/>
      <c r="F187" s="388"/>
      <c r="G187" s="388"/>
      <c r="H187" s="388"/>
      <c r="I187" s="388"/>
      <c r="J187" s="388"/>
      <c r="K187" s="388"/>
      <c r="L187" s="388"/>
      <c r="M187" s="388"/>
      <c r="N187" s="388"/>
      <c r="O187" s="388"/>
      <c r="P187" s="388"/>
      <c r="Q187" s="388"/>
      <c r="R187" s="388"/>
    </row>
    <row r="188" spans="1:18" ht="15" x14ac:dyDescent="0.25">
      <c r="A188" s="562">
        <v>143</v>
      </c>
      <c r="B188" s="563">
        <v>102</v>
      </c>
      <c r="C188" s="437">
        <f>IFERROR('Device Resistance Tables'!D166,NA())</f>
        <v>15712.778770828854</v>
      </c>
      <c r="D188" s="388"/>
      <c r="E188" s="388"/>
      <c r="F188" s="388"/>
      <c r="G188" s="388"/>
      <c r="H188" s="388"/>
      <c r="I188" s="388"/>
      <c r="J188" s="388"/>
      <c r="K188" s="388"/>
      <c r="L188" s="388"/>
      <c r="M188" s="388"/>
      <c r="N188" s="388"/>
      <c r="O188" s="388"/>
      <c r="P188" s="388"/>
      <c r="Q188" s="388"/>
      <c r="R188" s="388"/>
    </row>
    <row r="189" spans="1:18" ht="15" x14ac:dyDescent="0.25">
      <c r="A189" s="562">
        <v>144</v>
      </c>
      <c r="B189" s="563">
        <v>103</v>
      </c>
      <c r="C189" s="437">
        <f>IFERROR('Device Resistance Tables'!D167,NA())</f>
        <v>15802.163030238404</v>
      </c>
      <c r="D189" s="388"/>
      <c r="E189" s="388"/>
      <c r="F189" s="388"/>
      <c r="G189" s="388"/>
      <c r="H189" s="388"/>
      <c r="I189" s="388"/>
      <c r="J189" s="388"/>
      <c r="K189" s="388"/>
      <c r="L189" s="388"/>
      <c r="M189" s="388"/>
      <c r="N189" s="388"/>
      <c r="O189" s="388"/>
      <c r="P189" s="388"/>
      <c r="Q189" s="388"/>
      <c r="R189" s="388"/>
    </row>
    <row r="190" spans="1:18" ht="15" x14ac:dyDescent="0.25">
      <c r="A190" s="562">
        <v>145</v>
      </c>
      <c r="B190" s="563">
        <v>104</v>
      </c>
      <c r="C190" s="437">
        <f>IFERROR('Device Resistance Tables'!D168,NA())</f>
        <v>15891.98415898418</v>
      </c>
      <c r="D190" s="388"/>
      <c r="E190" s="388"/>
      <c r="F190" s="388"/>
      <c r="G190" s="388"/>
      <c r="H190" s="388"/>
      <c r="I190" s="388"/>
      <c r="J190" s="388"/>
      <c r="K190" s="388"/>
      <c r="L190" s="388"/>
      <c r="M190" s="388"/>
      <c r="N190" s="388"/>
      <c r="O190" s="388"/>
      <c r="P190" s="388"/>
      <c r="Q190" s="388"/>
      <c r="R190" s="388"/>
    </row>
    <row r="191" spans="1:18" ht="15" x14ac:dyDescent="0.25">
      <c r="A191" s="562">
        <v>146</v>
      </c>
      <c r="B191" s="563">
        <v>105</v>
      </c>
      <c r="C191" s="437">
        <f>IFERROR('Device Resistance Tables'!D169,NA())</f>
        <v>15982.2456572581</v>
      </c>
      <c r="D191" s="388"/>
      <c r="E191" s="388"/>
      <c r="F191" s="388"/>
      <c r="G191" s="388"/>
      <c r="H191" s="388"/>
      <c r="I191" s="388"/>
      <c r="J191" s="388"/>
      <c r="K191" s="388"/>
      <c r="L191" s="388"/>
      <c r="M191" s="388"/>
      <c r="N191" s="388"/>
      <c r="O191" s="388"/>
      <c r="P191" s="388"/>
      <c r="Q191" s="388"/>
      <c r="R191" s="388"/>
    </row>
    <row r="192" spans="1:18" ht="15" x14ac:dyDescent="0.25">
      <c r="A192" s="562">
        <v>147</v>
      </c>
      <c r="B192" s="563">
        <v>106</v>
      </c>
      <c r="C192" s="437">
        <f>IFERROR('Device Resistance Tables'!D170,NA())</f>
        <v>16072.951068503513</v>
      </c>
      <c r="D192" s="388"/>
      <c r="E192" s="388"/>
      <c r="F192" s="388"/>
      <c r="G192" s="388"/>
      <c r="H192" s="388"/>
      <c r="I192" s="388"/>
      <c r="J192" s="388"/>
      <c r="K192" s="388"/>
      <c r="L192" s="388"/>
      <c r="M192" s="388"/>
      <c r="N192" s="388"/>
      <c r="O192" s="388"/>
      <c r="P192" s="388"/>
      <c r="Q192" s="388"/>
      <c r="R192" s="388"/>
    </row>
    <row r="193" spans="1:18" ht="15" x14ac:dyDescent="0.25">
      <c r="A193" s="562">
        <v>148</v>
      </c>
      <c r="B193" s="563">
        <v>107</v>
      </c>
      <c r="C193" s="437">
        <f>IFERROR('Device Resistance Tables'!D171,NA())</f>
        <v>16164.10397941522</v>
      </c>
      <c r="D193" s="388"/>
      <c r="E193" s="388"/>
      <c r="F193" s="388"/>
      <c r="G193" s="388"/>
      <c r="H193" s="388"/>
      <c r="I193" s="388"/>
      <c r="J193" s="388"/>
      <c r="K193" s="388"/>
      <c r="L193" s="388"/>
      <c r="M193" s="388"/>
      <c r="N193" s="388"/>
      <c r="O193" s="388"/>
      <c r="P193" s="388"/>
      <c r="Q193" s="388"/>
      <c r="R193" s="388"/>
    </row>
    <row r="194" spans="1:18" ht="15" x14ac:dyDescent="0.25">
      <c r="A194" s="562">
        <v>149</v>
      </c>
      <c r="B194" s="563">
        <v>108</v>
      </c>
      <c r="C194" s="437">
        <f>IFERROR('Device Resistance Tables'!D172,NA())</f>
        <v>16255.708019939457</v>
      </c>
      <c r="D194" s="388"/>
      <c r="E194" s="388"/>
      <c r="F194" s="388"/>
      <c r="G194" s="388"/>
      <c r="H194" s="388"/>
      <c r="I194" s="388"/>
      <c r="J194" s="388"/>
      <c r="K194" s="388"/>
      <c r="L194" s="388"/>
      <c r="M194" s="388"/>
      <c r="N194" s="388"/>
      <c r="O194" s="388"/>
      <c r="P194" s="388"/>
      <c r="Q194" s="388"/>
      <c r="R194" s="388"/>
    </row>
    <row r="195" spans="1:18" ht="15" x14ac:dyDescent="0.25">
      <c r="A195" s="562">
        <v>150</v>
      </c>
      <c r="B195" s="563">
        <v>109</v>
      </c>
      <c r="C195" s="437">
        <f>IFERROR('Device Resistance Tables'!D173,NA())</f>
        <v>16347.766863273902</v>
      </c>
      <c r="D195" s="388"/>
      <c r="E195" s="388"/>
      <c r="F195" s="388"/>
      <c r="G195" s="388"/>
      <c r="H195" s="388"/>
      <c r="I195" s="388"/>
      <c r="J195" s="388"/>
      <c r="K195" s="388"/>
      <c r="L195" s="388"/>
      <c r="M195" s="388"/>
      <c r="N195" s="388"/>
      <c r="O195" s="388"/>
      <c r="P195" s="388"/>
      <c r="Q195" s="388"/>
      <c r="R195" s="388"/>
    </row>
    <row r="196" spans="1:18" ht="15" x14ac:dyDescent="0.25">
      <c r="A196" s="562">
        <v>151</v>
      </c>
      <c r="B196" s="563">
        <v>110</v>
      </c>
      <c r="C196" s="437">
        <f>IFERROR('Device Resistance Tables'!D174,NA())</f>
        <v>16440.284225867672</v>
      </c>
      <c r="D196" s="388"/>
      <c r="E196" s="388"/>
      <c r="F196" s="388"/>
      <c r="G196" s="388"/>
      <c r="H196" s="388"/>
      <c r="I196" s="388"/>
      <c r="J196" s="388"/>
      <c r="K196" s="388"/>
      <c r="L196" s="388"/>
      <c r="M196" s="388"/>
      <c r="N196" s="388"/>
      <c r="O196" s="388"/>
      <c r="P196" s="388"/>
      <c r="Q196" s="388"/>
      <c r="R196" s="388"/>
    </row>
    <row r="197" spans="1:18" ht="15" x14ac:dyDescent="0.25">
      <c r="A197" s="562">
        <v>152</v>
      </c>
      <c r="B197" s="563">
        <v>111</v>
      </c>
      <c r="C197" s="437">
        <f>IFERROR('Device Resistance Tables'!D175,NA())</f>
        <v>16533.26386742133</v>
      </c>
      <c r="D197" s="388"/>
      <c r="E197" s="388"/>
      <c r="F197" s="388"/>
      <c r="G197" s="388"/>
      <c r="H197" s="388"/>
      <c r="I197" s="388"/>
      <c r="J197" s="388"/>
      <c r="K197" s="388"/>
      <c r="L197" s="388"/>
      <c r="M197" s="388"/>
      <c r="N197" s="388"/>
      <c r="O197" s="388"/>
      <c r="P197" s="388"/>
      <c r="Q197" s="388"/>
      <c r="R197" s="388"/>
    </row>
    <row r="198" spans="1:18" ht="15" x14ac:dyDescent="0.25">
      <c r="A198" s="562">
        <v>153</v>
      </c>
      <c r="B198" s="563">
        <v>112</v>
      </c>
      <c r="C198" s="437">
        <f>IFERROR('Device Resistance Tables'!D176,NA())</f>
        <v>16626.70959088688</v>
      </c>
      <c r="D198" s="388"/>
      <c r="E198" s="388"/>
      <c r="F198" s="388"/>
      <c r="G198" s="388"/>
      <c r="H198" s="388"/>
      <c r="I198" s="388"/>
      <c r="J198" s="388"/>
      <c r="K198" s="388"/>
      <c r="L198" s="388"/>
      <c r="M198" s="388"/>
      <c r="N198" s="388"/>
      <c r="O198" s="388"/>
      <c r="P198" s="388"/>
      <c r="Q198" s="388"/>
      <c r="R198" s="388"/>
    </row>
    <row r="199" spans="1:18" ht="15" x14ac:dyDescent="0.25">
      <c r="A199" s="562">
        <v>154</v>
      </c>
      <c r="B199" s="563">
        <v>113</v>
      </c>
      <c r="C199" s="437">
        <f>IFERROR('Device Resistance Tables'!D177,NA())</f>
        <v>16720.625242467762</v>
      </c>
      <c r="D199" s="388"/>
      <c r="E199" s="388"/>
      <c r="F199" s="388"/>
      <c r="G199" s="388"/>
      <c r="H199" s="388"/>
      <c r="I199" s="388"/>
      <c r="J199" s="388"/>
      <c r="K199" s="388"/>
      <c r="L199" s="388"/>
      <c r="M199" s="388"/>
      <c r="N199" s="388"/>
      <c r="O199" s="388"/>
      <c r="P199" s="388"/>
      <c r="Q199" s="388"/>
      <c r="R199" s="388"/>
    </row>
    <row r="200" spans="1:18" ht="15" x14ac:dyDescent="0.25">
      <c r="A200" s="562">
        <v>155</v>
      </c>
      <c r="B200" s="563">
        <v>114</v>
      </c>
      <c r="C200" s="437">
        <f>IFERROR('Device Resistance Tables'!D178,NA())</f>
        <v>16815.014711618864</v>
      </c>
      <c r="D200" s="388"/>
      <c r="E200" s="388"/>
      <c r="F200" s="388"/>
      <c r="G200" s="388"/>
      <c r="H200" s="388"/>
      <c r="I200" s="388"/>
      <c r="J200" s="388"/>
      <c r="K200" s="388"/>
      <c r="L200" s="388"/>
      <c r="M200" s="388"/>
      <c r="N200" s="388"/>
      <c r="O200" s="388"/>
      <c r="P200" s="388"/>
      <c r="Q200" s="388"/>
      <c r="R200" s="388"/>
    </row>
    <row r="201" spans="1:18" ht="15" x14ac:dyDescent="0.25">
      <c r="A201" s="562">
        <v>156</v>
      </c>
      <c r="B201" s="563">
        <v>115</v>
      </c>
      <c r="C201" s="437">
        <f>IFERROR('Device Resistance Tables'!D179,NA())</f>
        <v>16909.881931046515</v>
      </c>
      <c r="D201" s="388"/>
      <c r="E201" s="388"/>
      <c r="F201" s="388"/>
      <c r="G201" s="388"/>
      <c r="H201" s="388"/>
      <c r="I201" s="388"/>
      <c r="J201" s="388"/>
      <c r="K201" s="388"/>
      <c r="L201" s="388"/>
      <c r="M201" s="388"/>
      <c r="N201" s="388"/>
      <c r="O201" s="388"/>
      <c r="P201" s="388"/>
      <c r="Q201" s="388"/>
      <c r="R201" s="388"/>
    </row>
    <row r="202" spans="1:18" ht="15" x14ac:dyDescent="0.25">
      <c r="A202" s="562">
        <v>157</v>
      </c>
      <c r="B202" s="563">
        <v>116</v>
      </c>
      <c r="C202" s="437">
        <f>IFERROR('Device Resistance Tables'!D180,NA())</f>
        <v>17005.230876708472</v>
      </c>
      <c r="D202" s="388"/>
      <c r="E202" s="388"/>
      <c r="F202" s="388"/>
      <c r="G202" s="388"/>
      <c r="H202" s="388"/>
      <c r="I202" s="388"/>
      <c r="J202" s="388"/>
      <c r="K202" s="388"/>
      <c r="L202" s="388"/>
      <c r="M202" s="388"/>
      <c r="N202" s="388"/>
      <c r="O202" s="388"/>
      <c r="P202" s="388"/>
      <c r="Q202" s="388"/>
      <c r="R202" s="388"/>
    </row>
    <row r="203" spans="1:18" ht="15" x14ac:dyDescent="0.25">
      <c r="A203" s="562">
        <v>158</v>
      </c>
      <c r="B203" s="563">
        <v>117</v>
      </c>
      <c r="C203" s="437">
        <f>IFERROR('Device Resistance Tables'!D181,NA())</f>
        <v>17101.065567813948</v>
      </c>
      <c r="D203" s="388"/>
      <c r="E203" s="388"/>
      <c r="F203" s="388"/>
      <c r="G203" s="388"/>
      <c r="H203" s="388"/>
      <c r="I203" s="388"/>
      <c r="J203" s="388"/>
      <c r="K203" s="388"/>
      <c r="L203" s="388"/>
      <c r="M203" s="388"/>
      <c r="N203" s="388"/>
      <c r="O203" s="388"/>
      <c r="P203" s="388"/>
      <c r="Q203" s="388"/>
      <c r="R203" s="388"/>
    </row>
    <row r="204" spans="1:18" ht="15" x14ac:dyDescent="0.25">
      <c r="A204" s="562">
        <v>159</v>
      </c>
      <c r="B204" s="563">
        <v>118</v>
      </c>
      <c r="C204" s="437">
        <f>IFERROR('Device Resistance Tables'!D182,NA())</f>
        <v>17197.390066823598</v>
      </c>
      <c r="D204" s="388"/>
      <c r="E204" s="388"/>
      <c r="F204" s="388"/>
      <c r="G204" s="388"/>
      <c r="H204" s="388"/>
      <c r="I204" s="388"/>
      <c r="J204" s="388"/>
      <c r="K204" s="388"/>
      <c r="L204" s="388"/>
      <c r="M204" s="388"/>
      <c r="N204" s="388"/>
      <c r="O204" s="388"/>
      <c r="P204" s="388"/>
      <c r="Q204" s="388"/>
      <c r="R204" s="388"/>
    </row>
    <row r="205" spans="1:18" ht="15" x14ac:dyDescent="0.25">
      <c r="A205" s="562">
        <v>160</v>
      </c>
      <c r="B205" s="563">
        <v>119</v>
      </c>
      <c r="C205" s="437">
        <f>IFERROR('Device Resistance Tables'!D183,NA())</f>
        <v>17294.208479449517</v>
      </c>
      <c r="D205" s="388"/>
      <c r="E205" s="388"/>
      <c r="F205" s="388"/>
      <c r="G205" s="388"/>
      <c r="H205" s="388"/>
      <c r="I205" s="388"/>
      <c r="J205" s="388"/>
      <c r="K205" s="388"/>
      <c r="L205" s="388"/>
      <c r="M205" s="388"/>
      <c r="N205" s="388"/>
      <c r="O205" s="388"/>
      <c r="P205" s="388"/>
      <c r="Q205" s="388"/>
      <c r="R205" s="388"/>
    </row>
    <row r="206" spans="1:18" ht="15" x14ac:dyDescent="0.25">
      <c r="A206" s="562">
        <v>161</v>
      </c>
      <c r="B206" s="563">
        <v>120</v>
      </c>
      <c r="C206" s="437">
        <f>IFERROR('Device Resistance Tables'!D184,NA())</f>
        <v>17391.524954655222</v>
      </c>
      <c r="D206" s="388"/>
      <c r="E206" s="388"/>
      <c r="F206" s="388"/>
      <c r="G206" s="388"/>
      <c r="H206" s="388"/>
      <c r="I206" s="388"/>
      <c r="J206" s="388"/>
      <c r="K206" s="388"/>
      <c r="L206" s="388"/>
      <c r="M206" s="388"/>
      <c r="N206" s="388"/>
      <c r="O206" s="388"/>
      <c r="P206" s="388"/>
      <c r="Q206" s="388"/>
      <c r="R206" s="388"/>
    </row>
    <row r="207" spans="1:18" ht="15" x14ac:dyDescent="0.25">
      <c r="A207" s="562">
        <v>162</v>
      </c>
      <c r="B207" s="563">
        <v>121</v>
      </c>
      <c r="C207" s="437">
        <f>IFERROR('Device Resistance Tables'!D185,NA())</f>
        <v>17489.343684655698</v>
      </c>
      <c r="D207" s="388"/>
      <c r="E207" s="388"/>
      <c r="F207" s="388"/>
      <c r="G207" s="388"/>
      <c r="H207" s="388"/>
      <c r="I207" s="388"/>
      <c r="J207" s="388"/>
      <c r="K207" s="388"/>
      <c r="L207" s="388"/>
      <c r="M207" s="388"/>
      <c r="N207" s="388"/>
      <c r="O207" s="388"/>
      <c r="P207" s="388"/>
      <c r="Q207" s="388"/>
      <c r="R207" s="388"/>
    </row>
    <row r="208" spans="1:18" ht="15" x14ac:dyDescent="0.25">
      <c r="A208" s="562">
        <v>163</v>
      </c>
      <c r="B208" s="563">
        <v>122</v>
      </c>
      <c r="C208" s="437">
        <f>IFERROR('Device Resistance Tables'!D186,NA())</f>
        <v>17587.668904917358</v>
      </c>
      <c r="D208" s="388"/>
      <c r="E208" s="388"/>
      <c r="F208" s="388"/>
      <c r="G208" s="388"/>
      <c r="H208" s="388"/>
      <c r="I208" s="388"/>
      <c r="J208" s="388"/>
      <c r="K208" s="388"/>
      <c r="L208" s="388"/>
      <c r="M208" s="388"/>
      <c r="N208" s="388"/>
      <c r="O208" s="388"/>
      <c r="P208" s="388"/>
      <c r="Q208" s="388"/>
      <c r="R208" s="388"/>
    </row>
    <row r="209" spans="1:18" ht="15" x14ac:dyDescent="0.25">
      <c r="A209" s="562">
        <v>164</v>
      </c>
      <c r="B209" s="563">
        <v>123</v>
      </c>
      <c r="C209" s="437">
        <f>IFERROR('Device Resistance Tables'!D187,NA())</f>
        <v>17686.504894158057</v>
      </c>
      <c r="D209" s="388"/>
      <c r="E209" s="388"/>
      <c r="F209" s="388"/>
      <c r="G209" s="388"/>
      <c r="H209" s="388"/>
      <c r="I209" s="388"/>
      <c r="J209" s="388"/>
      <c r="K209" s="388"/>
      <c r="L209" s="388"/>
      <c r="M209" s="388"/>
      <c r="N209" s="388"/>
      <c r="O209" s="388"/>
      <c r="P209" s="388"/>
      <c r="Q209" s="388"/>
      <c r="R209" s="388"/>
    </row>
    <row r="210" spans="1:18" ht="15" x14ac:dyDescent="0.25">
      <c r="A210" s="562">
        <v>165</v>
      </c>
      <c r="B210" s="563">
        <v>124</v>
      </c>
      <c r="C210" s="437">
        <f>IFERROR('Device Resistance Tables'!D188,NA())</f>
        <v>17785.855974347101</v>
      </c>
      <c r="D210" s="388"/>
      <c r="E210" s="388"/>
      <c r="F210" s="388"/>
      <c r="G210" s="388"/>
      <c r="H210" s="388"/>
      <c r="I210" s="388"/>
      <c r="J210" s="388"/>
      <c r="K210" s="388"/>
      <c r="L210" s="388"/>
      <c r="M210" s="388"/>
      <c r="N210" s="388"/>
      <c r="O210" s="388"/>
      <c r="P210" s="388"/>
      <c r="Q210" s="388"/>
      <c r="R210" s="388"/>
    </row>
    <row r="211" spans="1:18" ht="15" x14ac:dyDescent="0.25">
      <c r="A211" s="562">
        <v>166</v>
      </c>
      <c r="B211" s="563">
        <v>125</v>
      </c>
      <c r="C211" s="437">
        <f>IFERROR('Device Resistance Tables'!D189,NA())</f>
        <v>17885.726510705219</v>
      </c>
      <c r="D211" s="388"/>
      <c r="E211" s="388"/>
      <c r="F211" s="388"/>
      <c r="G211" s="388"/>
      <c r="H211" s="388"/>
      <c r="I211" s="388"/>
      <c r="J211" s="388"/>
      <c r="K211" s="388"/>
      <c r="L211" s="388"/>
      <c r="M211" s="388"/>
      <c r="N211" s="388"/>
      <c r="O211" s="388"/>
      <c r="P211" s="388"/>
      <c r="Q211" s="388"/>
      <c r="R211" s="388"/>
    </row>
    <row r="212" spans="1:18" ht="15" x14ac:dyDescent="0.25">
      <c r="A212" s="562">
        <v>167</v>
      </c>
      <c r="B212" s="563">
        <v>126</v>
      </c>
      <c r="C212" s="437" t="str">
        <f>IFERROR('Device Resistance Tables'!D190," ")</f>
        <v xml:space="preserve"> </v>
      </c>
      <c r="D212" s="388"/>
      <c r="E212" s="388"/>
      <c r="F212" s="388"/>
      <c r="G212" s="388"/>
      <c r="H212" s="388"/>
      <c r="I212" s="388"/>
      <c r="J212" s="388"/>
      <c r="K212" s="388"/>
      <c r="L212" s="388"/>
      <c r="M212" s="388"/>
      <c r="N212" s="388"/>
      <c r="O212" s="388"/>
      <c r="P212" s="388"/>
      <c r="Q212" s="388"/>
      <c r="R212" s="388"/>
    </row>
    <row r="213" spans="1:18" ht="15" x14ac:dyDescent="0.25">
      <c r="A213" s="562">
        <v>168</v>
      </c>
      <c r="B213" s="563">
        <v>127</v>
      </c>
      <c r="C213" s="437" t="str">
        <f>IFERROR('Device Resistance Tables'!D191," ")</f>
        <v xml:space="preserve"> </v>
      </c>
      <c r="D213" s="388"/>
      <c r="E213" s="388"/>
      <c r="F213" s="388"/>
      <c r="G213" s="388"/>
      <c r="H213" s="388"/>
      <c r="I213" s="388"/>
      <c r="J213" s="388"/>
      <c r="K213" s="388"/>
      <c r="L213" s="388"/>
      <c r="M213" s="388"/>
      <c r="N213" s="388"/>
      <c r="O213" s="388"/>
      <c r="P213" s="388"/>
      <c r="Q213" s="388"/>
      <c r="R213" s="388"/>
    </row>
    <row r="214" spans="1:18" ht="15" x14ac:dyDescent="0.25">
      <c r="A214" s="562">
        <v>169</v>
      </c>
      <c r="B214" s="563">
        <v>128</v>
      </c>
      <c r="C214" s="437" t="str">
        <f>IFERROR('Device Resistance Tables'!D192," ")</f>
        <v xml:space="preserve"> </v>
      </c>
      <c r="D214" s="388"/>
      <c r="E214" s="388"/>
      <c r="F214" s="388"/>
      <c r="G214" s="388"/>
      <c r="H214" s="388"/>
      <c r="I214" s="388"/>
      <c r="J214" s="388"/>
      <c r="K214" s="388"/>
      <c r="L214" s="388"/>
      <c r="M214" s="388"/>
      <c r="N214" s="388"/>
      <c r="O214" s="388"/>
      <c r="P214" s="388"/>
      <c r="Q214" s="388"/>
      <c r="R214" s="388"/>
    </row>
    <row r="215" spans="1:18" ht="15" x14ac:dyDescent="0.25">
      <c r="A215" s="562">
        <v>170</v>
      </c>
      <c r="B215" s="563">
        <v>129</v>
      </c>
      <c r="C215" s="437" t="str">
        <f>IFERROR('Device Resistance Tables'!D193," ")</f>
        <v xml:space="preserve"> </v>
      </c>
      <c r="D215" s="388"/>
      <c r="E215" s="388"/>
      <c r="F215" s="388"/>
      <c r="G215" s="388"/>
      <c r="H215" s="388"/>
      <c r="I215" s="388"/>
      <c r="J215" s="388"/>
      <c r="K215" s="388"/>
      <c r="L215" s="388"/>
      <c r="M215" s="388"/>
      <c r="N215" s="388"/>
      <c r="O215" s="388"/>
      <c r="P215" s="388"/>
      <c r="Q215" s="388"/>
      <c r="R215" s="388"/>
    </row>
    <row r="216" spans="1:18" ht="15" x14ac:dyDescent="0.25">
      <c r="A216" s="562">
        <v>171</v>
      </c>
      <c r="B216" s="563">
        <v>130</v>
      </c>
      <c r="C216" s="437" t="str">
        <f>IFERROR('Device Resistance Tables'!D194," ")</f>
        <v xml:space="preserve"> </v>
      </c>
      <c r="D216" s="388"/>
      <c r="E216" s="388"/>
      <c r="F216" s="388"/>
      <c r="G216" s="388"/>
      <c r="H216" s="388"/>
      <c r="I216" s="388"/>
      <c r="J216" s="388"/>
      <c r="K216" s="388"/>
      <c r="L216" s="388"/>
      <c r="M216" s="388"/>
      <c r="N216" s="388"/>
      <c r="O216" s="388"/>
      <c r="P216" s="388"/>
      <c r="Q216" s="388"/>
      <c r="R216" s="388"/>
    </row>
    <row r="217" spans="1:18" ht="15" x14ac:dyDescent="0.25">
      <c r="A217" s="562">
        <v>172</v>
      </c>
      <c r="B217" s="563">
        <v>131</v>
      </c>
      <c r="C217" s="437" t="str">
        <f>IFERROR('Device Resistance Tables'!D195," ")</f>
        <v xml:space="preserve"> </v>
      </c>
      <c r="D217" s="388"/>
      <c r="E217" s="388"/>
      <c r="F217" s="388"/>
      <c r="G217" s="388"/>
      <c r="H217" s="388"/>
      <c r="I217" s="388"/>
      <c r="J217" s="388"/>
      <c r="K217" s="388"/>
      <c r="L217" s="388"/>
      <c r="M217" s="388"/>
      <c r="N217" s="388"/>
      <c r="O217" s="388"/>
      <c r="P217" s="388"/>
      <c r="Q217" s="388"/>
      <c r="R217" s="388"/>
    </row>
    <row r="218" spans="1:18" ht="15" x14ac:dyDescent="0.25">
      <c r="A218" s="562">
        <v>173</v>
      </c>
      <c r="B218" s="563">
        <v>132</v>
      </c>
      <c r="C218" s="437" t="str">
        <f>IFERROR('Device Resistance Tables'!D196," ")</f>
        <v xml:space="preserve"> </v>
      </c>
      <c r="D218" s="388"/>
      <c r="E218" s="388"/>
      <c r="F218" s="388"/>
      <c r="G218" s="388"/>
      <c r="H218" s="388"/>
      <c r="I218" s="388"/>
      <c r="J218" s="388"/>
      <c r="K218" s="388"/>
      <c r="L218" s="388"/>
      <c r="M218" s="388"/>
      <c r="N218" s="388"/>
      <c r="O218" s="388"/>
      <c r="P218" s="388"/>
      <c r="Q218" s="388"/>
      <c r="R218" s="388"/>
    </row>
    <row r="219" spans="1:18" ht="15" x14ac:dyDescent="0.25">
      <c r="A219" s="562">
        <v>174</v>
      </c>
      <c r="B219" s="563">
        <v>133</v>
      </c>
      <c r="C219" s="437" t="str">
        <f>IFERROR('Device Resistance Tables'!D197," ")</f>
        <v xml:space="preserve"> </v>
      </c>
      <c r="D219" s="388"/>
      <c r="E219" s="388"/>
      <c r="F219" s="388"/>
      <c r="G219" s="388"/>
      <c r="H219" s="388"/>
      <c r="I219" s="388"/>
      <c r="J219" s="388"/>
      <c r="K219" s="388"/>
      <c r="L219" s="388"/>
      <c r="M219" s="388"/>
      <c r="N219" s="388"/>
      <c r="O219" s="388"/>
      <c r="P219" s="388"/>
      <c r="Q219" s="388"/>
      <c r="R219" s="388"/>
    </row>
    <row r="220" spans="1:18" ht="15" x14ac:dyDescent="0.25">
      <c r="A220" s="562">
        <v>175</v>
      </c>
      <c r="B220" s="563">
        <v>134</v>
      </c>
      <c r="C220" s="437" t="str">
        <f>IFERROR('Device Resistance Tables'!D198," ")</f>
        <v xml:space="preserve"> </v>
      </c>
      <c r="D220" s="388"/>
      <c r="E220" s="388"/>
      <c r="F220" s="388"/>
      <c r="G220" s="388"/>
      <c r="H220" s="388"/>
      <c r="I220" s="388"/>
      <c r="J220" s="388"/>
      <c r="K220" s="388"/>
      <c r="L220" s="388"/>
      <c r="M220" s="388"/>
      <c r="N220" s="388"/>
      <c r="O220" s="388"/>
      <c r="P220" s="388"/>
      <c r="Q220" s="388"/>
      <c r="R220" s="388"/>
    </row>
    <row r="221" spans="1:18" ht="15" x14ac:dyDescent="0.25">
      <c r="A221" s="562">
        <v>176</v>
      </c>
      <c r="B221" s="563">
        <v>135</v>
      </c>
      <c r="C221" s="437" t="str">
        <f>IFERROR('Device Resistance Tables'!D199," ")</f>
        <v xml:space="preserve"> </v>
      </c>
      <c r="D221" s="388"/>
      <c r="E221" s="388"/>
      <c r="F221" s="388"/>
      <c r="G221" s="388"/>
      <c r="H221" s="388"/>
      <c r="I221" s="388"/>
      <c r="J221" s="388"/>
      <c r="K221" s="388"/>
      <c r="L221" s="388"/>
      <c r="M221" s="388"/>
      <c r="N221" s="388"/>
      <c r="O221" s="388"/>
      <c r="P221" s="388"/>
      <c r="Q221" s="388"/>
      <c r="R221" s="388"/>
    </row>
    <row r="222" spans="1:18" ht="15" x14ac:dyDescent="0.25">
      <c r="A222" s="562">
        <v>177</v>
      </c>
      <c r="B222" s="563">
        <v>136</v>
      </c>
      <c r="C222" s="437" t="str">
        <f>IFERROR('Device Resistance Tables'!D200," ")</f>
        <v xml:space="preserve"> </v>
      </c>
      <c r="D222" s="388"/>
      <c r="E222" s="388"/>
      <c r="F222" s="388"/>
      <c r="G222" s="388"/>
      <c r="H222" s="388"/>
      <c r="I222" s="388"/>
      <c r="J222" s="388"/>
      <c r="K222" s="388"/>
      <c r="L222" s="388"/>
      <c r="M222" s="388"/>
      <c r="N222" s="388"/>
      <c r="O222" s="388"/>
      <c r="P222" s="388"/>
      <c r="Q222" s="388"/>
      <c r="R222" s="388"/>
    </row>
    <row r="223" spans="1:18" ht="15" x14ac:dyDescent="0.25">
      <c r="A223" s="562">
        <v>178</v>
      </c>
      <c r="B223" s="563">
        <v>137</v>
      </c>
      <c r="C223" s="437" t="str">
        <f>IFERROR('Device Resistance Tables'!D201," ")</f>
        <v xml:space="preserve"> </v>
      </c>
      <c r="D223" s="388"/>
      <c r="E223" s="388"/>
      <c r="F223" s="388"/>
      <c r="G223" s="388"/>
      <c r="H223" s="388"/>
      <c r="I223" s="388"/>
      <c r="J223" s="388"/>
      <c r="K223" s="388"/>
      <c r="L223" s="388"/>
      <c r="M223" s="388"/>
      <c r="N223" s="388"/>
      <c r="O223" s="388"/>
      <c r="P223" s="388"/>
      <c r="Q223" s="388"/>
      <c r="R223" s="388"/>
    </row>
    <row r="224" spans="1:18" ht="15" x14ac:dyDescent="0.25">
      <c r="A224" s="562">
        <v>179</v>
      </c>
      <c r="B224" s="563">
        <v>138</v>
      </c>
      <c r="C224" s="437" t="str">
        <f>IFERROR('Device Resistance Tables'!D202," ")</f>
        <v xml:space="preserve"> </v>
      </c>
      <c r="D224" s="388"/>
      <c r="E224" s="388"/>
      <c r="F224" s="388"/>
      <c r="G224" s="388"/>
      <c r="H224" s="388"/>
      <c r="I224" s="388"/>
      <c r="J224" s="388"/>
      <c r="K224" s="388"/>
      <c r="L224" s="388"/>
      <c r="M224" s="388"/>
      <c r="N224" s="388"/>
      <c r="O224" s="388"/>
      <c r="P224" s="388"/>
      <c r="Q224" s="388"/>
      <c r="R224" s="388"/>
    </row>
    <row r="225" spans="1:18" ht="15" x14ac:dyDescent="0.25">
      <c r="A225" s="562">
        <v>180</v>
      </c>
      <c r="B225" s="563">
        <v>139</v>
      </c>
      <c r="C225" s="437" t="str">
        <f>IFERROR('Device Resistance Tables'!D203," ")</f>
        <v xml:space="preserve"> </v>
      </c>
      <c r="D225" s="388"/>
      <c r="E225" s="388"/>
      <c r="F225" s="388"/>
      <c r="G225" s="388"/>
      <c r="H225" s="388"/>
      <c r="I225" s="388"/>
      <c r="J225" s="388"/>
      <c r="K225" s="388"/>
      <c r="L225" s="388"/>
      <c r="M225" s="388"/>
      <c r="N225" s="388"/>
      <c r="O225" s="388"/>
      <c r="P225" s="388"/>
      <c r="Q225" s="388"/>
      <c r="R225" s="388"/>
    </row>
    <row r="226" spans="1:18" ht="15" x14ac:dyDescent="0.25">
      <c r="A226" s="562">
        <v>181</v>
      </c>
      <c r="B226" s="563">
        <v>140</v>
      </c>
      <c r="C226" s="437" t="str">
        <f>IFERROR('Device Resistance Tables'!D204," ")</f>
        <v xml:space="preserve"> </v>
      </c>
      <c r="D226" s="388"/>
      <c r="E226" s="388"/>
      <c r="F226" s="388"/>
      <c r="G226" s="388"/>
      <c r="H226" s="388"/>
      <c r="I226" s="388"/>
      <c r="J226" s="388"/>
      <c r="K226" s="388"/>
      <c r="L226" s="388"/>
      <c r="M226" s="388"/>
      <c r="N226" s="388"/>
      <c r="O226" s="388"/>
      <c r="P226" s="388"/>
      <c r="Q226" s="388"/>
      <c r="R226" s="388"/>
    </row>
    <row r="227" spans="1:18" ht="15" x14ac:dyDescent="0.25">
      <c r="A227" s="562">
        <v>182</v>
      </c>
      <c r="B227" s="563">
        <v>141</v>
      </c>
      <c r="C227" s="437" t="str">
        <f>IFERROR('Device Resistance Tables'!D205," ")</f>
        <v xml:space="preserve"> </v>
      </c>
      <c r="D227" s="388"/>
      <c r="E227" s="388"/>
      <c r="F227" s="388"/>
      <c r="G227" s="388"/>
      <c r="H227" s="388"/>
      <c r="I227" s="388"/>
      <c r="J227" s="388"/>
      <c r="K227" s="388"/>
      <c r="L227" s="388"/>
      <c r="M227" s="388"/>
      <c r="N227" s="388"/>
      <c r="O227" s="388"/>
      <c r="P227" s="388"/>
      <c r="Q227" s="388"/>
      <c r="R227" s="388"/>
    </row>
    <row r="228" spans="1:18" ht="15" x14ac:dyDescent="0.25">
      <c r="A228" s="562">
        <v>183</v>
      </c>
      <c r="B228" s="563">
        <v>142</v>
      </c>
      <c r="C228" s="437" t="str">
        <f>IFERROR('Device Resistance Tables'!D206," ")</f>
        <v xml:space="preserve"> </v>
      </c>
      <c r="D228" s="388"/>
      <c r="E228" s="388"/>
      <c r="F228" s="388"/>
      <c r="G228" s="388"/>
      <c r="H228" s="388"/>
      <c r="I228" s="388"/>
      <c r="J228" s="388"/>
      <c r="K228" s="388"/>
      <c r="L228" s="388"/>
      <c r="M228" s="388"/>
      <c r="N228" s="388"/>
      <c r="O228" s="388"/>
      <c r="P228" s="388"/>
      <c r="Q228" s="388"/>
      <c r="R228" s="388"/>
    </row>
    <row r="229" spans="1:18" ht="15" x14ac:dyDescent="0.25">
      <c r="A229" s="562">
        <v>184</v>
      </c>
      <c r="B229" s="563">
        <v>143</v>
      </c>
      <c r="C229" s="437" t="str">
        <f>IFERROR('Device Resistance Tables'!D207," ")</f>
        <v xml:space="preserve"> </v>
      </c>
      <c r="D229" s="388"/>
      <c r="E229" s="388"/>
      <c r="F229" s="388"/>
      <c r="G229" s="388"/>
      <c r="H229" s="388"/>
      <c r="I229" s="388"/>
      <c r="J229" s="388"/>
      <c r="K229" s="388"/>
      <c r="L229" s="388"/>
      <c r="M229" s="388"/>
      <c r="N229" s="388"/>
      <c r="O229" s="388"/>
      <c r="P229" s="388"/>
      <c r="Q229" s="388"/>
      <c r="R229" s="388"/>
    </row>
    <row r="230" spans="1:18" ht="15" x14ac:dyDescent="0.25">
      <c r="A230" s="562">
        <v>185</v>
      </c>
      <c r="B230" s="563">
        <v>144</v>
      </c>
      <c r="C230" s="437" t="str">
        <f>IFERROR('Device Resistance Tables'!D208," ")</f>
        <v xml:space="preserve"> </v>
      </c>
      <c r="D230" s="388"/>
      <c r="E230" s="388"/>
      <c r="F230" s="388"/>
      <c r="G230" s="388"/>
      <c r="H230" s="388"/>
      <c r="I230" s="388"/>
      <c r="J230" s="388"/>
      <c r="K230" s="388"/>
      <c r="L230" s="388"/>
      <c r="M230" s="388"/>
      <c r="N230" s="388"/>
      <c r="O230" s="388"/>
      <c r="P230" s="388"/>
      <c r="Q230" s="388"/>
      <c r="R230" s="388"/>
    </row>
    <row r="231" spans="1:18" ht="15" x14ac:dyDescent="0.25">
      <c r="A231" s="562">
        <v>186</v>
      </c>
      <c r="B231" s="563">
        <v>145</v>
      </c>
      <c r="C231" s="437" t="str">
        <f>IFERROR('Device Resistance Tables'!D209," ")</f>
        <v xml:space="preserve"> </v>
      </c>
      <c r="D231" s="388"/>
      <c r="E231" s="388"/>
      <c r="F231" s="388"/>
      <c r="G231" s="388"/>
      <c r="H231" s="388"/>
      <c r="I231" s="388"/>
      <c r="J231" s="388"/>
      <c r="K231" s="388"/>
      <c r="L231" s="388"/>
      <c r="M231" s="388"/>
      <c r="N231" s="388"/>
      <c r="O231" s="388"/>
      <c r="P231" s="388"/>
      <c r="Q231" s="388"/>
      <c r="R231" s="388"/>
    </row>
    <row r="232" spans="1:18" ht="15" x14ac:dyDescent="0.25">
      <c r="A232" s="562">
        <v>187</v>
      </c>
      <c r="B232" s="563">
        <v>146</v>
      </c>
      <c r="C232" s="437" t="str">
        <f>IFERROR('Device Resistance Tables'!D210," ")</f>
        <v xml:space="preserve"> </v>
      </c>
      <c r="D232" s="388"/>
      <c r="E232" s="388"/>
      <c r="F232" s="388"/>
      <c r="G232" s="388"/>
      <c r="H232" s="388"/>
      <c r="I232" s="388"/>
      <c r="J232" s="388"/>
      <c r="K232" s="388"/>
      <c r="L232" s="388"/>
      <c r="M232" s="388"/>
      <c r="N232" s="388"/>
      <c r="O232" s="388"/>
      <c r="P232" s="388"/>
      <c r="Q232" s="388"/>
      <c r="R232" s="388"/>
    </row>
    <row r="233" spans="1:18" ht="15" x14ac:dyDescent="0.25">
      <c r="A233" s="562">
        <v>188</v>
      </c>
      <c r="B233" s="563">
        <v>147</v>
      </c>
      <c r="C233" s="437" t="str">
        <f>IFERROR('Device Resistance Tables'!D211," ")</f>
        <v xml:space="preserve"> </v>
      </c>
      <c r="D233" s="388"/>
      <c r="E233" s="388"/>
      <c r="F233" s="388"/>
      <c r="G233" s="388"/>
      <c r="H233" s="388"/>
      <c r="I233" s="388"/>
      <c r="J233" s="388"/>
      <c r="K233" s="388"/>
      <c r="L233" s="388"/>
      <c r="M233" s="388"/>
      <c r="N233" s="388"/>
      <c r="O233" s="388"/>
      <c r="P233" s="388"/>
      <c r="Q233" s="388"/>
      <c r="R233" s="388"/>
    </row>
    <row r="234" spans="1:18" ht="15" x14ac:dyDescent="0.25">
      <c r="A234" s="562">
        <v>189</v>
      </c>
      <c r="B234" s="563">
        <v>148</v>
      </c>
      <c r="C234" s="437" t="str">
        <f>IFERROR('Device Resistance Tables'!D212," ")</f>
        <v xml:space="preserve"> </v>
      </c>
      <c r="D234" s="388"/>
      <c r="E234" s="388"/>
      <c r="F234" s="388"/>
      <c r="G234" s="388"/>
      <c r="H234" s="388"/>
      <c r="I234" s="388"/>
      <c r="J234" s="388"/>
      <c r="K234" s="388"/>
      <c r="L234" s="388"/>
      <c r="M234" s="388"/>
      <c r="N234" s="388"/>
      <c r="O234" s="388"/>
      <c r="P234" s="388"/>
      <c r="Q234" s="388"/>
      <c r="R234" s="388"/>
    </row>
    <row r="235" spans="1:18" ht="15" x14ac:dyDescent="0.25">
      <c r="A235" s="562">
        <v>190</v>
      </c>
      <c r="B235" s="563">
        <v>149</v>
      </c>
      <c r="C235" s="437" t="str">
        <f>IFERROR('Device Resistance Tables'!D213," ")</f>
        <v xml:space="preserve"> </v>
      </c>
      <c r="D235" s="388"/>
      <c r="E235" s="388"/>
      <c r="F235" s="388"/>
      <c r="G235" s="388"/>
      <c r="H235" s="388"/>
      <c r="I235" s="388"/>
      <c r="J235" s="388"/>
      <c r="K235" s="388"/>
      <c r="L235" s="388"/>
      <c r="M235" s="388"/>
      <c r="N235" s="388"/>
      <c r="O235" s="388"/>
      <c r="P235" s="388"/>
      <c r="Q235" s="388"/>
      <c r="R235" s="388"/>
    </row>
    <row r="236" spans="1:18" ht="15" x14ac:dyDescent="0.25">
      <c r="A236" s="562">
        <v>191</v>
      </c>
      <c r="B236" s="563">
        <v>150</v>
      </c>
      <c r="C236" s="437" t="str">
        <f>IFERROR('Device Resistance Tables'!D214," ")</f>
        <v xml:space="preserve"> </v>
      </c>
      <c r="D236" s="388"/>
      <c r="E236" s="388"/>
      <c r="F236" s="388"/>
      <c r="G236" s="388"/>
      <c r="H236" s="388"/>
      <c r="I236" s="388"/>
      <c r="J236" s="388"/>
      <c r="K236" s="388"/>
      <c r="L236" s="388"/>
      <c r="M236" s="388"/>
      <c r="N236" s="388"/>
      <c r="O236" s="388"/>
      <c r="P236" s="388"/>
      <c r="Q236" s="388"/>
      <c r="R236" s="388"/>
    </row>
    <row r="237" spans="1:18" ht="15" x14ac:dyDescent="0.25">
      <c r="A237" s="562">
        <v>192</v>
      </c>
      <c r="B237" s="563">
        <v>151</v>
      </c>
      <c r="C237" s="437" t="str">
        <f>IFERROR('Device Resistance Tables'!D215," ")</f>
        <v xml:space="preserve"> </v>
      </c>
      <c r="D237" s="388"/>
      <c r="E237" s="388"/>
      <c r="F237" s="388"/>
      <c r="G237" s="388"/>
      <c r="H237" s="388"/>
      <c r="I237" s="388"/>
      <c r="J237" s="388"/>
      <c r="K237" s="388"/>
      <c r="L237" s="388"/>
      <c r="M237" s="388"/>
      <c r="N237" s="388"/>
      <c r="O237" s="388"/>
      <c r="P237" s="388"/>
      <c r="Q237" s="388"/>
      <c r="R237" s="388"/>
    </row>
    <row r="238" spans="1:18" s="258" customFormat="1" ht="15" x14ac:dyDescent="0.25">
      <c r="A238" s="562">
        <v>193</v>
      </c>
      <c r="B238" s="563">
        <v>152</v>
      </c>
      <c r="C238" s="437" t="str">
        <f>IFERROR('Device Resistance Tables'!D216," ")</f>
        <v xml:space="preserve"> </v>
      </c>
      <c r="D238" s="388"/>
      <c r="E238" s="388"/>
      <c r="F238" s="388"/>
      <c r="G238" s="388"/>
      <c r="H238" s="388"/>
      <c r="I238" s="388"/>
      <c r="J238" s="388"/>
      <c r="K238" s="388"/>
      <c r="L238" s="388"/>
      <c r="M238" s="388"/>
      <c r="N238" s="388"/>
      <c r="O238" s="388"/>
      <c r="P238" s="388"/>
      <c r="Q238" s="388"/>
      <c r="R238" s="388"/>
    </row>
    <row r="239" spans="1:18" s="258" customFormat="1" ht="15" x14ac:dyDescent="0.25">
      <c r="A239" s="562">
        <v>194</v>
      </c>
      <c r="B239" s="563">
        <v>153</v>
      </c>
      <c r="C239" s="437" t="str">
        <f>IFERROR('Device Resistance Tables'!D217," ")</f>
        <v xml:space="preserve"> </v>
      </c>
      <c r="D239" s="388"/>
      <c r="E239" s="388"/>
      <c r="F239" s="388"/>
      <c r="G239" s="388"/>
      <c r="H239" s="388"/>
      <c r="I239" s="388"/>
      <c r="J239" s="388"/>
      <c r="K239" s="388"/>
      <c r="L239" s="388"/>
      <c r="M239" s="388"/>
      <c r="N239" s="388"/>
      <c r="O239" s="388"/>
      <c r="P239" s="388"/>
      <c r="Q239" s="388"/>
      <c r="R239" s="388"/>
    </row>
    <row r="240" spans="1:18" s="258" customFormat="1" ht="15" x14ac:dyDescent="0.25">
      <c r="A240" s="562">
        <v>195</v>
      </c>
      <c r="B240" s="563">
        <v>154</v>
      </c>
      <c r="C240" s="437" t="str">
        <f>IFERROR('Device Resistance Tables'!D218," ")</f>
        <v xml:space="preserve"> </v>
      </c>
      <c r="D240" s="388"/>
      <c r="E240" s="388"/>
      <c r="F240" s="388"/>
      <c r="G240" s="388"/>
      <c r="H240" s="388"/>
      <c r="I240" s="388"/>
      <c r="J240" s="388"/>
      <c r="K240" s="388"/>
      <c r="L240" s="388"/>
      <c r="M240" s="388"/>
      <c r="N240" s="388"/>
      <c r="O240" s="388"/>
      <c r="P240" s="388"/>
      <c r="Q240" s="388"/>
      <c r="R240" s="388"/>
    </row>
    <row r="241" spans="1:18" s="258" customFormat="1" ht="15" x14ac:dyDescent="0.25">
      <c r="A241" s="562">
        <v>196</v>
      </c>
      <c r="B241" s="563">
        <v>155</v>
      </c>
      <c r="C241" s="437" t="str">
        <f>IFERROR('Device Resistance Tables'!D219," ")</f>
        <v xml:space="preserve"> </v>
      </c>
      <c r="D241" s="388"/>
      <c r="E241" s="388"/>
      <c r="F241" s="388"/>
      <c r="G241" s="388"/>
      <c r="H241" s="388"/>
      <c r="I241" s="388"/>
      <c r="J241" s="388"/>
      <c r="K241" s="388"/>
      <c r="L241" s="388"/>
      <c r="M241" s="388"/>
      <c r="N241" s="388"/>
      <c r="O241" s="388"/>
      <c r="P241" s="388"/>
      <c r="Q241" s="388"/>
      <c r="R241" s="388"/>
    </row>
    <row r="242" spans="1:18" s="258" customFormat="1" ht="15" x14ac:dyDescent="0.25">
      <c r="A242" s="562">
        <v>197</v>
      </c>
      <c r="B242" s="563">
        <v>156</v>
      </c>
      <c r="C242" s="437" t="str">
        <f>IFERROR('Device Resistance Tables'!D220," ")</f>
        <v xml:space="preserve"> </v>
      </c>
      <c r="D242" s="388"/>
      <c r="E242" s="388"/>
      <c r="F242" s="388"/>
      <c r="G242" s="388"/>
      <c r="H242" s="388"/>
      <c r="I242" s="388"/>
      <c r="J242" s="388"/>
      <c r="K242" s="388"/>
      <c r="L242" s="388"/>
      <c r="M242" s="388"/>
      <c r="N242" s="388"/>
      <c r="O242" s="388"/>
      <c r="P242" s="388"/>
      <c r="Q242" s="388"/>
      <c r="R242" s="388"/>
    </row>
    <row r="243" spans="1:18" s="258" customFormat="1" ht="15" x14ac:dyDescent="0.25">
      <c r="A243" s="562">
        <v>198</v>
      </c>
      <c r="B243" s="563">
        <v>157</v>
      </c>
      <c r="C243" s="437" t="str">
        <f>IFERROR('Device Resistance Tables'!D221," ")</f>
        <v xml:space="preserve"> </v>
      </c>
      <c r="D243" s="388"/>
      <c r="E243" s="388"/>
      <c r="F243" s="388"/>
      <c r="G243" s="388"/>
      <c r="H243" s="388"/>
      <c r="I243" s="388"/>
      <c r="J243" s="388"/>
      <c r="K243" s="388"/>
      <c r="L243" s="388"/>
      <c r="M243" s="388"/>
      <c r="N243" s="388"/>
      <c r="O243" s="388"/>
      <c r="P243" s="388"/>
      <c r="Q243" s="388"/>
      <c r="R243" s="388"/>
    </row>
    <row r="244" spans="1:18" s="258" customFormat="1" ht="15" x14ac:dyDescent="0.25">
      <c r="A244" s="562">
        <v>199</v>
      </c>
      <c r="B244" s="563">
        <v>158</v>
      </c>
      <c r="C244" s="437" t="str">
        <f>IFERROR('Device Resistance Tables'!D222," ")</f>
        <v xml:space="preserve"> </v>
      </c>
      <c r="D244" s="388"/>
      <c r="E244" s="388"/>
      <c r="F244" s="388"/>
      <c r="G244" s="388"/>
      <c r="H244" s="388"/>
      <c r="I244" s="388"/>
      <c r="J244" s="388"/>
      <c r="K244" s="388"/>
      <c r="L244" s="388"/>
      <c r="M244" s="388"/>
      <c r="N244" s="388"/>
      <c r="O244" s="388"/>
      <c r="P244" s="388"/>
      <c r="Q244" s="388"/>
      <c r="R244" s="388"/>
    </row>
    <row r="245" spans="1:18" s="258" customFormat="1" ht="15" x14ac:dyDescent="0.25">
      <c r="A245" s="562">
        <v>200</v>
      </c>
      <c r="B245" s="563">
        <v>159</v>
      </c>
      <c r="C245" s="437" t="str">
        <f>IFERROR('Device Resistance Tables'!D223," ")</f>
        <v xml:space="preserve"> </v>
      </c>
      <c r="D245" s="388"/>
      <c r="E245" s="388"/>
      <c r="F245" s="388"/>
      <c r="G245" s="388"/>
      <c r="H245" s="388"/>
      <c r="I245" s="388"/>
      <c r="J245" s="388"/>
      <c r="K245" s="388"/>
      <c r="L245" s="388"/>
      <c r="M245" s="388"/>
      <c r="N245" s="388"/>
      <c r="O245" s="388"/>
      <c r="P245" s="388"/>
      <c r="Q245" s="388"/>
      <c r="R245" s="388"/>
    </row>
    <row r="246" spans="1:18" s="258" customFormat="1" ht="15" x14ac:dyDescent="0.25">
      <c r="A246" s="562">
        <v>201</v>
      </c>
      <c r="B246" s="563">
        <v>160</v>
      </c>
      <c r="C246" s="437" t="str">
        <f>IFERROR('Device Resistance Tables'!D224," ")</f>
        <v xml:space="preserve"> </v>
      </c>
      <c r="D246" s="388"/>
      <c r="E246" s="388"/>
      <c r="F246" s="388"/>
      <c r="G246" s="388"/>
      <c r="H246" s="388"/>
      <c r="I246" s="388"/>
      <c r="J246" s="388"/>
      <c r="K246" s="388"/>
      <c r="L246" s="388"/>
      <c r="M246" s="388"/>
      <c r="N246" s="388"/>
      <c r="O246" s="388"/>
      <c r="P246" s="388"/>
      <c r="Q246" s="388"/>
      <c r="R246" s="388"/>
    </row>
    <row r="247" spans="1:18" s="258" customFormat="1" ht="15" x14ac:dyDescent="0.25">
      <c r="A247" s="562">
        <v>202</v>
      </c>
      <c r="B247" s="563">
        <v>161</v>
      </c>
      <c r="C247" s="437" t="str">
        <f>IFERROR('Device Resistance Tables'!D225," ")</f>
        <v xml:space="preserve"> </v>
      </c>
      <c r="D247" s="388"/>
      <c r="E247" s="388"/>
      <c r="F247" s="388"/>
      <c r="G247" s="388"/>
      <c r="H247" s="388"/>
      <c r="I247" s="388"/>
      <c r="J247" s="388"/>
      <c r="K247" s="388"/>
      <c r="L247" s="388"/>
      <c r="M247" s="388"/>
      <c r="N247" s="388"/>
      <c r="O247" s="388"/>
      <c r="P247" s="388"/>
      <c r="Q247" s="388"/>
      <c r="R247" s="388"/>
    </row>
    <row r="248" spans="1:18" s="258" customFormat="1" ht="15" x14ac:dyDescent="0.25">
      <c r="A248" s="562">
        <v>203</v>
      </c>
      <c r="B248" s="563">
        <v>162</v>
      </c>
      <c r="C248" s="437" t="str">
        <f>IFERROR('Device Resistance Tables'!D226," ")</f>
        <v xml:space="preserve"> </v>
      </c>
      <c r="D248" s="388"/>
      <c r="E248" s="388"/>
      <c r="F248" s="388"/>
      <c r="G248" s="388"/>
      <c r="H248" s="388"/>
      <c r="I248" s="388"/>
      <c r="J248" s="388"/>
      <c r="K248" s="388"/>
      <c r="L248" s="388"/>
      <c r="M248" s="388"/>
      <c r="N248" s="388"/>
      <c r="O248" s="388"/>
      <c r="P248" s="388"/>
      <c r="Q248" s="388"/>
      <c r="R248" s="388"/>
    </row>
    <row r="249" spans="1:18" s="258" customFormat="1" ht="15" x14ac:dyDescent="0.25">
      <c r="A249" s="562">
        <v>204</v>
      </c>
      <c r="B249" s="563">
        <v>163</v>
      </c>
      <c r="C249" s="437" t="str">
        <f>IFERROR('Device Resistance Tables'!D227," ")</f>
        <v xml:space="preserve"> </v>
      </c>
      <c r="D249" s="388"/>
      <c r="E249" s="388"/>
      <c r="F249" s="388"/>
      <c r="G249" s="388"/>
      <c r="H249" s="388"/>
      <c r="I249" s="388"/>
      <c r="J249" s="388"/>
      <c r="K249" s="388"/>
      <c r="L249" s="388"/>
      <c r="M249" s="388"/>
      <c r="N249" s="388"/>
      <c r="O249" s="388"/>
      <c r="P249" s="388"/>
      <c r="Q249" s="388"/>
      <c r="R249" s="388"/>
    </row>
    <row r="250" spans="1:18" s="258" customFormat="1" ht="15" x14ac:dyDescent="0.25">
      <c r="A250" s="562">
        <v>205</v>
      </c>
      <c r="B250" s="563">
        <v>164</v>
      </c>
      <c r="C250" s="437" t="str">
        <f>IFERROR('Device Resistance Tables'!D228," ")</f>
        <v xml:space="preserve"> </v>
      </c>
      <c r="D250" s="388"/>
      <c r="E250" s="388"/>
      <c r="F250" s="388"/>
      <c r="G250" s="388"/>
      <c r="H250" s="388"/>
      <c r="I250" s="388"/>
      <c r="J250" s="388"/>
      <c r="K250" s="388"/>
      <c r="L250" s="388"/>
      <c r="M250" s="388"/>
      <c r="N250" s="388"/>
      <c r="O250" s="388"/>
      <c r="P250" s="388"/>
      <c r="Q250" s="388"/>
      <c r="R250" s="388"/>
    </row>
    <row r="251" spans="1:18" s="258" customFormat="1" ht="15" x14ac:dyDescent="0.25">
      <c r="A251" s="562">
        <v>206</v>
      </c>
      <c r="B251" s="563">
        <v>165</v>
      </c>
      <c r="C251" s="437" t="str">
        <f>IFERROR('Device Resistance Tables'!D229," ")</f>
        <v xml:space="preserve"> </v>
      </c>
      <c r="D251" s="388"/>
      <c r="E251" s="388"/>
      <c r="F251" s="388"/>
      <c r="G251" s="388"/>
      <c r="H251" s="388"/>
      <c r="I251" s="388"/>
      <c r="J251" s="388"/>
      <c r="K251" s="388"/>
      <c r="L251" s="388"/>
      <c r="M251" s="388"/>
      <c r="N251" s="388"/>
      <c r="O251" s="388"/>
      <c r="P251" s="388"/>
      <c r="Q251" s="388"/>
      <c r="R251" s="388"/>
    </row>
    <row r="252" spans="1:18" s="258" customFormat="1" ht="15" x14ac:dyDescent="0.25">
      <c r="A252" s="562">
        <v>207</v>
      </c>
      <c r="B252" s="563">
        <v>166</v>
      </c>
      <c r="C252" s="437" t="str">
        <f>IFERROR('Device Resistance Tables'!D230," ")</f>
        <v xml:space="preserve"> </v>
      </c>
      <c r="D252" s="388"/>
      <c r="E252" s="388"/>
      <c r="F252" s="388"/>
      <c r="G252" s="388"/>
      <c r="H252" s="388"/>
      <c r="I252" s="388"/>
      <c r="J252" s="388"/>
      <c r="K252" s="388"/>
      <c r="L252" s="388"/>
      <c r="M252" s="388"/>
      <c r="N252" s="388"/>
      <c r="O252" s="388"/>
      <c r="P252" s="388"/>
      <c r="Q252" s="388"/>
      <c r="R252" s="388"/>
    </row>
    <row r="253" spans="1:18" s="258" customFormat="1" ht="15" x14ac:dyDescent="0.25">
      <c r="A253" s="562">
        <v>208</v>
      </c>
      <c r="B253" s="563">
        <v>167</v>
      </c>
      <c r="C253" s="437" t="str">
        <f>IFERROR('Device Resistance Tables'!D231," ")</f>
        <v xml:space="preserve"> </v>
      </c>
      <c r="D253" s="388"/>
      <c r="E253" s="388"/>
      <c r="F253" s="388"/>
      <c r="G253" s="388"/>
      <c r="H253" s="388"/>
      <c r="I253" s="388"/>
      <c r="J253" s="388"/>
      <c r="K253" s="388"/>
      <c r="L253" s="388"/>
      <c r="M253" s="388"/>
      <c r="N253" s="388"/>
      <c r="O253" s="388"/>
      <c r="P253" s="388"/>
      <c r="Q253" s="388"/>
      <c r="R253" s="388"/>
    </row>
    <row r="254" spans="1:18" s="258" customFormat="1" ht="15" x14ac:dyDescent="0.25">
      <c r="A254" s="562">
        <v>209</v>
      </c>
      <c r="B254" s="563">
        <v>168</v>
      </c>
      <c r="C254" s="437" t="str">
        <f>IFERROR('Device Resistance Tables'!D232," ")</f>
        <v xml:space="preserve"> </v>
      </c>
      <c r="D254" s="388"/>
      <c r="E254" s="388"/>
      <c r="F254" s="388"/>
      <c r="G254" s="388"/>
      <c r="H254" s="388"/>
      <c r="I254" s="388"/>
      <c r="J254" s="388"/>
      <c r="K254" s="388"/>
      <c r="L254" s="388"/>
      <c r="M254" s="388"/>
      <c r="N254" s="388"/>
      <c r="O254" s="388"/>
      <c r="P254" s="388"/>
      <c r="Q254" s="388"/>
      <c r="R254" s="388"/>
    </row>
    <row r="255" spans="1:18" s="258" customFormat="1" ht="15" x14ac:dyDescent="0.25">
      <c r="A255" s="562">
        <v>210</v>
      </c>
      <c r="B255" s="563">
        <v>169</v>
      </c>
      <c r="C255" s="437" t="str">
        <f>IFERROR('Device Resistance Tables'!D233," ")</f>
        <v xml:space="preserve"> </v>
      </c>
      <c r="D255" s="388"/>
      <c r="E255" s="388"/>
      <c r="F255" s="388"/>
      <c r="G255" s="388"/>
      <c r="H255" s="388"/>
      <c r="I255" s="388"/>
      <c r="J255" s="388"/>
      <c r="K255" s="388"/>
      <c r="L255" s="388"/>
      <c r="M255" s="388"/>
      <c r="N255" s="388"/>
      <c r="O255" s="388"/>
      <c r="P255" s="388"/>
      <c r="Q255" s="388"/>
      <c r="R255" s="388"/>
    </row>
    <row r="256" spans="1:18" s="258" customFormat="1" ht="15" x14ac:dyDescent="0.25">
      <c r="A256" s="562">
        <v>211</v>
      </c>
      <c r="B256" s="563">
        <v>170</v>
      </c>
      <c r="C256" s="437" t="str">
        <f>IFERROR('Device Resistance Tables'!D234," ")</f>
        <v xml:space="preserve"> </v>
      </c>
      <c r="D256" s="388"/>
      <c r="E256" s="388"/>
      <c r="F256" s="388"/>
      <c r="G256" s="388"/>
      <c r="H256" s="388"/>
      <c r="I256" s="388"/>
      <c r="J256" s="388"/>
      <c r="K256" s="388"/>
      <c r="L256" s="388"/>
      <c r="M256" s="388"/>
      <c r="N256" s="388"/>
      <c r="O256" s="388"/>
      <c r="P256" s="388"/>
      <c r="Q256" s="388"/>
      <c r="R256" s="388"/>
    </row>
    <row r="257" spans="1:18" s="258" customFormat="1" ht="15" x14ac:dyDescent="0.25">
      <c r="A257" s="594"/>
      <c r="B257" s="595"/>
      <c r="C257" s="596"/>
      <c r="D257" s="388"/>
      <c r="E257" s="388"/>
      <c r="F257" s="388"/>
      <c r="G257" s="388"/>
      <c r="H257" s="388"/>
      <c r="I257" s="388"/>
      <c r="J257" s="388"/>
      <c r="K257" s="388"/>
      <c r="L257" s="388"/>
      <c r="M257" s="388"/>
      <c r="N257" s="388"/>
      <c r="O257" s="388"/>
      <c r="P257" s="388"/>
      <c r="Q257" s="388"/>
      <c r="R257" s="388"/>
    </row>
    <row r="258" spans="1:18" s="258" customFormat="1" ht="15" x14ac:dyDescent="0.25">
      <c r="A258" s="655"/>
      <c r="B258" s="405"/>
      <c r="C258" s="656"/>
      <c r="D258" s="388"/>
      <c r="E258" s="388"/>
      <c r="F258" s="388"/>
      <c r="G258" s="388"/>
      <c r="H258" s="388"/>
      <c r="I258" s="388"/>
      <c r="J258" s="388"/>
      <c r="K258" s="388"/>
      <c r="L258" s="388"/>
      <c r="M258" s="388"/>
      <c r="N258" s="388"/>
      <c r="O258" s="388"/>
      <c r="P258" s="388"/>
      <c r="Q258" s="388"/>
      <c r="R258" s="388"/>
    </row>
    <row r="259" spans="1:18" s="258" customFormat="1" x14ac:dyDescent="0.25">
      <c r="A259" s="465"/>
      <c r="B259" s="452"/>
      <c r="C259" s="466"/>
    </row>
    <row r="260" spans="1:18" s="258" customFormat="1" x14ac:dyDescent="0.25">
      <c r="A260" s="465"/>
      <c r="B260" s="452"/>
      <c r="C260" s="466"/>
    </row>
    <row r="261" spans="1:18" s="258" customFormat="1" x14ac:dyDescent="0.25">
      <c r="A261" s="465"/>
      <c r="B261" s="452"/>
      <c r="C261" s="466"/>
    </row>
    <row r="262" spans="1:18" s="258" customFormat="1" x14ac:dyDescent="0.25"/>
    <row r="263" spans="1:18" s="170" customFormat="1" x14ac:dyDescent="0.25"/>
    <row r="264" spans="1:18" s="170" customFormat="1" x14ac:dyDescent="0.25"/>
    <row r="265" spans="1:18" s="170" customFormat="1" x14ac:dyDescent="0.25"/>
    <row r="266" spans="1:18" x14ac:dyDescent="0.25"/>
    <row r="267" spans="1:18" x14ac:dyDescent="0.25"/>
    <row r="268" spans="1:18" x14ac:dyDescent="0.25"/>
    <row r="269" spans="1:18" x14ac:dyDescent="0.25"/>
    <row r="270" spans="1:18" x14ac:dyDescent="0.25"/>
    <row r="271" spans="1:18" s="30" customFormat="1" ht="15.6" x14ac:dyDescent="0.3">
      <c r="A271" s="273" t="s">
        <v>116</v>
      </c>
      <c r="D271" s="273" t="s">
        <v>236</v>
      </c>
    </row>
    <row r="272" spans="1:18" s="30" customFormat="1" x14ac:dyDescent="0.25">
      <c r="A272" s="242"/>
      <c r="B272" s="241"/>
      <c r="C272" s="241"/>
      <c r="D272" s="241"/>
      <c r="E272" s="241"/>
      <c r="F272" s="241"/>
      <c r="G272" s="241"/>
      <c r="H272" s="241"/>
      <c r="I272" s="241"/>
      <c r="J272" s="241"/>
      <c r="K272" s="241"/>
      <c r="L272" s="241"/>
      <c r="M272" s="241"/>
      <c r="N272" s="241"/>
      <c r="O272" s="240"/>
    </row>
    <row r="273" spans="1:15" s="30" customFormat="1" x14ac:dyDescent="0.25">
      <c r="A273" s="47" t="s">
        <v>176</v>
      </c>
      <c r="B273" s="34"/>
      <c r="C273" s="34"/>
      <c r="D273" s="34"/>
      <c r="E273" s="34"/>
      <c r="F273" s="34"/>
      <c r="G273" s="34"/>
      <c r="H273" s="34"/>
      <c r="I273" s="34"/>
      <c r="J273" s="34"/>
      <c r="K273" s="34"/>
      <c r="L273" s="34"/>
      <c r="M273" s="34"/>
      <c r="N273" s="34"/>
      <c r="O273" s="48"/>
    </row>
    <row r="274" spans="1:15" s="30" customFormat="1" x14ac:dyDescent="0.25">
      <c r="A274" s="47" t="s">
        <v>140</v>
      </c>
      <c r="B274" s="34"/>
      <c r="C274" s="34"/>
      <c r="D274" s="34"/>
      <c r="E274" s="34"/>
      <c r="F274" s="34"/>
      <c r="G274" s="34"/>
      <c r="H274" s="34"/>
      <c r="I274" s="34"/>
      <c r="J274" s="34"/>
      <c r="K274" s="34"/>
      <c r="L274" s="34"/>
      <c r="M274" s="34"/>
      <c r="N274" s="34"/>
      <c r="O274" s="48"/>
    </row>
    <row r="275" spans="1:15" s="30" customFormat="1" x14ac:dyDescent="0.25">
      <c r="A275" s="250"/>
      <c r="B275" s="255"/>
      <c r="C275" s="255"/>
      <c r="D275" s="255"/>
      <c r="E275" s="255"/>
      <c r="F275" s="255"/>
      <c r="G275" s="255"/>
      <c r="H275" s="255"/>
      <c r="I275" s="255"/>
      <c r="J275" s="255"/>
      <c r="K275" s="255"/>
      <c r="L275" s="255"/>
      <c r="M275" s="255"/>
      <c r="N275" s="255"/>
      <c r="O275" s="249"/>
    </row>
    <row r="276" spans="1:15" s="30" customFormat="1" x14ac:dyDescent="0.25">
      <c r="A276" s="248"/>
      <c r="B276" s="264"/>
      <c r="C276" s="264"/>
      <c r="D276" s="264"/>
      <c r="E276" s="264"/>
      <c r="F276" s="255"/>
      <c r="G276" s="255"/>
      <c r="H276" s="255"/>
      <c r="I276" s="255"/>
      <c r="J276" s="255"/>
      <c r="K276" s="255"/>
      <c r="L276" s="255"/>
      <c r="M276" s="255"/>
      <c r="N276" s="255"/>
      <c r="O276" s="249"/>
    </row>
    <row r="277" spans="1:15" s="30" customFormat="1" x14ac:dyDescent="0.25">
      <c r="A277" s="248"/>
      <c r="B277" s="264" t="s">
        <v>449</v>
      </c>
      <c r="C277" s="264"/>
      <c r="D277" s="305">
        <f>B31</f>
        <v>3</v>
      </c>
      <c r="E277" s="264"/>
      <c r="F277" s="255"/>
      <c r="G277" s="255"/>
      <c r="H277" s="255"/>
      <c r="I277" s="222" t="s">
        <v>98</v>
      </c>
      <c r="J277" s="255"/>
      <c r="K277" s="255"/>
      <c r="L277" s="255"/>
      <c r="M277" s="255"/>
      <c r="N277" s="255"/>
      <c r="O277" s="249"/>
    </row>
    <row r="278" spans="1:15" s="30" customFormat="1" x14ac:dyDescent="0.25">
      <c r="A278" s="247"/>
      <c r="B278" s="264" t="s">
        <v>233</v>
      </c>
      <c r="C278" s="264"/>
      <c r="D278" s="270">
        <f>B29</f>
        <v>140</v>
      </c>
      <c r="E278" s="264"/>
      <c r="F278" s="264"/>
      <c r="G278" s="264"/>
      <c r="H278" s="264"/>
      <c r="I278" s="222" t="s">
        <v>99</v>
      </c>
      <c r="J278" s="264"/>
      <c r="K278" s="264"/>
      <c r="L278" s="264"/>
      <c r="M278" s="264"/>
      <c r="N278" s="264"/>
      <c r="O278" s="249"/>
    </row>
    <row r="279" spans="1:15" s="30" customFormat="1" x14ac:dyDescent="0.25">
      <c r="A279" s="247"/>
      <c r="B279" s="264" t="s">
        <v>228</v>
      </c>
      <c r="C279" s="264"/>
      <c r="D279" s="264">
        <f>2^B30</f>
        <v>4096</v>
      </c>
      <c r="E279" s="264"/>
      <c r="F279" s="264"/>
      <c r="G279" s="264"/>
      <c r="H279" s="264"/>
      <c r="I279" s="222" t="s">
        <v>100</v>
      </c>
      <c r="J279" s="264"/>
      <c r="K279" s="264"/>
      <c r="L279" s="264"/>
      <c r="M279" s="264"/>
      <c r="N279" s="264"/>
      <c r="O279" s="249"/>
    </row>
    <row r="280" spans="1:15" s="30" customFormat="1" x14ac:dyDescent="0.25">
      <c r="A280" s="247"/>
      <c r="B280" s="264" t="s">
        <v>695</v>
      </c>
      <c r="C280" s="264"/>
      <c r="D280" s="264"/>
      <c r="E280" s="264"/>
      <c r="F280" s="264"/>
      <c r="G280" s="264"/>
      <c r="H280" s="264"/>
      <c r="I280" s="222" t="s">
        <v>101</v>
      </c>
      <c r="J280" s="264"/>
      <c r="K280" s="264"/>
      <c r="L280" s="264"/>
      <c r="M280" s="264"/>
      <c r="N280" s="264"/>
      <c r="O280" s="249"/>
    </row>
    <row r="281" spans="1:15" s="30" customFormat="1" x14ac:dyDescent="0.25">
      <c r="A281" s="247"/>
      <c r="B281" s="264" t="s">
        <v>473</v>
      </c>
      <c r="C281" s="264"/>
      <c r="D281" s="264"/>
      <c r="E281" s="264"/>
      <c r="F281" s="264"/>
      <c r="G281" s="264"/>
      <c r="H281" s="264"/>
      <c r="I281" s="222" t="s">
        <v>474</v>
      </c>
      <c r="J281" s="264"/>
      <c r="K281" s="264"/>
      <c r="L281" s="264"/>
      <c r="M281" s="264"/>
      <c r="N281" s="264"/>
      <c r="O281" s="249"/>
    </row>
    <row r="282" spans="1:15" s="30" customFormat="1" x14ac:dyDescent="0.25">
      <c r="A282" s="247"/>
      <c r="B282" s="264" t="s">
        <v>475</v>
      </c>
      <c r="C282" s="264"/>
      <c r="D282" s="264"/>
      <c r="E282" s="264"/>
      <c r="F282" s="264"/>
      <c r="G282" s="264"/>
      <c r="H282" s="264"/>
      <c r="I282" s="222" t="s">
        <v>102</v>
      </c>
      <c r="J282" s="264"/>
      <c r="K282" s="264"/>
      <c r="L282" s="264"/>
      <c r="M282" s="264"/>
      <c r="N282" s="264"/>
      <c r="O282" s="249"/>
    </row>
    <row r="283" spans="1:15" s="30" customFormat="1" x14ac:dyDescent="0.25">
      <c r="A283" s="247"/>
      <c r="B283" s="264"/>
      <c r="C283" s="264"/>
      <c r="D283" s="264"/>
      <c r="E283" s="264"/>
      <c r="F283" s="264"/>
      <c r="G283" s="264"/>
      <c r="H283" s="264"/>
      <c r="I283" s="264"/>
      <c r="J283" s="264"/>
      <c r="K283" s="264"/>
      <c r="L283" s="264"/>
      <c r="M283" s="264"/>
      <c r="N283" s="264"/>
      <c r="O283" s="249"/>
    </row>
    <row r="284" spans="1:15" s="30" customFormat="1" x14ac:dyDescent="0.25">
      <c r="A284" s="247"/>
      <c r="B284" s="264" t="s">
        <v>487</v>
      </c>
      <c r="C284" s="264"/>
      <c r="D284" s="264"/>
      <c r="E284" s="264"/>
      <c r="F284" s="264"/>
      <c r="G284" s="264"/>
      <c r="H284" s="264"/>
      <c r="I284" s="264"/>
      <c r="J284" s="264"/>
      <c r="K284" s="264"/>
      <c r="L284" s="264"/>
      <c r="M284" s="264"/>
      <c r="N284" s="264"/>
      <c r="O284" s="249"/>
    </row>
    <row r="285" spans="1:15" s="30" customFormat="1" x14ac:dyDescent="0.25">
      <c r="A285" s="247"/>
      <c r="B285" s="269" t="s">
        <v>28</v>
      </c>
      <c r="C285" s="255"/>
      <c r="D285" s="264"/>
      <c r="E285" s="255"/>
      <c r="F285" s="264"/>
      <c r="G285" s="264"/>
      <c r="H285" s="264"/>
      <c r="I285" s="269"/>
      <c r="J285" s="264"/>
      <c r="K285" s="264"/>
      <c r="L285" s="264"/>
      <c r="M285" s="264"/>
      <c r="N285" s="264"/>
      <c r="O285" s="249"/>
    </row>
    <row r="286" spans="1:15" s="30" customFormat="1" x14ac:dyDescent="0.25">
      <c r="A286" s="247"/>
      <c r="B286" s="255" t="s">
        <v>477</v>
      </c>
      <c r="C286" s="255"/>
      <c r="D286" s="255"/>
      <c r="E286" s="255"/>
      <c r="F286" s="264"/>
      <c r="G286" s="264"/>
      <c r="H286" s="264"/>
      <c r="I286" s="264"/>
      <c r="J286" s="264"/>
      <c r="K286" s="264"/>
      <c r="L286" s="264"/>
      <c r="M286" s="264"/>
      <c r="N286" s="264"/>
      <c r="O286" s="249"/>
    </row>
    <row r="287" spans="1:15" s="30" customFormat="1" x14ac:dyDescent="0.25">
      <c r="A287" s="247"/>
      <c r="B287" s="264" t="s">
        <v>702</v>
      </c>
      <c r="C287" s="264"/>
      <c r="D287" s="264"/>
      <c r="E287" s="264"/>
      <c r="F287" s="264"/>
      <c r="G287" s="264"/>
      <c r="H287" s="264"/>
      <c r="I287" s="264"/>
      <c r="J287" s="264"/>
      <c r="K287" s="264"/>
      <c r="L287" s="264"/>
      <c r="M287" s="264"/>
      <c r="N287" s="264"/>
      <c r="O287" s="249"/>
    </row>
    <row r="288" spans="1:15" s="30" customFormat="1" x14ac:dyDescent="0.25">
      <c r="A288" s="247"/>
      <c r="B288" s="264" t="s">
        <v>478</v>
      </c>
      <c r="C288" s="264"/>
      <c r="D288" s="264"/>
      <c r="E288" s="264"/>
      <c r="F288" s="264"/>
      <c r="G288" s="264"/>
      <c r="H288" s="264"/>
      <c r="I288" s="264"/>
      <c r="J288" s="264"/>
      <c r="K288" s="264"/>
      <c r="L288" s="264"/>
      <c r="M288" s="264"/>
      <c r="N288" s="264"/>
      <c r="O288" s="249"/>
    </row>
    <row r="289" spans="1:15" s="30" customFormat="1" x14ac:dyDescent="0.25">
      <c r="A289" s="247"/>
      <c r="B289" s="264" t="s">
        <v>488</v>
      </c>
      <c r="C289" s="264"/>
      <c r="D289" s="264"/>
      <c r="E289" s="264"/>
      <c r="F289" s="222" t="s">
        <v>139</v>
      </c>
      <c r="G289" s="264"/>
      <c r="H289" s="264"/>
      <c r="I289" s="264"/>
      <c r="J289" s="264"/>
      <c r="K289" s="264"/>
      <c r="L289" s="264"/>
      <c r="M289" s="264"/>
      <c r="N289" s="264"/>
      <c r="O289" s="249"/>
    </row>
    <row r="290" spans="1:15" s="30" customFormat="1" x14ac:dyDescent="0.25">
      <c r="A290" s="247"/>
      <c r="B290" s="264"/>
      <c r="C290" s="264"/>
      <c r="D290" s="264"/>
      <c r="E290" s="264"/>
      <c r="F290" s="264"/>
      <c r="G290" s="264"/>
      <c r="H290" s="264"/>
      <c r="I290" s="264"/>
      <c r="J290" s="264"/>
      <c r="K290" s="264"/>
      <c r="L290" s="264"/>
      <c r="M290" s="264"/>
      <c r="N290" s="264"/>
      <c r="O290" s="249"/>
    </row>
    <row r="291" spans="1:15" s="30" customFormat="1" x14ac:dyDescent="0.25">
      <c r="A291" s="247"/>
      <c r="B291" s="287" t="s">
        <v>698</v>
      </c>
      <c r="C291" s="259"/>
      <c r="D291" s="259"/>
      <c r="E291" s="259"/>
      <c r="F291" s="259"/>
      <c r="G291" s="259"/>
      <c r="H291" s="259" t="s">
        <v>464</v>
      </c>
      <c r="I291" s="259"/>
      <c r="J291" s="259"/>
      <c r="K291" s="259"/>
      <c r="L291" s="259"/>
      <c r="M291" s="259"/>
      <c r="N291" s="259"/>
      <c r="O291" s="249"/>
    </row>
    <row r="292" spans="1:15" s="30" customFormat="1" x14ac:dyDescent="0.25">
      <c r="A292" s="247"/>
      <c r="B292" s="268" t="s">
        <v>699</v>
      </c>
      <c r="C292" s="288"/>
      <c r="D292" s="259"/>
      <c r="E292" s="289"/>
      <c r="F292" s="290"/>
      <c r="G292" s="290"/>
      <c r="H292" s="259" t="s">
        <v>465</v>
      </c>
      <c r="I292" s="259"/>
      <c r="J292" s="259"/>
      <c r="K292" s="259"/>
      <c r="L292" s="259"/>
      <c r="M292" s="259"/>
      <c r="N292" s="259"/>
      <c r="O292" s="249"/>
    </row>
    <row r="293" spans="1:15" s="30" customFormat="1" x14ac:dyDescent="0.25">
      <c r="A293" s="247"/>
      <c r="B293" s="264"/>
      <c r="C293" s="264"/>
      <c r="D293" s="264"/>
      <c r="E293" s="264"/>
      <c r="F293" s="264"/>
      <c r="G293" s="264"/>
      <c r="H293" s="264"/>
      <c r="I293" s="264"/>
      <c r="J293" s="264"/>
      <c r="K293" s="264"/>
      <c r="L293" s="264"/>
      <c r="M293" s="264"/>
      <c r="N293" s="264"/>
      <c r="O293" s="249"/>
    </row>
    <row r="294" spans="1:15" s="30" customFormat="1" x14ac:dyDescent="0.25">
      <c r="A294" s="247"/>
      <c r="B294" s="264" t="s">
        <v>120</v>
      </c>
      <c r="C294" s="264"/>
      <c r="D294" s="264"/>
      <c r="E294" s="264"/>
      <c r="F294" s="264"/>
      <c r="G294" s="264"/>
      <c r="H294" s="264"/>
      <c r="I294" s="264"/>
      <c r="J294" s="264"/>
      <c r="K294" s="264"/>
      <c r="L294" s="264"/>
      <c r="M294" s="264"/>
      <c r="N294" s="264"/>
      <c r="O294" s="249"/>
    </row>
    <row r="295" spans="1:15" s="30" customFormat="1" x14ac:dyDescent="0.25">
      <c r="A295" s="247"/>
      <c r="B295" s="264" t="s">
        <v>121</v>
      </c>
      <c r="C295" s="264"/>
      <c r="D295" s="264"/>
      <c r="E295" s="264"/>
      <c r="F295" s="264"/>
      <c r="G295" s="264"/>
      <c r="H295" s="264"/>
      <c r="I295" s="264"/>
      <c r="J295" s="264"/>
      <c r="K295" s="264"/>
      <c r="L295" s="264"/>
      <c r="M295" s="264"/>
      <c r="N295" s="264"/>
      <c r="O295" s="249"/>
    </row>
    <row r="296" spans="1:15" s="30" customFormat="1" x14ac:dyDescent="0.25">
      <c r="A296" s="247"/>
      <c r="B296" s="264" t="s">
        <v>122</v>
      </c>
      <c r="C296" s="264"/>
      <c r="D296" s="264"/>
      <c r="E296" s="264"/>
      <c r="F296" s="264"/>
      <c r="G296" s="264"/>
      <c r="H296" s="264"/>
      <c r="I296" s="222"/>
      <c r="J296" s="264"/>
      <c r="K296" s="264"/>
      <c r="L296" s="264"/>
      <c r="M296" s="264"/>
      <c r="N296" s="264"/>
      <c r="O296" s="249"/>
    </row>
    <row r="297" spans="1:15" s="30" customFormat="1" x14ac:dyDescent="0.25">
      <c r="A297" s="247"/>
      <c r="B297" s="264" t="s">
        <v>123</v>
      </c>
      <c r="C297" s="264"/>
      <c r="D297" s="264"/>
      <c r="E297" s="264"/>
      <c r="F297" s="264"/>
      <c r="G297" s="264"/>
      <c r="H297" s="264"/>
      <c r="I297" s="222"/>
      <c r="J297" s="264"/>
      <c r="K297" s="264"/>
      <c r="L297" s="264"/>
      <c r="M297" s="264"/>
      <c r="N297" s="264"/>
      <c r="O297" s="249"/>
    </row>
    <row r="298" spans="1:15" s="30" customFormat="1" x14ac:dyDescent="0.25">
      <c r="A298" s="247"/>
      <c r="B298" s="264" t="s">
        <v>124</v>
      </c>
      <c r="C298" s="264"/>
      <c r="D298" s="264"/>
      <c r="E298" s="264"/>
      <c r="F298" s="264"/>
      <c r="G298" s="264"/>
      <c r="H298" s="264"/>
      <c r="I298" s="222"/>
      <c r="J298" s="264"/>
      <c r="K298" s="264"/>
      <c r="L298" s="264"/>
      <c r="M298" s="264"/>
      <c r="N298" s="264"/>
      <c r="O298" s="249"/>
    </row>
    <row r="299" spans="1:15" s="30" customFormat="1" x14ac:dyDescent="0.25">
      <c r="A299" s="247"/>
      <c r="B299" s="264"/>
      <c r="C299" s="264"/>
      <c r="D299" s="264"/>
      <c r="E299" s="264"/>
      <c r="F299" s="264"/>
      <c r="G299" s="264"/>
      <c r="H299" s="264"/>
      <c r="I299" s="264"/>
      <c r="J299" s="264"/>
      <c r="K299" s="264"/>
      <c r="L299" s="264"/>
      <c r="M299" s="264"/>
      <c r="N299" s="264"/>
      <c r="O299" s="249"/>
    </row>
    <row r="300" spans="1:15" s="30" customFormat="1" x14ac:dyDescent="0.25">
      <c r="A300" s="247"/>
      <c r="B300" s="264" t="s">
        <v>125</v>
      </c>
      <c r="C300" s="264"/>
      <c r="D300" s="264"/>
      <c r="E300" s="264"/>
      <c r="F300" s="264"/>
      <c r="G300" s="264"/>
      <c r="H300" s="264"/>
      <c r="I300" s="264"/>
      <c r="J300" s="264"/>
      <c r="K300" s="264"/>
      <c r="L300" s="264"/>
      <c r="M300" s="264"/>
      <c r="N300" s="264"/>
      <c r="O300" s="249"/>
    </row>
    <row r="301" spans="1:15" s="30" customFormat="1" x14ac:dyDescent="0.25">
      <c r="A301" s="247"/>
      <c r="B301" s="264" t="s">
        <v>126</v>
      </c>
      <c r="C301" s="264"/>
      <c r="D301" s="264"/>
      <c r="E301" s="264"/>
      <c r="F301" s="264"/>
      <c r="G301" s="264"/>
      <c r="H301" s="264"/>
      <c r="I301" s="264"/>
      <c r="J301" s="264"/>
      <c r="K301" s="264"/>
      <c r="L301" s="264"/>
      <c r="M301" s="264"/>
      <c r="N301" s="264"/>
      <c r="O301" s="249"/>
    </row>
    <row r="302" spans="1:15" s="30" customFormat="1" x14ac:dyDescent="0.25">
      <c r="A302" s="247"/>
      <c r="B302" s="264" t="s">
        <v>489</v>
      </c>
      <c r="C302" s="264"/>
      <c r="D302" s="264"/>
      <c r="E302" s="264"/>
      <c r="F302" s="264"/>
      <c r="G302" s="264"/>
      <c r="H302" s="264"/>
      <c r="I302" s="264"/>
      <c r="J302" s="264"/>
      <c r="K302" s="264"/>
      <c r="L302" s="264"/>
      <c r="M302" s="264"/>
      <c r="N302" s="264"/>
      <c r="O302" s="249"/>
    </row>
    <row r="303" spans="1:15" s="30" customFormat="1" x14ac:dyDescent="0.25">
      <c r="A303" s="247"/>
      <c r="B303" s="264" t="s">
        <v>127</v>
      </c>
      <c r="C303" s="264"/>
      <c r="D303" s="264"/>
      <c r="E303" s="264"/>
      <c r="F303" s="264"/>
      <c r="G303" s="264"/>
      <c r="H303" s="264"/>
      <c r="I303" s="264"/>
      <c r="J303" s="264"/>
      <c r="K303" s="264"/>
      <c r="L303" s="264"/>
      <c r="M303" s="264"/>
      <c r="N303" s="264"/>
      <c r="O303" s="249"/>
    </row>
    <row r="304" spans="1:15" x14ac:dyDescent="0.25">
      <c r="A304" s="246"/>
      <c r="B304" s="245" t="s">
        <v>490</v>
      </c>
      <c r="C304" s="245"/>
      <c r="D304" s="245"/>
      <c r="E304" s="245"/>
      <c r="F304" s="245"/>
      <c r="G304" s="245"/>
      <c r="H304" s="245"/>
      <c r="I304" s="245"/>
      <c r="J304" s="245"/>
      <c r="K304" s="245"/>
      <c r="L304" s="245"/>
      <c r="M304" s="245"/>
      <c r="N304" s="245"/>
      <c r="O304" s="239"/>
    </row>
    <row r="305" spans="1:15" x14ac:dyDescent="0.25">
      <c r="A305" s="246"/>
      <c r="B305" s="245" t="s">
        <v>491</v>
      </c>
      <c r="C305" s="245"/>
      <c r="D305" s="245"/>
      <c r="E305" s="245"/>
      <c r="F305" s="245"/>
      <c r="G305" s="245"/>
      <c r="H305" s="245"/>
      <c r="I305" s="245"/>
      <c r="J305" s="245"/>
      <c r="K305" s="245"/>
      <c r="L305" s="245"/>
      <c r="M305" s="245"/>
      <c r="N305" s="245"/>
      <c r="O305" s="239"/>
    </row>
    <row r="306" spans="1:15" x14ac:dyDescent="0.25">
      <c r="A306" s="246"/>
      <c r="B306" s="245" t="s">
        <v>492</v>
      </c>
      <c r="C306" s="245"/>
      <c r="D306" s="245"/>
      <c r="E306" s="245"/>
      <c r="F306" s="245"/>
      <c r="G306" s="245"/>
      <c r="H306" s="245"/>
      <c r="I306" s="245"/>
      <c r="J306" s="245"/>
      <c r="K306" s="245"/>
      <c r="L306" s="245"/>
      <c r="M306" s="245"/>
      <c r="N306" s="245"/>
      <c r="O306" s="239"/>
    </row>
    <row r="307" spans="1:15" x14ac:dyDescent="0.25">
      <c r="A307" s="246"/>
      <c r="B307" s="245" t="s">
        <v>493</v>
      </c>
      <c r="C307" s="245"/>
      <c r="D307" s="245"/>
      <c r="E307" s="245"/>
      <c r="F307" s="245"/>
      <c r="G307" s="245"/>
      <c r="H307" s="245"/>
      <c r="I307" s="245"/>
      <c r="J307" s="245"/>
      <c r="K307" s="245"/>
      <c r="L307" s="245"/>
      <c r="M307" s="245"/>
      <c r="N307" s="245"/>
      <c r="O307" s="239"/>
    </row>
    <row r="308" spans="1:15" x14ac:dyDescent="0.25">
      <c r="A308" s="246"/>
      <c r="B308" s="245"/>
      <c r="C308" s="245"/>
      <c r="D308" s="245"/>
      <c r="E308" s="245"/>
      <c r="F308" s="245"/>
      <c r="G308" s="245"/>
      <c r="H308" s="245"/>
      <c r="I308" s="245"/>
      <c r="J308" s="245"/>
      <c r="K308" s="245"/>
      <c r="L308" s="245"/>
      <c r="M308" s="245"/>
      <c r="N308" s="245"/>
      <c r="O308" s="239"/>
    </row>
    <row r="309" spans="1:15" x14ac:dyDescent="0.25">
      <c r="A309" s="246"/>
      <c r="B309" s="245" t="s">
        <v>128</v>
      </c>
      <c r="C309" s="245"/>
      <c r="D309" s="245"/>
      <c r="E309" s="245"/>
      <c r="F309" s="245"/>
      <c r="G309" s="245"/>
      <c r="H309" s="245"/>
      <c r="I309" s="245"/>
      <c r="J309" s="245"/>
      <c r="K309" s="245"/>
      <c r="L309" s="245"/>
      <c r="M309" s="245"/>
      <c r="N309" s="245"/>
      <c r="O309" s="239"/>
    </row>
    <row r="310" spans="1:15" x14ac:dyDescent="0.25">
      <c r="A310" s="246"/>
      <c r="B310" s="245" t="s">
        <v>129</v>
      </c>
      <c r="C310" s="245"/>
      <c r="D310" s="245"/>
      <c r="E310" s="245"/>
      <c r="F310" s="245"/>
      <c r="G310" s="245"/>
      <c r="H310" s="245"/>
      <c r="I310" s="245"/>
      <c r="J310" s="245"/>
      <c r="K310" s="245"/>
      <c r="L310" s="245"/>
      <c r="M310" s="245"/>
      <c r="N310" s="245"/>
      <c r="O310" s="239"/>
    </row>
    <row r="311" spans="1:15" x14ac:dyDescent="0.25">
      <c r="A311" s="246"/>
      <c r="B311" s="245" t="s">
        <v>494</v>
      </c>
      <c r="C311" s="245"/>
      <c r="D311" s="245"/>
      <c r="E311" s="245"/>
      <c r="F311" s="245"/>
      <c r="G311" s="245"/>
      <c r="H311" s="245"/>
      <c r="I311" s="245"/>
      <c r="J311" s="245"/>
      <c r="K311" s="245"/>
      <c r="L311" s="245"/>
      <c r="M311" s="245"/>
      <c r="N311" s="245"/>
      <c r="O311" s="239"/>
    </row>
    <row r="312" spans="1:15" x14ac:dyDescent="0.25">
      <c r="A312" s="246"/>
      <c r="B312" s="245" t="s">
        <v>130</v>
      </c>
      <c r="C312" s="245"/>
      <c r="D312" s="245"/>
      <c r="E312" s="245"/>
      <c r="F312" s="245"/>
      <c r="G312" s="245"/>
      <c r="H312" s="245"/>
      <c r="I312" s="245"/>
      <c r="J312" s="245"/>
      <c r="K312" s="245"/>
      <c r="L312" s="245"/>
      <c r="M312" s="245"/>
      <c r="N312" s="245"/>
      <c r="O312" s="239"/>
    </row>
    <row r="313" spans="1:15" x14ac:dyDescent="0.25">
      <c r="A313" s="246"/>
      <c r="B313" s="245" t="s">
        <v>131</v>
      </c>
      <c r="C313" s="245"/>
      <c r="D313" s="245"/>
      <c r="E313" s="245"/>
      <c r="F313" s="245"/>
      <c r="G313" s="245"/>
      <c r="H313" s="245"/>
      <c r="I313" s="245"/>
      <c r="J313" s="245"/>
      <c r="K313" s="245"/>
      <c r="L313" s="245"/>
      <c r="M313" s="245"/>
      <c r="N313" s="245"/>
      <c r="O313" s="239"/>
    </row>
    <row r="314" spans="1:15" x14ac:dyDescent="0.25">
      <c r="A314" s="246"/>
      <c r="B314" s="245" t="s">
        <v>129</v>
      </c>
      <c r="C314" s="245"/>
      <c r="D314" s="245"/>
      <c r="E314" s="245"/>
      <c r="F314" s="245"/>
      <c r="G314" s="245"/>
      <c r="H314" s="245"/>
      <c r="I314" s="245"/>
      <c r="J314" s="245"/>
      <c r="K314" s="245"/>
      <c r="L314" s="245"/>
      <c r="M314" s="245"/>
      <c r="N314" s="245"/>
      <c r="O314" s="239"/>
    </row>
    <row r="315" spans="1:15" x14ac:dyDescent="0.25">
      <c r="A315" s="246"/>
      <c r="B315" s="245" t="s">
        <v>495</v>
      </c>
      <c r="C315" s="245"/>
      <c r="D315" s="245"/>
      <c r="E315" s="245"/>
      <c r="F315" s="245"/>
      <c r="G315" s="245"/>
      <c r="H315" s="245"/>
      <c r="I315" s="245"/>
      <c r="J315" s="245"/>
      <c r="K315" s="245"/>
      <c r="L315" s="245"/>
      <c r="M315" s="245"/>
      <c r="N315" s="245"/>
      <c r="O315" s="239"/>
    </row>
    <row r="316" spans="1:15" x14ac:dyDescent="0.25">
      <c r="A316" s="246"/>
      <c r="B316" s="245" t="s">
        <v>132</v>
      </c>
      <c r="C316" s="245"/>
      <c r="D316" s="245"/>
      <c r="E316" s="245"/>
      <c r="F316" s="245"/>
      <c r="G316" s="245"/>
      <c r="H316" s="245"/>
      <c r="I316" s="245"/>
      <c r="J316" s="245"/>
      <c r="K316" s="245"/>
      <c r="L316" s="245"/>
      <c r="M316" s="245"/>
      <c r="N316" s="245"/>
      <c r="O316" s="239"/>
    </row>
    <row r="317" spans="1:15" x14ac:dyDescent="0.25">
      <c r="A317" s="246"/>
      <c r="B317" s="245" t="s">
        <v>496</v>
      </c>
      <c r="C317" s="245"/>
      <c r="D317" s="245"/>
      <c r="E317" s="245"/>
      <c r="F317" s="245"/>
      <c r="G317" s="245"/>
      <c r="H317" s="245"/>
      <c r="I317" s="245"/>
      <c r="J317" s="245"/>
      <c r="K317" s="245"/>
      <c r="L317" s="245"/>
      <c r="M317" s="245"/>
      <c r="N317" s="245"/>
      <c r="O317" s="239"/>
    </row>
    <row r="318" spans="1:15" x14ac:dyDescent="0.25">
      <c r="A318" s="246"/>
      <c r="B318" s="245" t="s">
        <v>133</v>
      </c>
      <c r="C318" s="245"/>
      <c r="D318" s="245"/>
      <c r="E318" s="245"/>
      <c r="F318" s="245"/>
      <c r="G318" s="245"/>
      <c r="H318" s="245"/>
      <c r="I318" s="245"/>
      <c r="J318" s="245"/>
      <c r="K318" s="245"/>
      <c r="L318" s="245"/>
      <c r="M318" s="245"/>
      <c r="N318" s="245"/>
      <c r="O318" s="239"/>
    </row>
    <row r="319" spans="1:15" x14ac:dyDescent="0.25">
      <c r="A319" s="246"/>
      <c r="B319" s="245" t="s">
        <v>134</v>
      </c>
      <c r="C319" s="245"/>
      <c r="D319" s="245"/>
      <c r="E319" s="245"/>
      <c r="F319" s="245"/>
      <c r="G319" s="245"/>
      <c r="H319" s="245"/>
      <c r="I319" s="245"/>
      <c r="J319" s="245"/>
      <c r="K319" s="245"/>
      <c r="L319" s="245"/>
      <c r="M319" s="245"/>
      <c r="N319" s="245"/>
      <c r="O319" s="239"/>
    </row>
    <row r="320" spans="1:15" x14ac:dyDescent="0.25">
      <c r="A320" s="246"/>
      <c r="B320" s="245" t="s">
        <v>135</v>
      </c>
      <c r="C320" s="245"/>
      <c r="D320" s="245"/>
      <c r="E320" s="245"/>
      <c r="F320" s="245"/>
      <c r="G320" s="245"/>
      <c r="H320" s="245"/>
      <c r="I320" s="245"/>
      <c r="J320" s="245"/>
      <c r="K320" s="245"/>
      <c r="L320" s="245"/>
      <c r="M320" s="245"/>
      <c r="N320" s="245"/>
      <c r="O320" s="239"/>
    </row>
    <row r="321" spans="1:15" x14ac:dyDescent="0.25">
      <c r="A321" s="246"/>
      <c r="B321" s="245" t="s">
        <v>31</v>
      </c>
      <c r="C321" s="245"/>
      <c r="D321" s="245"/>
      <c r="E321" s="245"/>
      <c r="F321" s="245"/>
      <c r="G321" s="245"/>
      <c r="H321" s="245"/>
      <c r="I321" s="245"/>
      <c r="J321" s="245"/>
      <c r="K321" s="245"/>
      <c r="L321" s="245"/>
      <c r="M321" s="245"/>
      <c r="N321" s="245"/>
      <c r="O321" s="239"/>
    </row>
    <row r="322" spans="1:15" x14ac:dyDescent="0.25">
      <c r="A322" s="246"/>
      <c r="B322" s="245"/>
      <c r="C322" s="245"/>
      <c r="D322" s="245"/>
      <c r="E322" s="245"/>
      <c r="F322" s="245"/>
      <c r="G322" s="245"/>
      <c r="H322" s="245"/>
      <c r="I322" s="245"/>
      <c r="J322" s="245"/>
      <c r="K322" s="245"/>
      <c r="L322" s="245"/>
      <c r="M322" s="245"/>
      <c r="N322" s="245"/>
      <c r="O322" s="239"/>
    </row>
    <row r="323" spans="1:15" x14ac:dyDescent="0.25">
      <c r="A323" s="244"/>
      <c r="B323" s="243"/>
      <c r="C323" s="243"/>
      <c r="D323" s="243"/>
      <c r="E323" s="243"/>
      <c r="F323" s="243"/>
      <c r="G323" s="243"/>
      <c r="H323" s="243"/>
      <c r="I323" s="243"/>
      <c r="J323" s="243"/>
      <c r="K323" s="243"/>
      <c r="L323" s="243"/>
      <c r="M323" s="243"/>
      <c r="N323" s="243"/>
      <c r="O323" s="251"/>
    </row>
    <row r="324" spans="1:15" x14ac:dyDescent="0.25"/>
    <row r="325" spans="1:15" x14ac:dyDescent="0.25"/>
    <row r="326" spans="1:15" x14ac:dyDescent="0.25"/>
    <row r="327" spans="1:15" x14ac:dyDescent="0.25"/>
    <row r="328" spans="1:15" x14ac:dyDescent="0.25"/>
    <row r="329" spans="1:15" x14ac:dyDescent="0.25"/>
    <row r="330" spans="1:15" hidden="1" x14ac:dyDescent="0.25"/>
    <row r="331" spans="1:15" hidden="1" x14ac:dyDescent="0.25"/>
    <row r="332" spans="1:15" hidden="1" x14ac:dyDescent="0.25"/>
    <row r="333" spans="1:15" hidden="1" x14ac:dyDescent="0.25"/>
    <row r="334" spans="1:15" hidden="1" x14ac:dyDescent="0.25"/>
    <row r="335" spans="1:15" hidden="1" x14ac:dyDescent="0.25"/>
    <row r="336" spans="1:15" hidden="1" x14ac:dyDescent="0.25"/>
    <row r="337" hidden="1" x14ac:dyDescent="0.25"/>
    <row r="338" hidden="1" x14ac:dyDescent="0.25"/>
    <row r="339" hidden="1" x14ac:dyDescent="0.25"/>
    <row r="340" x14ac:dyDescent="0.25"/>
    <row r="341" x14ac:dyDescent="0.25"/>
    <row r="342" x14ac:dyDescent="0.25"/>
    <row r="343" x14ac:dyDescent="0.25"/>
  </sheetData>
  <sheetProtection algorithmName="SHA-512" hashValue="1LwmNJ3+lSTn050UYYlH2GtkVTOCT6Ni4Yfw/1dfQ923uW2IflBgqGB9mWku687IiaLKdr94p+ESgWNd8zMBoQ==" saltValue="oF7zho4BydYTDem850qcew==" spinCount="100000" sheet="1" objects="1" scenarios="1"/>
  <mergeCells count="2">
    <mergeCell ref="A1:U3"/>
    <mergeCell ref="A4:Y4"/>
  </mergeCells>
  <hyperlinks>
    <hyperlink ref="A5" location="Main!K45" display="Return to Menu" xr:uid="{00000000-0004-0000-0800-000000000000}"/>
    <hyperlink ref="A26" location="'Lookup table'!A284" display="Example Code" xr:uid="{00000000-0004-0000-0800-000001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whole" allowBlank="1" showInputMessage="1" showErrorMessage="1" errorTitle="Resistance" error="Enter a value between min and max resistance for your device." promptTitle="Resistance" prompt="Enter a value between min and max resistance for your device." xr:uid="{00000000-0002-0000-0800-000000000000}">
          <x14:formula1>
            <xm:f>VLOOKUP(-40,'Device Resistance Tables'!B24:F24,2,FALSE)</xm:f>
          </x14:formula1>
          <x14:formula2>
            <xm:f>VLOOKUP(VLOOKUP(Main!$N$22,Coefficients!$E$2:$H$28,4,FALSE),'Device Resistance Tables'!B89:F239,5,FALSE)</xm:f>
          </x14:formula2>
          <xm:sqref>B35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AJ183"/>
  <sheetViews>
    <sheetView showGridLines="0" zoomScale="80" zoomScaleNormal="80" workbookViewId="0">
      <selection activeCell="A134" sqref="A134"/>
    </sheetView>
  </sheetViews>
  <sheetFormatPr defaultColWidth="0" defaultRowHeight="13.2" zeroHeight="1" x14ac:dyDescent="0.25"/>
  <cols>
    <col min="1" max="1" width="27.6640625" style="30" customWidth="1"/>
    <col min="2" max="2" width="25.88671875" style="30" customWidth="1"/>
    <col min="3" max="3" width="23.33203125" style="30" customWidth="1"/>
    <col min="4" max="4" width="20" style="30" customWidth="1"/>
    <col min="5" max="5" width="19.33203125" style="30" customWidth="1"/>
    <col min="6" max="6" width="20.44140625" style="30" customWidth="1"/>
    <col min="7" max="7" width="11.109375" style="30" customWidth="1"/>
    <col min="8" max="25" width="9.109375" style="30" customWidth="1"/>
    <col min="26" max="36" width="0" style="30" hidden="1" customWidth="1"/>
    <col min="37" max="16384" width="9.109375" style="30" hidden="1"/>
  </cols>
  <sheetData>
    <row r="1" spans="1:36" s="2" customFormat="1" x14ac:dyDescent="0.25">
      <c r="A1" s="760"/>
      <c r="B1" s="760"/>
      <c r="C1" s="760"/>
      <c r="D1" s="760"/>
      <c r="E1" s="760"/>
      <c r="F1" s="760"/>
      <c r="G1" s="760"/>
      <c r="H1" s="760"/>
      <c r="I1" s="760"/>
      <c r="J1" s="760"/>
      <c r="K1" s="760"/>
      <c r="L1" s="760"/>
      <c r="M1" s="760"/>
      <c r="N1" s="760"/>
      <c r="O1" s="760"/>
      <c r="P1" s="760"/>
      <c r="Q1" s="760"/>
      <c r="R1" s="760"/>
      <c r="S1" s="760"/>
      <c r="T1" s="760"/>
      <c r="U1" s="760"/>
      <c r="V1" s="1"/>
      <c r="W1" s="1"/>
      <c r="X1" s="1"/>
      <c r="Y1" s="1"/>
      <c r="Z1" s="1"/>
      <c r="AA1" s="1"/>
      <c r="AB1" s="1"/>
      <c r="AC1" s="1"/>
      <c r="AD1" s="1"/>
      <c r="AE1" s="1"/>
      <c r="AF1" s="1"/>
      <c r="AG1" s="1"/>
      <c r="AH1" s="1"/>
      <c r="AI1" s="1"/>
      <c r="AJ1" s="1"/>
    </row>
    <row r="2" spans="1:36" s="2" customFormat="1" x14ac:dyDescent="0.25">
      <c r="A2" s="760"/>
      <c r="B2" s="760"/>
      <c r="C2" s="760"/>
      <c r="D2" s="760"/>
      <c r="E2" s="760"/>
      <c r="F2" s="760"/>
      <c r="G2" s="760"/>
      <c r="H2" s="760"/>
      <c r="I2" s="760"/>
      <c r="J2" s="760"/>
      <c r="K2" s="760"/>
      <c r="L2" s="760"/>
      <c r="M2" s="760"/>
      <c r="N2" s="760"/>
      <c r="O2" s="760"/>
      <c r="P2" s="760"/>
      <c r="Q2" s="760"/>
      <c r="R2" s="760"/>
      <c r="S2" s="760"/>
      <c r="T2" s="760"/>
      <c r="U2" s="760"/>
      <c r="V2" s="1"/>
      <c r="W2" s="1"/>
      <c r="X2" s="1"/>
      <c r="Y2" s="1"/>
      <c r="Z2" s="1"/>
      <c r="AA2" s="1"/>
      <c r="AB2" s="1"/>
      <c r="AC2" s="1"/>
      <c r="AD2" s="1"/>
      <c r="AE2" s="1"/>
      <c r="AF2" s="1"/>
      <c r="AG2" s="1"/>
      <c r="AH2" s="1"/>
      <c r="AI2" s="1"/>
      <c r="AJ2" s="1"/>
    </row>
    <row r="3" spans="1:36" s="2" customFormat="1" x14ac:dyDescent="0.25">
      <c r="A3" s="760"/>
      <c r="B3" s="760"/>
      <c r="C3" s="760"/>
      <c r="D3" s="760"/>
      <c r="E3" s="760"/>
      <c r="F3" s="760"/>
      <c r="G3" s="760"/>
      <c r="H3" s="760"/>
      <c r="I3" s="760"/>
      <c r="J3" s="760"/>
      <c r="K3" s="760"/>
      <c r="L3" s="760"/>
      <c r="M3" s="760"/>
      <c r="N3" s="760"/>
      <c r="O3" s="760"/>
      <c r="P3" s="760"/>
      <c r="Q3" s="760"/>
      <c r="R3" s="760"/>
      <c r="S3" s="760"/>
      <c r="T3" s="760"/>
      <c r="U3" s="760"/>
      <c r="V3" s="1"/>
      <c r="W3" s="1"/>
      <c r="X3" s="1"/>
      <c r="Y3" s="1"/>
      <c r="Z3" s="1"/>
      <c r="AA3" s="1"/>
      <c r="AB3" s="1"/>
      <c r="AC3" s="1"/>
      <c r="AD3" s="1"/>
      <c r="AE3" s="1"/>
      <c r="AF3" s="1"/>
      <c r="AG3" s="1"/>
      <c r="AH3" s="1"/>
      <c r="AI3" s="1"/>
      <c r="AJ3" s="1"/>
    </row>
    <row r="4" spans="1:36" s="2" customFormat="1" ht="12.75" customHeight="1" x14ac:dyDescent="0.25">
      <c r="A4" s="761"/>
      <c r="B4" s="762"/>
      <c r="C4" s="762"/>
      <c r="D4" s="762"/>
      <c r="E4" s="762"/>
      <c r="F4" s="762"/>
      <c r="G4" s="762"/>
      <c r="H4" s="762"/>
      <c r="I4" s="762"/>
      <c r="J4" s="762"/>
      <c r="K4" s="762"/>
      <c r="L4" s="762"/>
      <c r="M4" s="762"/>
      <c r="N4" s="762"/>
      <c r="O4" s="762"/>
      <c r="P4" s="762"/>
      <c r="Q4" s="762"/>
      <c r="R4" s="762"/>
      <c r="S4" s="762"/>
      <c r="T4" s="762"/>
      <c r="U4" s="762"/>
      <c r="V4" s="762"/>
      <c r="W4" s="762"/>
      <c r="X4" s="762"/>
      <c r="Y4" s="762"/>
      <c r="Z4" s="1"/>
      <c r="AA4" s="1"/>
      <c r="AB4" s="1"/>
      <c r="AC4" s="1"/>
      <c r="AD4" s="1"/>
      <c r="AE4" s="1"/>
      <c r="AF4" s="1"/>
      <c r="AG4" s="1"/>
      <c r="AH4" s="1"/>
      <c r="AI4" s="1"/>
      <c r="AJ4" s="1"/>
    </row>
    <row r="5" spans="1:36" ht="15" x14ac:dyDescent="0.25">
      <c r="A5" s="460" t="s">
        <v>71</v>
      </c>
      <c r="B5" s="11"/>
      <c r="C5" s="12"/>
    </row>
    <row r="6" spans="1:36" s="169" customFormat="1" ht="15.6" x14ac:dyDescent="0.3">
      <c r="A6" s="148"/>
      <c r="F6" s="191"/>
    </row>
    <row r="7" spans="1:36" s="257" customFormat="1" ht="15.6" x14ac:dyDescent="0.3">
      <c r="A7" s="280"/>
      <c r="F7" s="285"/>
    </row>
    <row r="8" spans="1:36" s="257" customFormat="1" ht="15.6" x14ac:dyDescent="0.3">
      <c r="A8" s="280"/>
      <c r="F8" s="285"/>
    </row>
    <row r="9" spans="1:36" s="257" customFormat="1" ht="15.6" x14ac:dyDescent="0.3">
      <c r="A9" s="280"/>
      <c r="F9" s="285"/>
    </row>
    <row r="10" spans="1:36" s="257" customFormat="1" ht="15.6" x14ac:dyDescent="0.3">
      <c r="A10" s="280"/>
      <c r="F10" s="285"/>
    </row>
    <row r="11" spans="1:36" s="257" customFormat="1" ht="15.6" x14ac:dyDescent="0.3">
      <c r="A11" s="280"/>
      <c r="F11" s="285"/>
    </row>
    <row r="12" spans="1:36" s="257" customFormat="1" ht="15.6" x14ac:dyDescent="0.3">
      <c r="A12" s="280"/>
      <c r="F12" s="285"/>
    </row>
    <row r="13" spans="1:36" s="257" customFormat="1" ht="15.6" x14ac:dyDescent="0.3">
      <c r="A13" s="280"/>
      <c r="F13" s="285"/>
    </row>
    <row r="14" spans="1:36" s="257" customFormat="1" ht="15.6" x14ac:dyDescent="0.3">
      <c r="A14" s="280"/>
      <c r="F14" s="285"/>
    </row>
    <row r="15" spans="1:36" s="257" customFormat="1" ht="15.6" x14ac:dyDescent="0.3">
      <c r="A15" s="280"/>
      <c r="F15" s="285"/>
    </row>
    <row r="16" spans="1:36" s="257" customFormat="1" ht="15.6" x14ac:dyDescent="0.3">
      <c r="A16" s="280"/>
      <c r="F16" s="285"/>
    </row>
    <row r="17" spans="1:12" s="257" customFormat="1" ht="15.6" x14ac:dyDescent="0.3">
      <c r="A17" s="280"/>
      <c r="F17" s="285"/>
    </row>
    <row r="18" spans="1:12" s="257" customFormat="1" ht="15.6" x14ac:dyDescent="0.3">
      <c r="A18" s="280"/>
      <c r="F18" s="285"/>
    </row>
    <row r="19" spans="1:12" s="257" customFormat="1" ht="15.6" x14ac:dyDescent="0.3">
      <c r="A19" s="280"/>
      <c r="F19" s="285"/>
    </row>
    <row r="20" spans="1:12" s="257" customFormat="1" ht="15.6" x14ac:dyDescent="0.3">
      <c r="A20" s="280"/>
      <c r="F20" s="285"/>
    </row>
    <row r="21" spans="1:12" s="257" customFormat="1" ht="15.6" x14ac:dyDescent="0.3">
      <c r="A21" s="280"/>
      <c r="F21" s="285"/>
    </row>
    <row r="22" spans="1:12" s="257" customFormat="1" ht="15.6" x14ac:dyDescent="0.3">
      <c r="A22" s="280"/>
      <c r="F22" s="285"/>
    </row>
    <row r="23" spans="1:12" s="257" customFormat="1" ht="15.6" x14ac:dyDescent="0.3">
      <c r="A23" s="280"/>
      <c r="F23" s="285"/>
    </row>
    <row r="24" spans="1:12" s="257" customFormat="1" ht="15.6" x14ac:dyDescent="0.3">
      <c r="A24" s="280"/>
      <c r="F24" s="285"/>
    </row>
    <row r="25" spans="1:12" s="257" customFormat="1" ht="15.6" x14ac:dyDescent="0.3">
      <c r="A25" s="280"/>
      <c r="F25" s="285"/>
    </row>
    <row r="26" spans="1:12" s="257" customFormat="1" ht="15.6" x14ac:dyDescent="0.3">
      <c r="A26" s="280"/>
      <c r="F26" s="285"/>
    </row>
    <row r="27" spans="1:12" s="42" customFormat="1" x14ac:dyDescent="0.25">
      <c r="A27" s="14"/>
      <c r="B27" s="14"/>
      <c r="C27" s="14"/>
    </row>
    <row r="28" spans="1:12" s="169" customFormat="1" ht="15" x14ac:dyDescent="0.25">
      <c r="A28" s="461" t="s">
        <v>209</v>
      </c>
      <c r="B28" s="157"/>
      <c r="C28" s="157"/>
    </row>
    <row r="29" spans="1:12" s="42" customFormat="1" x14ac:dyDescent="0.25">
      <c r="A29" s="257"/>
      <c r="B29" s="256"/>
      <c r="C29" s="256"/>
      <c r="D29" s="257"/>
      <c r="E29" s="256"/>
      <c r="F29" s="254"/>
      <c r="G29" s="14"/>
    </row>
    <row r="30" spans="1:12" s="42" customFormat="1" ht="15.6" x14ac:dyDescent="0.3">
      <c r="A30" s="605" t="s">
        <v>252</v>
      </c>
      <c r="B30" s="283" t="str">
        <f>Main!$N$22</f>
        <v>TMP6131DECR</v>
      </c>
      <c r="C30" s="528"/>
      <c r="D30" s="528"/>
      <c r="E30" s="528"/>
      <c r="F30" s="528"/>
      <c r="G30" s="152"/>
      <c r="H30" s="528"/>
      <c r="I30" s="528"/>
      <c r="J30" s="528"/>
      <c r="K30" s="528"/>
      <c r="L30" s="528"/>
    </row>
    <row r="31" spans="1:12" s="42" customFormat="1" ht="15.6" x14ac:dyDescent="0.3">
      <c r="A31" s="538" t="s">
        <v>442</v>
      </c>
      <c r="B31" s="361">
        <f>Main!$N$25</f>
        <v>140</v>
      </c>
      <c r="C31" s="273" t="s">
        <v>441</v>
      </c>
      <c r="D31" s="483"/>
      <c r="E31" s="528"/>
      <c r="F31" s="483"/>
      <c r="G31" s="388"/>
      <c r="H31" s="388"/>
      <c r="I31" s="528"/>
      <c r="J31" s="528"/>
      <c r="K31" s="528"/>
      <c r="L31" s="528"/>
    </row>
    <row r="32" spans="1:12" s="257" customFormat="1" ht="15.6" x14ac:dyDescent="0.3">
      <c r="A32" s="538" t="s">
        <v>42</v>
      </c>
      <c r="B32" s="312">
        <f>Main!N28</f>
        <v>12</v>
      </c>
      <c r="C32" s="273" t="s">
        <v>16</v>
      </c>
      <c r="D32" s="483"/>
      <c r="E32" s="528"/>
      <c r="F32" s="483"/>
      <c r="G32" s="388"/>
      <c r="H32" s="388"/>
      <c r="I32" s="528"/>
      <c r="J32" s="528"/>
      <c r="K32" s="528"/>
      <c r="L32" s="528"/>
    </row>
    <row r="33" spans="1:21" s="257" customFormat="1" ht="15.6" x14ac:dyDescent="0.3">
      <c r="A33" s="538" t="s">
        <v>265</v>
      </c>
      <c r="B33" s="355">
        <f>Main!$N$31</f>
        <v>3</v>
      </c>
      <c r="C33" s="273" t="s">
        <v>2</v>
      </c>
      <c r="D33" s="483"/>
      <c r="E33" s="483"/>
      <c r="F33" s="483"/>
      <c r="G33" s="388"/>
      <c r="H33" s="388"/>
      <c r="I33" s="528"/>
      <c r="J33" s="528"/>
      <c r="K33" s="528"/>
      <c r="L33" s="528"/>
    </row>
    <row r="34" spans="1:21" s="42" customFormat="1" ht="15" x14ac:dyDescent="0.25">
      <c r="A34" s="152"/>
      <c r="B34" s="152"/>
      <c r="C34" s="152"/>
      <c r="D34" s="528"/>
      <c r="E34" s="528"/>
      <c r="F34" s="528"/>
      <c r="G34" s="528"/>
      <c r="H34" s="528"/>
      <c r="I34" s="528"/>
      <c r="J34" s="528"/>
      <c r="K34" s="528"/>
      <c r="L34" s="528"/>
    </row>
    <row r="35" spans="1:21" s="42" customFormat="1" ht="15.6" x14ac:dyDescent="0.3">
      <c r="A35" s="618"/>
      <c r="B35" s="646"/>
      <c r="C35" s="434"/>
      <c r="D35" s="152"/>
      <c r="E35" s="430"/>
      <c r="F35" s="647"/>
      <c r="G35" s="639"/>
      <c r="H35" s="639"/>
      <c r="I35" s="483"/>
      <c r="J35" s="483"/>
      <c r="K35" s="483"/>
      <c r="L35" s="483"/>
      <c r="M35" s="30"/>
      <c r="N35" s="30"/>
      <c r="O35" s="30"/>
      <c r="P35" s="30"/>
      <c r="Q35" s="30"/>
      <c r="R35" s="30"/>
      <c r="S35" s="30"/>
      <c r="T35" s="30"/>
      <c r="U35" s="30"/>
    </row>
    <row r="36" spans="1:21" s="42" customFormat="1" ht="15.6" x14ac:dyDescent="0.3">
      <c r="A36" s="618" t="s">
        <v>83</v>
      </c>
      <c r="B36" s="646"/>
      <c r="C36" s="434"/>
      <c r="D36" s="650"/>
      <c r="E36" s="430"/>
      <c r="F36" s="647"/>
      <c r="G36" s="639"/>
      <c r="H36" s="639"/>
      <c r="I36" s="483"/>
      <c r="J36" s="483"/>
      <c r="K36" s="483"/>
      <c r="L36" s="483"/>
      <c r="M36" s="30"/>
      <c r="N36" s="30"/>
      <c r="O36" s="30"/>
      <c r="P36" s="30"/>
      <c r="Q36" s="30"/>
      <c r="R36" s="30"/>
      <c r="S36" s="30"/>
      <c r="T36" s="30"/>
      <c r="U36" s="30"/>
    </row>
    <row r="37" spans="1:21" s="42" customFormat="1" ht="15.6" x14ac:dyDescent="0.3">
      <c r="A37" s="178"/>
      <c r="B37" s="649" t="s">
        <v>51</v>
      </c>
      <c r="C37" s="434"/>
      <c r="D37" s="152"/>
      <c r="E37" s="430"/>
      <c r="F37" s="647"/>
      <c r="G37" s="639"/>
      <c r="H37" s="639"/>
      <c r="I37" s="483"/>
      <c r="J37" s="483"/>
      <c r="K37" s="483"/>
      <c r="L37" s="483"/>
      <c r="M37" s="30"/>
      <c r="N37" s="30"/>
      <c r="O37" s="30"/>
      <c r="P37" s="30"/>
      <c r="Q37" s="30"/>
      <c r="R37" s="30"/>
      <c r="S37" s="30"/>
      <c r="T37" s="30"/>
      <c r="U37" s="30"/>
    </row>
    <row r="38" spans="1:21" s="42" customFormat="1" ht="16.2" thickBot="1" x14ac:dyDescent="0.35">
      <c r="A38" s="432"/>
      <c r="B38" s="649" t="s">
        <v>50</v>
      </c>
      <c r="C38" s="434"/>
      <c r="D38" s="152"/>
      <c r="E38" s="430"/>
      <c r="F38" s="647"/>
      <c r="G38" s="639"/>
      <c r="H38" s="639"/>
      <c r="I38" s="483"/>
      <c r="J38" s="483"/>
      <c r="K38" s="483"/>
      <c r="L38" s="483"/>
      <c r="M38" s="30"/>
      <c r="N38" s="30"/>
      <c r="O38" s="30"/>
      <c r="P38" s="30"/>
      <c r="Q38" s="30"/>
      <c r="R38" s="30"/>
      <c r="S38" s="30"/>
      <c r="T38" s="30"/>
      <c r="U38" s="30"/>
    </row>
    <row r="39" spans="1:21" s="42" customFormat="1" ht="16.2" thickBot="1" x14ac:dyDescent="0.35">
      <c r="A39" s="432" t="s">
        <v>279</v>
      </c>
      <c r="B39" s="529">
        <v>10000</v>
      </c>
      <c r="C39" s="434" t="s">
        <v>1</v>
      </c>
      <c r="D39" s="152" t="s">
        <v>215</v>
      </c>
      <c r="E39" s="430"/>
      <c r="F39" s="647" t="s">
        <v>49</v>
      </c>
      <c r="G39" s="639"/>
      <c r="H39" s="639"/>
      <c r="I39" s="483"/>
      <c r="J39" s="483"/>
      <c r="K39" s="483"/>
      <c r="L39" s="483"/>
      <c r="M39" s="30"/>
      <c r="N39" s="30"/>
      <c r="O39" s="30"/>
      <c r="P39" s="30"/>
      <c r="Q39" s="30"/>
      <c r="R39" s="30"/>
      <c r="S39" s="30"/>
      <c r="T39" s="30"/>
      <c r="U39" s="30"/>
    </row>
    <row r="40" spans="1:21" s="42" customFormat="1" ht="15.6" x14ac:dyDescent="0.3">
      <c r="A40" s="435" t="s">
        <v>55</v>
      </c>
      <c r="B40" s="651">
        <f ca="1">INDEX(C50:C93,MATCH(B39,C50:C93,1))</f>
        <v>9934</v>
      </c>
      <c r="C40" s="434" t="s">
        <v>1</v>
      </c>
      <c r="D40" s="431" t="s">
        <v>25</v>
      </c>
      <c r="E40" s="430"/>
      <c r="F40" s="647" t="s">
        <v>48</v>
      </c>
      <c r="G40" s="639"/>
      <c r="H40" s="639"/>
      <c r="I40" s="483"/>
      <c r="J40" s="483"/>
      <c r="K40" s="483"/>
      <c r="L40" s="483"/>
      <c r="M40" s="30"/>
      <c r="N40" s="30"/>
      <c r="O40" s="30"/>
      <c r="P40" s="30"/>
      <c r="Q40" s="30"/>
      <c r="R40" s="30"/>
      <c r="S40" s="30"/>
      <c r="T40" s="30"/>
      <c r="U40" s="30"/>
    </row>
    <row r="41" spans="1:21" s="42" customFormat="1" ht="15.6" x14ac:dyDescent="0.3">
      <c r="A41" s="435" t="s">
        <v>54</v>
      </c>
      <c r="B41" s="652">
        <f ca="1">INDEX(B50:B93,MATCH(B39,C50:C93,1))</f>
        <v>25</v>
      </c>
      <c r="C41" s="178" t="s">
        <v>185</v>
      </c>
      <c r="D41" s="653" t="s">
        <v>24</v>
      </c>
      <c r="E41" s="430"/>
      <c r="F41" s="647" t="s">
        <v>47</v>
      </c>
      <c r="G41" s="639"/>
      <c r="H41" s="639"/>
      <c r="I41" s="483"/>
      <c r="J41" s="483"/>
      <c r="K41" s="483"/>
      <c r="L41" s="483"/>
      <c r="M41" s="30"/>
      <c r="N41" s="30"/>
      <c r="O41" s="30"/>
      <c r="P41" s="30"/>
      <c r="Q41" s="30"/>
      <c r="R41" s="30"/>
      <c r="S41" s="30"/>
      <c r="T41" s="30"/>
      <c r="U41" s="30"/>
    </row>
    <row r="42" spans="1:21" s="42" customFormat="1" ht="15.6" x14ac:dyDescent="0.3">
      <c r="A42" s="432"/>
      <c r="B42" s="152"/>
      <c r="C42" s="388"/>
      <c r="D42" s="388"/>
      <c r="E42" s="388"/>
      <c r="F42" s="388"/>
      <c r="G42" s="639"/>
      <c r="H42" s="639"/>
      <c r="I42" s="483"/>
      <c r="J42" s="483"/>
      <c r="K42" s="483"/>
      <c r="L42" s="483"/>
      <c r="M42" s="30"/>
      <c r="N42" s="30"/>
      <c r="O42" s="30"/>
      <c r="P42" s="30"/>
      <c r="Q42" s="30"/>
      <c r="R42" s="30"/>
      <c r="S42" s="30"/>
      <c r="T42" s="30"/>
      <c r="U42" s="30"/>
    </row>
    <row r="43" spans="1:21" s="42" customFormat="1" ht="15.6" x14ac:dyDescent="0.3">
      <c r="A43" s="432" t="s">
        <v>53</v>
      </c>
      <c r="B43" s="640">
        <f ca="1">INDEX(C50:C93,1+MATCH(B39,C50:C93,1))</f>
        <v>10251</v>
      </c>
      <c r="C43" s="434" t="s">
        <v>1</v>
      </c>
      <c r="D43" s="178" t="s">
        <v>27</v>
      </c>
      <c r="E43" s="430"/>
      <c r="F43" s="647" t="s">
        <v>46</v>
      </c>
      <c r="G43" s="639"/>
      <c r="H43" s="639"/>
      <c r="I43" s="483"/>
      <c r="J43" s="483"/>
      <c r="K43" s="483"/>
      <c r="L43" s="483"/>
      <c r="M43" s="30"/>
      <c r="N43" s="30"/>
      <c r="O43" s="30"/>
      <c r="P43" s="30"/>
      <c r="Q43" s="30"/>
      <c r="R43" s="30"/>
      <c r="S43" s="30"/>
      <c r="T43" s="30"/>
      <c r="U43" s="30"/>
    </row>
    <row r="44" spans="1:21" s="42" customFormat="1" ht="15.6" x14ac:dyDescent="0.3">
      <c r="A44" s="432" t="s">
        <v>52</v>
      </c>
      <c r="B44" s="652">
        <f ca="1">INDEX(B50:B93,1+MATCH(B39,C50:C93,1))</f>
        <v>30</v>
      </c>
      <c r="C44" s="434" t="s">
        <v>185</v>
      </c>
      <c r="D44" s="152" t="s">
        <v>26</v>
      </c>
      <c r="E44" s="430"/>
      <c r="F44" s="647" t="s">
        <v>45</v>
      </c>
      <c r="G44" s="639"/>
      <c r="H44" s="639"/>
      <c r="I44" s="483"/>
      <c r="J44" s="483"/>
      <c r="K44" s="483"/>
      <c r="L44" s="483"/>
      <c r="M44" s="30"/>
      <c r="N44" s="30"/>
      <c r="O44" s="30"/>
      <c r="P44" s="30"/>
      <c r="Q44" s="30"/>
      <c r="R44" s="30"/>
      <c r="S44" s="30"/>
      <c r="T44" s="30"/>
      <c r="U44" s="30"/>
    </row>
    <row r="45" spans="1:21" s="42" customFormat="1" ht="16.2" thickBot="1" x14ac:dyDescent="0.35">
      <c r="A45" s="432"/>
      <c r="B45" s="152"/>
      <c r="C45" s="388"/>
      <c r="D45" s="388"/>
      <c r="E45" s="388"/>
      <c r="F45" s="388"/>
      <c r="G45" s="639"/>
      <c r="H45" s="483"/>
      <c r="I45" s="483"/>
      <c r="J45" s="483"/>
      <c r="K45" s="483"/>
      <c r="L45" s="483"/>
      <c r="M45" s="30"/>
      <c r="N45" s="30"/>
      <c r="O45" s="30"/>
      <c r="P45" s="30"/>
      <c r="Q45" s="30"/>
      <c r="R45" s="30"/>
      <c r="S45" s="30"/>
      <c r="T45" s="30"/>
      <c r="U45" s="30"/>
    </row>
    <row r="46" spans="1:21" ht="16.2" thickBot="1" x14ac:dyDescent="0.35">
      <c r="A46" s="432" t="s">
        <v>93</v>
      </c>
      <c r="B46" s="654">
        <f ca="1">B41+((B39-B40)/(B43-B40)*(B44-B41))</f>
        <v>26.041009463722396</v>
      </c>
      <c r="C46" s="434" t="s">
        <v>689</v>
      </c>
      <c r="D46" s="152" t="s">
        <v>472</v>
      </c>
      <c r="E46" s="430"/>
      <c r="F46" s="647"/>
      <c r="G46" s="639"/>
      <c r="H46" s="483"/>
      <c r="I46" s="483"/>
      <c r="J46" s="483"/>
      <c r="K46" s="483"/>
      <c r="L46" s="483"/>
    </row>
    <row r="47" spans="1:21" ht="15.6" x14ac:dyDescent="0.3">
      <c r="A47" s="432"/>
      <c r="B47" s="657"/>
      <c r="C47" s="434"/>
      <c r="D47" s="152"/>
      <c r="E47" s="430"/>
      <c r="F47" s="647"/>
      <c r="G47" s="639"/>
      <c r="H47" s="483"/>
      <c r="I47" s="483"/>
      <c r="J47" s="483"/>
      <c r="K47" s="483"/>
      <c r="L47" s="483"/>
    </row>
    <row r="48" spans="1:21" ht="15.6" x14ac:dyDescent="0.3">
      <c r="A48" s="273" t="s">
        <v>264</v>
      </c>
      <c r="B48" s="273"/>
      <c r="C48" s="483"/>
      <c r="D48" s="483"/>
      <c r="E48" s="483"/>
      <c r="F48" s="483"/>
      <c r="G48" s="483"/>
      <c r="H48" s="483"/>
      <c r="I48" s="483"/>
      <c r="J48" s="483"/>
      <c r="K48" s="483"/>
      <c r="L48" s="483"/>
    </row>
    <row r="49" spans="1:12" ht="15.6" x14ac:dyDescent="0.3">
      <c r="A49" s="658" t="s">
        <v>84</v>
      </c>
      <c r="B49" s="659" t="s">
        <v>184</v>
      </c>
      <c r="C49" s="659" t="s">
        <v>224</v>
      </c>
      <c r="D49" s="660"/>
      <c r="E49" s="660"/>
      <c r="F49" s="660"/>
      <c r="G49" s="483"/>
      <c r="H49" s="483"/>
      <c r="I49" s="483"/>
      <c r="J49" s="483"/>
      <c r="K49" s="483"/>
      <c r="L49" s="483"/>
    </row>
    <row r="50" spans="1:12" ht="15.6" x14ac:dyDescent="0.3">
      <c r="A50" s="587">
        <v>1</v>
      </c>
      <c r="B50" s="661">
        <v>-40</v>
      </c>
      <c r="C50" s="662">
        <f ca="1">ROUND('Device Resistance Tables'!Q24,0)-0.0001</f>
        <v>6513.9998999999998</v>
      </c>
      <c r="D50" s="663"/>
      <c r="E50" s="664"/>
      <c r="F50" s="518"/>
      <c r="G50" s="483"/>
      <c r="H50" s="483"/>
      <c r="I50" s="483"/>
      <c r="J50" s="483"/>
      <c r="K50" s="483"/>
      <c r="L50" s="483"/>
    </row>
    <row r="51" spans="1:12" ht="15.6" x14ac:dyDescent="0.3">
      <c r="A51" s="587">
        <v>2</v>
      </c>
      <c r="B51" s="661">
        <v>-35</v>
      </c>
      <c r="C51" s="662">
        <f ca="1">ROUND('Device Resistance Tables'!Q25,0)</f>
        <v>6727</v>
      </c>
      <c r="D51" s="518"/>
      <c r="E51" s="664" t="s">
        <v>349</v>
      </c>
      <c r="F51" s="518"/>
      <c r="G51" s="483"/>
      <c r="H51" s="483"/>
      <c r="I51" s="483"/>
      <c r="J51" s="483"/>
      <c r="K51" s="483"/>
      <c r="L51" s="483"/>
    </row>
    <row r="52" spans="1:12" ht="15.6" x14ac:dyDescent="0.3">
      <c r="A52" s="587">
        <v>3</v>
      </c>
      <c r="B52" s="661">
        <v>-30</v>
      </c>
      <c r="C52" s="662">
        <f ca="1">ROUND('Device Resistance Tables'!Q26,0)</f>
        <v>6949</v>
      </c>
      <c r="D52" s="518"/>
      <c r="E52" s="664"/>
      <c r="F52" s="518"/>
      <c r="G52" s="483"/>
      <c r="H52" s="483"/>
      <c r="I52" s="483"/>
      <c r="J52" s="483"/>
      <c r="K52" s="483"/>
      <c r="L52" s="483"/>
    </row>
    <row r="53" spans="1:12" ht="15.6" x14ac:dyDescent="0.3">
      <c r="A53" s="587">
        <v>4</v>
      </c>
      <c r="B53" s="661">
        <v>-25</v>
      </c>
      <c r="C53" s="662">
        <f ca="1">ROUND('Device Resistance Tables'!Q27,0)</f>
        <v>7180</v>
      </c>
      <c r="D53" s="518"/>
      <c r="E53" s="664"/>
      <c r="F53" s="518"/>
      <c r="G53" s="483"/>
      <c r="H53" s="483"/>
      <c r="I53" s="483"/>
      <c r="J53" s="483"/>
      <c r="K53" s="483"/>
      <c r="L53" s="483"/>
    </row>
    <row r="54" spans="1:12" ht="15.6" x14ac:dyDescent="0.3">
      <c r="A54" s="587">
        <v>5</v>
      </c>
      <c r="B54" s="661">
        <v>-20</v>
      </c>
      <c r="C54" s="662">
        <f ca="1">ROUND('Device Resistance Tables'!Q28,0)</f>
        <v>7419</v>
      </c>
      <c r="D54" s="518"/>
      <c r="E54" s="664"/>
      <c r="F54" s="518"/>
      <c r="G54" s="483"/>
      <c r="H54" s="483"/>
      <c r="I54" s="483"/>
      <c r="J54" s="483"/>
      <c r="K54" s="483"/>
      <c r="L54" s="483"/>
    </row>
    <row r="55" spans="1:12" ht="15.6" x14ac:dyDescent="0.3">
      <c r="A55" s="587">
        <v>6</v>
      </c>
      <c r="B55" s="661">
        <v>-15</v>
      </c>
      <c r="C55" s="662">
        <f ca="1">ROUND('Device Resistance Tables'!Q29,0)</f>
        <v>7667</v>
      </c>
      <c r="D55" s="518"/>
      <c r="E55" s="664"/>
      <c r="F55" s="518"/>
      <c r="G55" s="483"/>
      <c r="H55" s="483"/>
      <c r="I55" s="483"/>
      <c r="J55" s="483"/>
      <c r="K55" s="483"/>
      <c r="L55" s="483"/>
    </row>
    <row r="56" spans="1:12" ht="15.6" x14ac:dyDescent="0.3">
      <c r="A56" s="587">
        <v>7</v>
      </c>
      <c r="B56" s="661">
        <v>-10</v>
      </c>
      <c r="C56" s="662">
        <f ca="1">ROUND('Device Resistance Tables'!Q30,0)</f>
        <v>7924</v>
      </c>
      <c r="D56" s="518"/>
      <c r="E56" s="664"/>
      <c r="F56" s="518"/>
      <c r="G56" s="483"/>
      <c r="H56" s="483"/>
      <c r="I56" s="483"/>
      <c r="J56" s="483"/>
      <c r="K56" s="483"/>
      <c r="L56" s="483"/>
    </row>
    <row r="57" spans="1:12" ht="15.6" x14ac:dyDescent="0.3">
      <c r="A57" s="587">
        <v>8</v>
      </c>
      <c r="B57" s="661">
        <v>-5</v>
      </c>
      <c r="C57" s="662">
        <f ca="1">ROUND('Device Resistance Tables'!Q31,0)</f>
        <v>8188</v>
      </c>
      <c r="D57" s="518"/>
      <c r="E57" s="664"/>
      <c r="F57" s="518"/>
      <c r="G57" s="483"/>
      <c r="H57" s="483"/>
      <c r="I57" s="483"/>
      <c r="J57" s="483"/>
      <c r="K57" s="483"/>
      <c r="L57" s="483"/>
    </row>
    <row r="58" spans="1:12" ht="15.6" x14ac:dyDescent="0.3">
      <c r="A58" s="587">
        <v>9</v>
      </c>
      <c r="B58" s="661">
        <v>0.01</v>
      </c>
      <c r="C58" s="662">
        <f ca="1">ROUND('Device Resistance Tables'!Q32,0)</f>
        <v>8460</v>
      </c>
      <c r="D58" s="518"/>
      <c r="E58" s="664"/>
      <c r="F58" s="518"/>
      <c r="G58" s="483"/>
      <c r="H58" s="483"/>
      <c r="I58" s="483"/>
      <c r="J58" s="483"/>
      <c r="K58" s="483"/>
      <c r="L58" s="483"/>
    </row>
    <row r="59" spans="1:12" ht="15.6" x14ac:dyDescent="0.3">
      <c r="A59" s="587">
        <v>10</v>
      </c>
      <c r="B59" s="661">
        <v>5</v>
      </c>
      <c r="C59" s="662">
        <f ca="1">ROUND('Device Resistance Tables'!Q33,0)</f>
        <v>8740</v>
      </c>
      <c r="D59" s="518"/>
      <c r="E59" s="664"/>
      <c r="F59" s="518"/>
      <c r="G59" s="483"/>
      <c r="H59" s="483"/>
      <c r="I59" s="483"/>
      <c r="J59" s="483"/>
      <c r="K59" s="483"/>
      <c r="L59" s="483"/>
    </row>
    <row r="60" spans="1:12" ht="15.6" x14ac:dyDescent="0.3">
      <c r="A60" s="587">
        <v>11</v>
      </c>
      <c r="B60" s="661">
        <v>10</v>
      </c>
      <c r="C60" s="662">
        <f ca="1">ROUND('Device Resistance Tables'!Q34,0)</f>
        <v>9027</v>
      </c>
      <c r="D60" s="518"/>
      <c r="E60" s="664"/>
      <c r="F60" s="518"/>
      <c r="G60" s="483"/>
      <c r="H60" s="483"/>
      <c r="I60" s="483"/>
      <c r="J60" s="483"/>
      <c r="K60" s="483"/>
      <c r="L60" s="483"/>
    </row>
    <row r="61" spans="1:12" ht="15.6" x14ac:dyDescent="0.3">
      <c r="A61" s="587">
        <v>12</v>
      </c>
      <c r="B61" s="661">
        <v>15</v>
      </c>
      <c r="C61" s="662">
        <f ca="1">ROUND('Device Resistance Tables'!Q35,0)</f>
        <v>9322</v>
      </c>
      <c r="D61" s="518"/>
      <c r="E61" s="664"/>
      <c r="F61" s="518"/>
      <c r="G61" s="483"/>
      <c r="H61" s="483"/>
      <c r="I61" s="483"/>
      <c r="J61" s="483"/>
      <c r="K61" s="483"/>
      <c r="L61" s="483"/>
    </row>
    <row r="62" spans="1:12" ht="15.6" x14ac:dyDescent="0.3">
      <c r="A62" s="587">
        <v>13</v>
      </c>
      <c r="B62" s="661">
        <v>20</v>
      </c>
      <c r="C62" s="662">
        <f ca="1">ROUND('Device Resistance Tables'!Q36,0)</f>
        <v>9624</v>
      </c>
      <c r="D62" s="518"/>
      <c r="E62" s="664"/>
      <c r="F62" s="518"/>
      <c r="G62" s="483"/>
      <c r="H62" s="483"/>
      <c r="I62" s="483"/>
      <c r="J62" s="483"/>
      <c r="K62" s="483"/>
      <c r="L62" s="483"/>
    </row>
    <row r="63" spans="1:12" ht="15.6" x14ac:dyDescent="0.3">
      <c r="A63" s="587">
        <v>14</v>
      </c>
      <c r="B63" s="665">
        <v>25</v>
      </c>
      <c r="C63" s="662">
        <f ca="1">ROUND('Device Resistance Tables'!Q37,0)</f>
        <v>9934</v>
      </c>
      <c r="D63" s="518"/>
      <c r="E63" s="664"/>
      <c r="F63" s="518"/>
      <c r="G63" s="528"/>
      <c r="H63" s="483"/>
      <c r="I63" s="483"/>
      <c r="J63" s="483"/>
      <c r="K63" s="483"/>
      <c r="L63" s="483"/>
    </row>
    <row r="64" spans="1:12" ht="15.6" x14ac:dyDescent="0.3">
      <c r="A64" s="587">
        <v>15</v>
      </c>
      <c r="B64" s="661">
        <v>30</v>
      </c>
      <c r="C64" s="662">
        <f ca="1">ROUND('Device Resistance Tables'!Q38,0)</f>
        <v>10251</v>
      </c>
      <c r="D64" s="518"/>
      <c r="E64" s="664"/>
      <c r="F64" s="518"/>
      <c r="G64" s="483"/>
      <c r="H64" s="483"/>
      <c r="I64" s="483"/>
      <c r="J64" s="483"/>
      <c r="K64" s="483"/>
      <c r="L64" s="483"/>
    </row>
    <row r="65" spans="1:12" ht="15.6" x14ac:dyDescent="0.3">
      <c r="A65" s="587">
        <v>16</v>
      </c>
      <c r="B65" s="661">
        <v>35</v>
      </c>
      <c r="C65" s="662">
        <f ca="1">ROUND('Device Resistance Tables'!Q39,0)</f>
        <v>10575</v>
      </c>
      <c r="D65" s="518"/>
      <c r="E65" s="664"/>
      <c r="F65" s="518"/>
      <c r="G65" s="483"/>
      <c r="H65" s="483"/>
      <c r="I65" s="483"/>
      <c r="J65" s="483"/>
      <c r="K65" s="483"/>
      <c r="L65" s="483"/>
    </row>
    <row r="66" spans="1:12" ht="15.6" x14ac:dyDescent="0.3">
      <c r="A66" s="587">
        <v>17</v>
      </c>
      <c r="B66" s="661">
        <v>40</v>
      </c>
      <c r="C66" s="662">
        <f ca="1">ROUND('Device Resistance Tables'!Q40,0)</f>
        <v>10908</v>
      </c>
      <c r="D66" s="518"/>
      <c r="E66" s="664"/>
      <c r="F66" s="518"/>
      <c r="G66" s="483"/>
      <c r="H66" s="483"/>
      <c r="I66" s="483"/>
      <c r="J66" s="483"/>
      <c r="K66" s="483"/>
      <c r="L66" s="483"/>
    </row>
    <row r="67" spans="1:12" ht="15.6" x14ac:dyDescent="0.3">
      <c r="A67" s="587">
        <v>18</v>
      </c>
      <c r="B67" s="661">
        <v>45</v>
      </c>
      <c r="C67" s="662">
        <f ca="1">ROUND('Device Resistance Tables'!Q41,0)</f>
        <v>11247</v>
      </c>
      <c r="D67" s="518"/>
      <c r="E67" s="664"/>
      <c r="F67" s="518"/>
      <c r="G67" s="483"/>
      <c r="H67" s="483"/>
      <c r="I67" s="483"/>
      <c r="J67" s="483"/>
      <c r="K67" s="483"/>
      <c r="L67" s="483"/>
    </row>
    <row r="68" spans="1:12" ht="15.6" x14ac:dyDescent="0.3">
      <c r="A68" s="587">
        <v>19</v>
      </c>
      <c r="B68" s="661">
        <v>50</v>
      </c>
      <c r="C68" s="662">
        <f ca="1">ROUND('Device Resistance Tables'!Q42,0)</f>
        <v>11595</v>
      </c>
      <c r="D68" s="518"/>
      <c r="E68" s="664"/>
      <c r="F68" s="518"/>
      <c r="G68" s="483"/>
      <c r="H68" s="483"/>
      <c r="I68" s="483"/>
      <c r="J68" s="483"/>
      <c r="K68" s="483"/>
      <c r="L68" s="483"/>
    </row>
    <row r="69" spans="1:12" ht="15.6" x14ac:dyDescent="0.3">
      <c r="A69" s="587">
        <v>20</v>
      </c>
      <c r="B69" s="661">
        <v>55</v>
      </c>
      <c r="C69" s="662">
        <f ca="1">ROUND('Device Resistance Tables'!Q43,0)</f>
        <v>11950</v>
      </c>
      <c r="D69" s="518"/>
      <c r="E69" s="664"/>
      <c r="F69" s="518"/>
      <c r="G69" s="483"/>
      <c r="H69" s="483"/>
      <c r="I69" s="483"/>
      <c r="J69" s="483"/>
      <c r="K69" s="483"/>
      <c r="L69" s="483"/>
    </row>
    <row r="70" spans="1:12" ht="15.6" x14ac:dyDescent="0.3">
      <c r="A70" s="587">
        <v>21</v>
      </c>
      <c r="B70" s="661">
        <v>60</v>
      </c>
      <c r="C70" s="662">
        <f ca="1">ROUND('Device Resistance Tables'!Q44,0)</f>
        <v>12313</v>
      </c>
      <c r="D70" s="518"/>
      <c r="E70" s="664"/>
      <c r="F70" s="518"/>
      <c r="G70" s="483"/>
      <c r="H70" s="483"/>
      <c r="I70" s="483"/>
      <c r="J70" s="483"/>
      <c r="K70" s="483"/>
      <c r="L70" s="483"/>
    </row>
    <row r="71" spans="1:12" ht="15.6" x14ac:dyDescent="0.3">
      <c r="A71" s="587">
        <v>22</v>
      </c>
      <c r="B71" s="661">
        <v>65</v>
      </c>
      <c r="C71" s="662">
        <f ca="1">ROUND('Device Resistance Tables'!Q45,0)</f>
        <v>12685</v>
      </c>
      <c r="D71" s="518"/>
      <c r="E71" s="664"/>
      <c r="F71" s="518"/>
      <c r="G71" s="483"/>
      <c r="H71" s="483"/>
      <c r="I71" s="483"/>
      <c r="J71" s="483"/>
      <c r="K71" s="483"/>
      <c r="L71" s="483"/>
    </row>
    <row r="72" spans="1:12" ht="15.6" x14ac:dyDescent="0.3">
      <c r="A72" s="587">
        <v>23</v>
      </c>
      <c r="B72" s="661">
        <v>70</v>
      </c>
      <c r="C72" s="662">
        <f ca="1">ROUND('Device Resistance Tables'!Q46,0)</f>
        <v>13064</v>
      </c>
      <c r="D72" s="518"/>
      <c r="E72" s="664"/>
      <c r="F72" s="518"/>
      <c r="G72" s="483"/>
      <c r="H72" s="483"/>
      <c r="I72" s="483"/>
      <c r="J72" s="483"/>
      <c r="K72" s="483"/>
      <c r="L72" s="483"/>
    </row>
    <row r="73" spans="1:12" ht="15.6" x14ac:dyDescent="0.3">
      <c r="A73" s="587">
        <v>24</v>
      </c>
      <c r="B73" s="661">
        <v>75</v>
      </c>
      <c r="C73" s="662">
        <f ca="1">ROUND('Device Resistance Tables'!Q47,0)</f>
        <v>13453</v>
      </c>
      <c r="D73" s="518"/>
      <c r="E73" s="664"/>
      <c r="F73" s="518"/>
      <c r="G73" s="483"/>
      <c r="H73" s="483"/>
      <c r="I73" s="483"/>
      <c r="J73" s="483"/>
      <c r="K73" s="483"/>
      <c r="L73" s="483"/>
    </row>
    <row r="74" spans="1:12" ht="15.6" x14ac:dyDescent="0.3">
      <c r="A74" s="587">
        <v>25</v>
      </c>
      <c r="B74" s="661">
        <v>80</v>
      </c>
      <c r="C74" s="662">
        <f ca="1">ROUND('Device Resistance Tables'!Q48,0)</f>
        <v>13850</v>
      </c>
      <c r="D74" s="518"/>
      <c r="E74" s="664"/>
      <c r="F74" s="518"/>
      <c r="G74" s="483"/>
      <c r="H74" s="483"/>
      <c r="I74" s="483"/>
      <c r="J74" s="483"/>
      <c r="K74" s="483"/>
      <c r="L74" s="483"/>
    </row>
    <row r="75" spans="1:12" ht="15.6" x14ac:dyDescent="0.3">
      <c r="A75" s="587">
        <v>26</v>
      </c>
      <c r="B75" s="661">
        <v>85</v>
      </c>
      <c r="C75" s="662">
        <f ca="1">ROUND('Device Resistance Tables'!Q49,0)</f>
        <v>14257</v>
      </c>
      <c r="D75" s="518"/>
      <c r="E75" s="664"/>
      <c r="F75" s="518"/>
      <c r="G75" s="483"/>
      <c r="H75" s="483"/>
      <c r="I75" s="483"/>
      <c r="J75" s="483"/>
      <c r="K75" s="483"/>
      <c r="L75" s="483"/>
    </row>
    <row r="76" spans="1:12" ht="15.6" x14ac:dyDescent="0.3">
      <c r="A76" s="587">
        <v>27</v>
      </c>
      <c r="B76" s="661">
        <v>90</v>
      </c>
      <c r="C76" s="662">
        <f ca="1">ROUND('Device Resistance Tables'!Q50,0)</f>
        <v>14673</v>
      </c>
      <c r="D76" s="518"/>
      <c r="E76" s="664"/>
      <c r="F76" s="518"/>
      <c r="G76" s="483"/>
      <c r="H76" s="483"/>
      <c r="I76" s="483"/>
      <c r="J76" s="483"/>
      <c r="K76" s="483"/>
      <c r="L76" s="483"/>
    </row>
    <row r="77" spans="1:12" ht="15.6" x14ac:dyDescent="0.3">
      <c r="A77" s="587">
        <v>28</v>
      </c>
      <c r="B77" s="661">
        <v>95</v>
      </c>
      <c r="C77" s="662">
        <f ca="1">ROUND('Device Resistance Tables'!Q51,0)</f>
        <v>15099</v>
      </c>
      <c r="D77" s="518"/>
      <c r="E77" s="664"/>
      <c r="F77" s="518"/>
      <c r="G77" s="483"/>
      <c r="H77" s="483"/>
      <c r="I77" s="483"/>
      <c r="J77" s="483"/>
      <c r="K77" s="483"/>
      <c r="L77" s="483"/>
    </row>
    <row r="78" spans="1:12" ht="15.6" x14ac:dyDescent="0.3">
      <c r="A78" s="587">
        <v>29</v>
      </c>
      <c r="B78" s="661">
        <v>100</v>
      </c>
      <c r="C78" s="662">
        <f ca="1">ROUND('Device Resistance Tables'!Q52,0)</f>
        <v>15535</v>
      </c>
      <c r="D78" s="518"/>
      <c r="E78" s="664"/>
      <c r="F78" s="518"/>
      <c r="G78" s="483"/>
      <c r="H78" s="483"/>
      <c r="I78" s="483"/>
      <c r="J78" s="483"/>
      <c r="K78" s="483"/>
      <c r="L78" s="483"/>
    </row>
    <row r="79" spans="1:12" ht="15.6" x14ac:dyDescent="0.3">
      <c r="A79" s="587">
        <v>30</v>
      </c>
      <c r="B79" s="661">
        <v>105</v>
      </c>
      <c r="C79" s="662">
        <f ca="1">ROUND('Device Resistance Tables'!Q53,0)</f>
        <v>15982</v>
      </c>
      <c r="D79" s="518"/>
      <c r="E79" s="664"/>
      <c r="F79" s="518"/>
      <c r="G79" s="483"/>
      <c r="H79" s="483"/>
      <c r="I79" s="483"/>
      <c r="J79" s="483"/>
      <c r="K79" s="483"/>
      <c r="L79" s="483"/>
    </row>
    <row r="80" spans="1:12" ht="15.6" x14ac:dyDescent="0.3">
      <c r="A80" s="587">
        <v>31</v>
      </c>
      <c r="B80" s="661">
        <v>110</v>
      </c>
      <c r="C80" s="662">
        <f ca="1">ROUND('Device Resistance Tables'!Q54,0)</f>
        <v>16440</v>
      </c>
      <c r="D80" s="518"/>
      <c r="E80" s="664"/>
      <c r="F80" s="518"/>
      <c r="G80" s="483"/>
      <c r="H80" s="483"/>
      <c r="I80" s="483"/>
      <c r="J80" s="483"/>
      <c r="K80" s="483"/>
      <c r="L80" s="483"/>
    </row>
    <row r="81" spans="1:12" ht="15.6" x14ac:dyDescent="0.3">
      <c r="A81" s="587">
        <v>32</v>
      </c>
      <c r="B81" s="661">
        <v>115</v>
      </c>
      <c r="C81" s="662">
        <f ca="1">ROUND('Device Resistance Tables'!Q55,0)</f>
        <v>16910</v>
      </c>
      <c r="D81" s="518"/>
      <c r="E81" s="664"/>
      <c r="F81" s="518"/>
      <c r="G81" s="483"/>
      <c r="H81" s="483"/>
      <c r="I81" s="483"/>
      <c r="J81" s="483"/>
      <c r="K81" s="483"/>
      <c r="L81" s="483"/>
    </row>
    <row r="82" spans="1:12" ht="15.6" x14ac:dyDescent="0.3">
      <c r="A82" s="587">
        <v>33</v>
      </c>
      <c r="B82" s="661">
        <v>120</v>
      </c>
      <c r="C82" s="662">
        <f ca="1">ROUND('Device Resistance Tables'!Q56,0)</f>
        <v>17392</v>
      </c>
      <c r="D82" s="666"/>
      <c r="E82" s="664"/>
      <c r="F82" s="518"/>
      <c r="G82" s="483"/>
      <c r="H82" s="483"/>
      <c r="I82" s="483"/>
      <c r="J82" s="483"/>
      <c r="K82" s="483"/>
      <c r="L82" s="483"/>
    </row>
    <row r="83" spans="1:12" ht="15.6" x14ac:dyDescent="0.3">
      <c r="A83" s="587">
        <v>34</v>
      </c>
      <c r="B83" s="661">
        <v>125</v>
      </c>
      <c r="C83" s="662">
        <f ca="1">ROUND('Device Resistance Tables'!Q57,0)+0.00001</f>
        <v>17886.00001</v>
      </c>
      <c r="D83" s="518"/>
      <c r="E83" s="664"/>
      <c r="F83" s="518"/>
      <c r="G83" s="483"/>
      <c r="H83" s="483"/>
      <c r="I83" s="483"/>
      <c r="J83" s="483"/>
      <c r="K83" s="483"/>
      <c r="L83" s="483"/>
    </row>
    <row r="84" spans="1:12" s="256" customFormat="1" ht="15.6" x14ac:dyDescent="0.3">
      <c r="A84" s="587">
        <v>35</v>
      </c>
      <c r="B84" s="661">
        <v>130</v>
      </c>
      <c r="C84" s="662" t="str">
        <f ca="1">IFERROR(ROUND('Device Resistance Tables'!Q58,0)," ")</f>
        <v xml:space="preserve"> </v>
      </c>
      <c r="D84" s="518"/>
      <c r="E84" s="664"/>
      <c r="F84" s="518"/>
      <c r="G84" s="483"/>
      <c r="H84" s="483"/>
      <c r="I84" s="483"/>
      <c r="J84" s="483"/>
      <c r="K84" s="483"/>
      <c r="L84" s="483"/>
    </row>
    <row r="85" spans="1:12" s="256" customFormat="1" ht="15.6" x14ac:dyDescent="0.3">
      <c r="A85" s="587">
        <v>36</v>
      </c>
      <c r="B85" s="661">
        <v>135</v>
      </c>
      <c r="C85" s="662" t="str">
        <f ca="1">IFERROR(ROUND('Device Resistance Tables'!Q59,0)," ")</f>
        <v xml:space="preserve"> </v>
      </c>
      <c r="D85" s="518"/>
      <c r="E85" s="664"/>
      <c r="F85" s="518"/>
      <c r="G85" s="483"/>
      <c r="H85" s="483"/>
      <c r="I85" s="483"/>
      <c r="J85" s="483"/>
      <c r="K85" s="483"/>
      <c r="L85" s="483"/>
    </row>
    <row r="86" spans="1:12" s="256" customFormat="1" ht="15.6" x14ac:dyDescent="0.3">
      <c r="A86" s="587">
        <v>37</v>
      </c>
      <c r="B86" s="661">
        <v>140</v>
      </c>
      <c r="C86" s="662" t="str">
        <f ca="1">IFERROR(ROUND('Device Resistance Tables'!Q60,0)," ")</f>
        <v xml:space="preserve"> </v>
      </c>
      <c r="D86" s="518"/>
      <c r="E86" s="664"/>
      <c r="F86" s="518"/>
      <c r="G86" s="483"/>
      <c r="H86" s="483"/>
      <c r="I86" s="483"/>
      <c r="J86" s="483"/>
      <c r="K86" s="483"/>
      <c r="L86" s="483"/>
    </row>
    <row r="87" spans="1:12" s="256" customFormat="1" ht="15.6" x14ac:dyDescent="0.3">
      <c r="A87" s="587">
        <v>38</v>
      </c>
      <c r="B87" s="661">
        <v>145</v>
      </c>
      <c r="C87" s="662" t="str">
        <f ca="1">IFERROR(ROUND('Device Resistance Tables'!Q61,0)," ")</f>
        <v xml:space="preserve"> </v>
      </c>
      <c r="D87" s="518"/>
      <c r="E87" s="664"/>
      <c r="F87" s="518"/>
      <c r="G87" s="483"/>
      <c r="H87" s="483"/>
      <c r="I87" s="483"/>
      <c r="J87" s="483"/>
      <c r="K87" s="483"/>
      <c r="L87" s="483"/>
    </row>
    <row r="88" spans="1:12" s="256" customFormat="1" ht="15.6" x14ac:dyDescent="0.3">
      <c r="A88" s="587">
        <v>39</v>
      </c>
      <c r="B88" s="661">
        <v>150</v>
      </c>
      <c r="C88" s="662" t="str">
        <f ca="1">IFERROR(ROUND('Device Resistance Tables'!Q62,0)," ")</f>
        <v xml:space="preserve"> </v>
      </c>
      <c r="D88" s="518"/>
      <c r="E88" s="664"/>
      <c r="F88" s="518"/>
      <c r="G88" s="483"/>
      <c r="H88" s="483"/>
      <c r="I88" s="483"/>
      <c r="J88" s="483"/>
      <c r="K88" s="483"/>
      <c r="L88" s="483"/>
    </row>
    <row r="89" spans="1:12" s="256" customFormat="1" ht="15.6" x14ac:dyDescent="0.3">
      <c r="A89" s="587">
        <v>40</v>
      </c>
      <c r="B89" s="661">
        <v>155</v>
      </c>
      <c r="C89" s="662" t="str">
        <f ca="1">IFERROR(ROUND('Device Resistance Tables'!Q63,0)," ")</f>
        <v xml:space="preserve"> </v>
      </c>
      <c r="D89" s="518"/>
      <c r="E89" s="664"/>
      <c r="F89" s="518"/>
      <c r="G89" s="483"/>
      <c r="H89" s="483"/>
      <c r="I89" s="483"/>
      <c r="J89" s="483"/>
      <c r="K89" s="483"/>
      <c r="L89" s="483"/>
    </row>
    <row r="90" spans="1:12" s="256" customFormat="1" ht="15.6" x14ac:dyDescent="0.3">
      <c r="A90" s="587">
        <v>41</v>
      </c>
      <c r="B90" s="661">
        <v>160</v>
      </c>
      <c r="C90" s="662" t="str">
        <f ca="1">IFERROR(ROUND('Device Resistance Tables'!Q64,0)," ")</f>
        <v xml:space="preserve"> </v>
      </c>
      <c r="D90" s="518"/>
      <c r="E90" s="664"/>
      <c r="F90" s="518"/>
      <c r="G90" s="483"/>
      <c r="H90" s="483"/>
      <c r="I90" s="483"/>
      <c r="J90" s="483"/>
      <c r="K90" s="483"/>
      <c r="L90" s="483"/>
    </row>
    <row r="91" spans="1:12" s="256" customFormat="1" ht="15.6" x14ac:dyDescent="0.3">
      <c r="A91" s="587">
        <v>42</v>
      </c>
      <c r="B91" s="661">
        <v>165</v>
      </c>
      <c r="C91" s="662" t="str">
        <f ca="1">IFERROR(ROUND('Device Resistance Tables'!Q65,0)," ")</f>
        <v xml:space="preserve"> </v>
      </c>
      <c r="D91" s="518"/>
      <c r="E91" s="664"/>
      <c r="F91" s="518"/>
      <c r="G91" s="483"/>
      <c r="H91" s="483"/>
      <c r="I91" s="483"/>
      <c r="J91" s="483"/>
      <c r="K91" s="483"/>
      <c r="L91" s="483"/>
    </row>
    <row r="92" spans="1:12" s="256" customFormat="1" ht="15.6" x14ac:dyDescent="0.3">
      <c r="A92" s="587">
        <v>43</v>
      </c>
      <c r="B92" s="661">
        <v>170</v>
      </c>
      <c r="C92" s="662" t="str">
        <f ca="1">IFERROR(ROUND('Device Resistance Tables'!Q66,0)," ")</f>
        <v xml:space="preserve"> </v>
      </c>
      <c r="D92" s="518"/>
      <c r="E92" s="664"/>
      <c r="F92" s="518"/>
      <c r="G92" s="483"/>
      <c r="H92" s="483"/>
      <c r="I92" s="483"/>
      <c r="J92" s="483"/>
      <c r="K92" s="483"/>
      <c r="L92" s="483"/>
    </row>
    <row r="93" spans="1:12" s="256" customFormat="1" x14ac:dyDescent="0.25">
      <c r="A93" s="471"/>
      <c r="B93" s="481"/>
      <c r="C93" s="482"/>
      <c r="D93" s="260"/>
      <c r="E93" s="261"/>
      <c r="F93" s="260"/>
    </row>
    <row r="94" spans="1:12" s="256" customFormat="1" x14ac:dyDescent="0.25">
      <c r="A94" s="349"/>
      <c r="B94" s="350"/>
      <c r="C94" s="292"/>
      <c r="D94" s="260"/>
      <c r="E94" s="261"/>
      <c r="F94" s="260"/>
    </row>
    <row r="95" spans="1:12" x14ac:dyDescent="0.25">
      <c r="A95" s="262"/>
      <c r="B95" s="263"/>
      <c r="C95" s="261"/>
      <c r="D95" s="260"/>
      <c r="E95" s="261"/>
      <c r="F95" s="53"/>
    </row>
    <row r="96" spans="1:12" x14ac:dyDescent="0.25">
      <c r="A96" s="262"/>
      <c r="B96" s="263"/>
      <c r="C96" s="261"/>
      <c r="D96" s="260"/>
      <c r="E96" s="261"/>
      <c r="F96" s="53"/>
    </row>
    <row r="97" spans="1:15" x14ac:dyDescent="0.25">
      <c r="A97" s="262"/>
      <c r="B97" s="263"/>
      <c r="C97" s="261"/>
      <c r="D97" s="260"/>
      <c r="E97" s="261"/>
      <c r="F97" s="53"/>
    </row>
    <row r="98" spans="1:15" x14ac:dyDescent="0.25">
      <c r="A98" s="262"/>
      <c r="B98" s="263"/>
      <c r="C98" s="261"/>
      <c r="D98" s="260"/>
      <c r="E98" s="261"/>
      <c r="F98" s="53"/>
    </row>
    <row r="99" spans="1:15" x14ac:dyDescent="0.25">
      <c r="A99" s="262"/>
      <c r="B99" s="263"/>
      <c r="C99" s="261"/>
      <c r="D99" s="260"/>
      <c r="E99" s="261"/>
      <c r="F99" s="53"/>
    </row>
    <row r="100" spans="1:15" x14ac:dyDescent="0.25">
      <c r="A100" s="54"/>
      <c r="B100" s="55"/>
      <c r="C100" s="56"/>
      <c r="D100" s="55"/>
      <c r="E100" s="57"/>
      <c r="F100" s="57"/>
    </row>
    <row r="101" spans="1:15" x14ac:dyDescent="0.25">
      <c r="A101" s="57"/>
      <c r="B101" s="57"/>
      <c r="C101" s="58"/>
      <c r="D101" s="57"/>
      <c r="E101" s="57"/>
      <c r="F101" s="57"/>
    </row>
    <row r="102" spans="1:15" ht="16.2" thickBot="1" x14ac:dyDescent="0.35">
      <c r="A102" s="45" t="s">
        <v>116</v>
      </c>
      <c r="D102" s="273" t="s">
        <v>236</v>
      </c>
    </row>
    <row r="103" spans="1:15" ht="13.8" thickTop="1" x14ac:dyDescent="0.25">
      <c r="A103" s="31"/>
      <c r="B103" s="32"/>
      <c r="C103" s="32"/>
      <c r="D103" s="32"/>
      <c r="E103" s="32"/>
      <c r="F103" s="32"/>
      <c r="G103" s="32"/>
      <c r="H103" s="32"/>
      <c r="I103" s="32"/>
      <c r="J103" s="32"/>
      <c r="K103" s="32"/>
      <c r="L103" s="32"/>
      <c r="M103" s="32"/>
      <c r="N103" s="32"/>
      <c r="O103" s="102"/>
    </row>
    <row r="104" spans="1:15" x14ac:dyDescent="0.25">
      <c r="A104" s="33" t="s">
        <v>171</v>
      </c>
      <c r="B104" s="34"/>
      <c r="C104" s="34"/>
      <c r="D104" s="34"/>
      <c r="E104" s="34"/>
      <c r="F104" s="34"/>
      <c r="G104" s="34"/>
      <c r="H104" s="34"/>
      <c r="I104" s="34"/>
      <c r="J104" s="34"/>
      <c r="K104" s="34"/>
      <c r="L104" s="34"/>
      <c r="M104" s="34"/>
      <c r="N104" s="34"/>
      <c r="O104" s="103"/>
    </row>
    <row r="105" spans="1:15" x14ac:dyDescent="0.25">
      <c r="A105" s="33" t="s">
        <v>140</v>
      </c>
      <c r="B105" s="34"/>
      <c r="C105" s="34"/>
      <c r="D105" s="34"/>
      <c r="E105" s="34"/>
      <c r="F105" s="34"/>
      <c r="G105" s="34"/>
      <c r="H105" s="34"/>
      <c r="I105" s="34"/>
      <c r="J105" s="34"/>
      <c r="K105" s="34"/>
      <c r="L105" s="34"/>
      <c r="M105" s="34"/>
      <c r="N105" s="34"/>
      <c r="O105" s="103"/>
    </row>
    <row r="106" spans="1:15" x14ac:dyDescent="0.25">
      <c r="A106" s="36"/>
      <c r="B106" s="37"/>
      <c r="C106" s="37"/>
      <c r="D106" s="37"/>
      <c r="E106" s="37"/>
      <c r="F106" s="37"/>
      <c r="G106" s="37"/>
      <c r="H106" s="37"/>
      <c r="I106" s="37"/>
      <c r="J106" s="37"/>
      <c r="K106" s="37"/>
      <c r="L106" s="37"/>
      <c r="M106" s="37"/>
      <c r="N106" s="37"/>
      <c r="O106" s="70"/>
    </row>
    <row r="107" spans="1:15" x14ac:dyDescent="0.25">
      <c r="A107" s="69"/>
      <c r="B107" s="259"/>
      <c r="C107" s="259"/>
      <c r="D107" s="259"/>
      <c r="E107" s="259"/>
      <c r="F107" s="259"/>
      <c r="G107" s="259"/>
      <c r="H107" s="259"/>
      <c r="I107" s="259"/>
      <c r="J107" s="259"/>
      <c r="K107" s="259"/>
      <c r="L107" s="259"/>
      <c r="M107" s="259"/>
      <c r="N107" s="259"/>
      <c r="O107" s="70"/>
    </row>
    <row r="108" spans="1:15" x14ac:dyDescent="0.25">
      <c r="A108" s="358"/>
      <c r="B108" s="264" t="s">
        <v>456</v>
      </c>
      <c r="C108" s="264"/>
      <c r="D108" s="305">
        <f>B33</f>
        <v>3</v>
      </c>
      <c r="E108" s="259" t="s">
        <v>227</v>
      </c>
      <c r="F108" s="38"/>
      <c r="G108" s="38"/>
      <c r="H108" s="38"/>
      <c r="I108" s="39" t="s">
        <v>98</v>
      </c>
      <c r="J108" s="38"/>
      <c r="K108" s="38"/>
      <c r="L108" s="38"/>
      <c r="M108" s="38"/>
      <c r="N108" s="38"/>
      <c r="O108" s="70"/>
    </row>
    <row r="109" spans="1:15" x14ac:dyDescent="0.25">
      <c r="A109" s="69"/>
      <c r="B109" s="264" t="s">
        <v>447</v>
      </c>
      <c r="C109" s="264"/>
      <c r="D109" s="270">
        <f>B31</f>
        <v>140</v>
      </c>
      <c r="E109" s="259" t="s">
        <v>227</v>
      </c>
      <c r="F109" s="259"/>
      <c r="G109" s="259"/>
      <c r="H109" s="259"/>
      <c r="I109" s="39" t="s">
        <v>463</v>
      </c>
      <c r="J109" s="259"/>
      <c r="K109" s="259"/>
      <c r="L109" s="259"/>
      <c r="M109" s="259"/>
      <c r="N109" s="259"/>
      <c r="O109" s="70"/>
    </row>
    <row r="110" spans="1:15" x14ac:dyDescent="0.25">
      <c r="A110" s="69"/>
      <c r="B110" s="264" t="s">
        <v>228</v>
      </c>
      <c r="C110" s="264"/>
      <c r="D110" s="265">
        <f>2^B32</f>
        <v>4096</v>
      </c>
      <c r="E110" s="259" t="s">
        <v>227</v>
      </c>
      <c r="F110" s="259"/>
      <c r="G110" s="259"/>
      <c r="H110" s="259"/>
      <c r="I110" s="39" t="s">
        <v>100</v>
      </c>
      <c r="J110" s="259"/>
      <c r="K110" s="259"/>
      <c r="L110" s="259"/>
      <c r="M110" s="259"/>
      <c r="N110" s="259"/>
      <c r="O110" s="70"/>
    </row>
    <row r="111" spans="1:15" x14ac:dyDescent="0.25">
      <c r="A111" s="69"/>
      <c r="B111" s="259" t="s">
        <v>695</v>
      </c>
      <c r="C111" s="259"/>
      <c r="D111" s="259"/>
      <c r="E111" s="259"/>
      <c r="F111" s="259"/>
      <c r="G111" s="259"/>
      <c r="H111" s="259"/>
      <c r="I111" s="39" t="s">
        <v>101</v>
      </c>
      <c r="J111" s="259"/>
      <c r="K111" s="259"/>
      <c r="L111" s="259"/>
      <c r="M111" s="259"/>
      <c r="N111" s="259"/>
      <c r="O111" s="70"/>
    </row>
    <row r="112" spans="1:15" x14ac:dyDescent="0.25">
      <c r="A112" s="69"/>
      <c r="B112" s="259" t="s">
        <v>473</v>
      </c>
      <c r="C112" s="259"/>
      <c r="D112" s="259"/>
      <c r="E112" s="259"/>
      <c r="F112" s="259"/>
      <c r="G112" s="259"/>
      <c r="H112" s="259"/>
      <c r="I112" s="39" t="s">
        <v>474</v>
      </c>
      <c r="J112" s="259"/>
      <c r="K112" s="259"/>
      <c r="L112" s="259"/>
      <c r="M112" s="259"/>
      <c r="N112" s="259"/>
      <c r="O112" s="70"/>
    </row>
    <row r="113" spans="1:15" x14ac:dyDescent="0.25">
      <c r="A113" s="69"/>
      <c r="B113" s="259" t="s">
        <v>475</v>
      </c>
      <c r="C113" s="259"/>
      <c r="D113" s="259"/>
      <c r="E113" s="259"/>
      <c r="F113" s="259"/>
      <c r="G113" s="259"/>
      <c r="H113" s="259"/>
      <c r="I113" s="39" t="s">
        <v>102</v>
      </c>
      <c r="J113" s="259"/>
      <c r="K113" s="259"/>
      <c r="L113" s="259"/>
      <c r="M113" s="259"/>
      <c r="N113" s="259"/>
      <c r="O113" s="70"/>
    </row>
    <row r="114" spans="1:15" x14ac:dyDescent="0.25">
      <c r="A114" s="69"/>
      <c r="B114" s="259" t="s">
        <v>166</v>
      </c>
      <c r="C114" s="259"/>
      <c r="D114" s="259"/>
      <c r="E114" s="259"/>
      <c r="F114" s="259"/>
      <c r="G114" s="259"/>
      <c r="H114" s="259"/>
      <c r="I114" s="39"/>
      <c r="J114" s="259"/>
      <c r="K114" s="259"/>
      <c r="L114" s="259"/>
      <c r="M114" s="259"/>
      <c r="N114" s="259"/>
      <c r="O114" s="70"/>
    </row>
    <row r="115" spans="1:15" x14ac:dyDescent="0.25">
      <c r="A115" s="69"/>
      <c r="B115" s="259" t="s">
        <v>167</v>
      </c>
      <c r="C115" s="259"/>
      <c r="D115" s="259"/>
      <c r="E115" s="259"/>
      <c r="F115" s="259"/>
      <c r="G115" s="259"/>
      <c r="H115" s="259"/>
      <c r="I115" s="39"/>
      <c r="J115" s="259"/>
      <c r="K115" s="259"/>
      <c r="L115" s="259"/>
      <c r="M115" s="259"/>
      <c r="N115" s="259"/>
      <c r="O115" s="70"/>
    </row>
    <row r="116" spans="1:15" x14ac:dyDescent="0.25">
      <c r="A116" s="69"/>
      <c r="B116" s="259" t="s">
        <v>168</v>
      </c>
      <c r="C116" s="259"/>
      <c r="D116" s="259"/>
      <c r="E116" s="259"/>
      <c r="F116" s="259"/>
      <c r="G116" s="259"/>
      <c r="H116" s="259"/>
      <c r="I116" s="39"/>
      <c r="J116" s="259"/>
      <c r="K116" s="259"/>
      <c r="L116" s="259"/>
      <c r="M116" s="259"/>
      <c r="N116" s="259"/>
      <c r="O116" s="70"/>
    </row>
    <row r="117" spans="1:15" x14ac:dyDescent="0.25">
      <c r="A117" s="69"/>
      <c r="B117" s="259" t="s">
        <v>169</v>
      </c>
      <c r="C117" s="259"/>
      <c r="D117" s="259"/>
      <c r="E117" s="259"/>
      <c r="F117" s="259"/>
      <c r="G117" s="259"/>
      <c r="H117" s="259"/>
      <c r="I117" s="39"/>
      <c r="J117" s="259"/>
      <c r="K117" s="259"/>
      <c r="L117" s="259"/>
      <c r="M117" s="259"/>
      <c r="N117" s="259"/>
      <c r="O117" s="70"/>
    </row>
    <row r="118" spans="1:15" x14ac:dyDescent="0.25">
      <c r="A118" s="104"/>
      <c r="B118" s="259"/>
      <c r="C118" s="95"/>
      <c r="D118" s="38"/>
      <c r="E118" s="96"/>
      <c r="F118" s="97"/>
      <c r="G118" s="97"/>
      <c r="H118" s="259"/>
      <c r="I118" s="259"/>
      <c r="J118" s="259"/>
      <c r="K118" s="259"/>
      <c r="L118" s="259"/>
      <c r="M118" s="259"/>
      <c r="N118" s="259"/>
      <c r="O118" s="70"/>
    </row>
    <row r="119" spans="1:15" x14ac:dyDescent="0.25">
      <c r="A119" s="104"/>
      <c r="B119" s="268" t="s">
        <v>476</v>
      </c>
      <c r="C119" s="95"/>
      <c r="D119" s="259"/>
      <c r="E119" s="96"/>
      <c r="F119" s="97"/>
      <c r="G119" s="97"/>
      <c r="H119" s="259"/>
      <c r="I119" s="259"/>
      <c r="J119" s="259"/>
      <c r="K119" s="259"/>
      <c r="L119" s="259"/>
      <c r="M119" s="259"/>
      <c r="N119" s="259"/>
      <c r="O119" s="70"/>
    </row>
    <row r="120" spans="1:15" x14ac:dyDescent="0.25">
      <c r="A120" s="104"/>
      <c r="B120" s="268" t="s">
        <v>28</v>
      </c>
      <c r="C120" s="95"/>
      <c r="D120" s="259"/>
      <c r="E120" s="96"/>
      <c r="F120" s="97"/>
      <c r="G120" s="97"/>
      <c r="H120" s="259"/>
      <c r="I120" s="259"/>
      <c r="J120" s="259"/>
      <c r="K120" s="259"/>
      <c r="L120" s="259"/>
      <c r="M120" s="259"/>
      <c r="N120" s="259"/>
      <c r="O120" s="70"/>
    </row>
    <row r="121" spans="1:15" x14ac:dyDescent="0.25">
      <c r="A121" s="105"/>
      <c r="B121" s="268"/>
      <c r="C121" s="95"/>
      <c r="D121" s="98"/>
      <c r="E121" s="96"/>
      <c r="F121" s="97"/>
      <c r="G121" s="97"/>
      <c r="H121" s="259"/>
      <c r="I121" s="259"/>
      <c r="J121" s="259"/>
      <c r="K121" s="259"/>
      <c r="L121" s="259"/>
      <c r="M121" s="259"/>
      <c r="N121" s="259"/>
      <c r="O121" s="70"/>
    </row>
    <row r="122" spans="1:15" x14ac:dyDescent="0.25">
      <c r="A122" s="105"/>
      <c r="B122" s="268" t="s">
        <v>477</v>
      </c>
      <c r="C122" s="99"/>
      <c r="D122" s="100"/>
      <c r="E122" s="96"/>
      <c r="F122" s="97"/>
      <c r="G122" s="97"/>
      <c r="H122" s="259"/>
      <c r="I122" s="259"/>
      <c r="J122" s="259"/>
      <c r="K122" s="259"/>
      <c r="L122" s="259"/>
      <c r="M122" s="259"/>
      <c r="N122" s="259"/>
      <c r="O122" s="70"/>
    </row>
    <row r="123" spans="1:15" x14ac:dyDescent="0.25">
      <c r="A123" s="69"/>
      <c r="B123" s="268" t="s">
        <v>700</v>
      </c>
      <c r="C123" s="259"/>
      <c r="D123" s="259"/>
      <c r="E123" s="259"/>
      <c r="F123" s="259"/>
      <c r="G123" s="259"/>
      <c r="H123" s="259"/>
      <c r="I123" s="259"/>
      <c r="J123" s="259"/>
      <c r="K123" s="259"/>
      <c r="L123" s="259"/>
      <c r="M123" s="259"/>
      <c r="N123" s="259"/>
      <c r="O123" s="70"/>
    </row>
    <row r="124" spans="1:15" x14ac:dyDescent="0.25">
      <c r="A124" s="69"/>
      <c r="B124" s="268" t="s">
        <v>478</v>
      </c>
      <c r="C124" s="259"/>
      <c r="D124" s="259"/>
      <c r="E124" s="259"/>
      <c r="F124" s="259"/>
      <c r="G124" s="259"/>
      <c r="H124" s="259"/>
      <c r="I124" s="259"/>
      <c r="J124" s="259"/>
      <c r="K124" s="259"/>
      <c r="L124" s="259"/>
      <c r="M124" s="259"/>
      <c r="N124" s="259"/>
      <c r="O124" s="70"/>
    </row>
    <row r="125" spans="1:15" x14ac:dyDescent="0.25">
      <c r="A125" s="69"/>
      <c r="B125" s="359"/>
      <c r="C125" s="259"/>
      <c r="D125" s="259"/>
      <c r="E125" s="259"/>
      <c r="F125" s="259"/>
      <c r="G125" s="259"/>
      <c r="H125" s="259"/>
      <c r="I125" s="259"/>
      <c r="J125" s="259"/>
      <c r="K125" s="259"/>
      <c r="L125" s="259"/>
      <c r="M125" s="259"/>
      <c r="N125" s="259"/>
      <c r="O125" s="70"/>
    </row>
    <row r="126" spans="1:15" x14ac:dyDescent="0.25">
      <c r="A126" s="69"/>
      <c r="B126" s="359" t="s">
        <v>161</v>
      </c>
      <c r="C126" s="259"/>
      <c r="D126" s="259"/>
      <c r="E126" s="259"/>
      <c r="F126" s="259"/>
      <c r="G126" s="259"/>
      <c r="H126" s="259"/>
      <c r="I126" s="259"/>
      <c r="J126" s="259"/>
      <c r="K126" s="259"/>
      <c r="L126" s="259"/>
      <c r="M126" s="259"/>
      <c r="N126" s="259"/>
      <c r="O126" s="70"/>
    </row>
    <row r="127" spans="1:15" x14ac:dyDescent="0.25">
      <c r="A127" s="69"/>
      <c r="B127" s="98" t="s">
        <v>479</v>
      </c>
      <c r="C127" s="259"/>
      <c r="D127" s="259"/>
      <c r="E127" s="259"/>
      <c r="F127" s="259"/>
      <c r="G127" s="259"/>
      <c r="H127" s="259"/>
      <c r="I127" s="259"/>
      <c r="J127" s="259"/>
      <c r="K127" s="259"/>
      <c r="L127" s="259"/>
      <c r="M127" s="259"/>
      <c r="N127" s="259"/>
      <c r="O127" s="70"/>
    </row>
    <row r="128" spans="1:15" x14ac:dyDescent="0.25">
      <c r="A128" s="69"/>
      <c r="B128" s="360"/>
      <c r="C128" s="259"/>
      <c r="D128" s="259"/>
      <c r="E128" s="259"/>
      <c r="F128" s="259"/>
      <c r="G128" s="259"/>
      <c r="H128" s="259"/>
      <c r="I128" s="259"/>
      <c r="J128" s="259"/>
      <c r="K128" s="259"/>
      <c r="L128" s="259"/>
      <c r="M128" s="259"/>
      <c r="N128" s="259"/>
      <c r="O128" s="70"/>
    </row>
    <row r="129" spans="1:15" x14ac:dyDescent="0.25">
      <c r="A129" s="69"/>
      <c r="B129" s="287" t="s">
        <v>701</v>
      </c>
      <c r="C129" s="259"/>
      <c r="D129" s="259"/>
      <c r="E129" s="259"/>
      <c r="F129" s="259"/>
      <c r="G129" s="259"/>
      <c r="H129" s="259" t="s">
        <v>464</v>
      </c>
      <c r="I129" s="259"/>
      <c r="J129" s="259"/>
      <c r="K129" s="259"/>
      <c r="L129" s="259"/>
      <c r="M129" s="259"/>
      <c r="N129" s="259"/>
      <c r="O129" s="70"/>
    </row>
    <row r="130" spans="1:15" x14ac:dyDescent="0.25">
      <c r="A130" s="104"/>
      <c r="B130" s="268" t="s">
        <v>699</v>
      </c>
      <c r="C130" s="288"/>
      <c r="D130" s="259"/>
      <c r="E130" s="289"/>
      <c r="F130" s="290"/>
      <c r="G130" s="290"/>
      <c r="H130" s="259" t="s">
        <v>465</v>
      </c>
      <c r="I130" s="259"/>
      <c r="J130" s="259"/>
      <c r="K130" s="259"/>
      <c r="L130" s="259"/>
      <c r="M130" s="259"/>
      <c r="N130" s="259"/>
      <c r="O130" s="70"/>
    </row>
    <row r="131" spans="1:15" x14ac:dyDescent="0.25">
      <c r="A131" s="104"/>
      <c r="B131" s="268"/>
      <c r="C131" s="95"/>
      <c r="D131" s="99"/>
      <c r="E131" s="96"/>
      <c r="F131" s="97"/>
      <c r="G131" s="97"/>
      <c r="H131" s="259"/>
      <c r="I131" s="259"/>
      <c r="J131" s="259"/>
      <c r="K131" s="259"/>
      <c r="L131" s="259"/>
      <c r="M131" s="259"/>
      <c r="N131" s="259"/>
      <c r="O131" s="70"/>
    </row>
    <row r="132" spans="1:15" x14ac:dyDescent="0.25">
      <c r="A132" s="104"/>
      <c r="B132" s="268" t="s">
        <v>170</v>
      </c>
      <c r="C132" s="95"/>
      <c r="D132" s="99"/>
      <c r="E132" s="96"/>
      <c r="F132" s="97"/>
      <c r="G132" s="97"/>
      <c r="H132" s="259"/>
      <c r="I132" s="259"/>
      <c r="J132" s="259"/>
      <c r="K132" s="259"/>
      <c r="L132" s="259"/>
      <c r="M132" s="259"/>
      <c r="N132" s="259"/>
      <c r="O132" s="70"/>
    </row>
    <row r="133" spans="1:15" x14ac:dyDescent="0.25">
      <c r="A133" s="104"/>
      <c r="B133" s="268"/>
      <c r="C133" s="95"/>
      <c r="D133" s="99"/>
      <c r="E133" s="96"/>
      <c r="F133" s="97"/>
      <c r="G133" s="97"/>
      <c r="H133" s="259"/>
      <c r="I133" s="259"/>
      <c r="J133" s="259"/>
      <c r="K133" s="259"/>
      <c r="L133" s="259"/>
      <c r="M133" s="259"/>
      <c r="N133" s="259"/>
      <c r="O133" s="70"/>
    </row>
    <row r="134" spans="1:15" x14ac:dyDescent="0.25">
      <c r="A134" s="69"/>
      <c r="B134" s="268" t="s">
        <v>125</v>
      </c>
      <c r="C134" s="259"/>
      <c r="D134" s="259"/>
      <c r="E134" s="259"/>
      <c r="F134" s="259"/>
      <c r="G134" s="259"/>
      <c r="H134" s="259"/>
      <c r="I134" s="259"/>
      <c r="J134" s="259"/>
      <c r="K134" s="259"/>
      <c r="L134" s="259"/>
      <c r="M134" s="259"/>
      <c r="N134" s="259"/>
      <c r="O134" s="70"/>
    </row>
    <row r="135" spans="1:15" x14ac:dyDescent="0.25">
      <c r="A135" s="69"/>
      <c r="B135" s="268" t="s">
        <v>126</v>
      </c>
      <c r="C135" s="259"/>
      <c r="D135" s="259"/>
      <c r="E135" s="259"/>
      <c r="F135" s="259"/>
      <c r="G135" s="259"/>
      <c r="H135" s="259"/>
      <c r="I135" s="259"/>
      <c r="J135" s="259"/>
      <c r="K135" s="259"/>
      <c r="L135" s="259"/>
      <c r="M135" s="259"/>
      <c r="N135" s="259"/>
      <c r="O135" s="70"/>
    </row>
    <row r="136" spans="1:15" x14ac:dyDescent="0.25">
      <c r="A136" s="69"/>
      <c r="B136" s="360" t="s">
        <v>480</v>
      </c>
      <c r="C136" s="259"/>
      <c r="D136" s="259"/>
      <c r="E136" s="259"/>
      <c r="F136" s="259"/>
      <c r="G136" s="259"/>
      <c r="H136" s="259"/>
      <c r="I136" s="259"/>
      <c r="J136" s="259"/>
      <c r="K136" s="259"/>
      <c r="L136" s="259"/>
      <c r="M136" s="259"/>
      <c r="N136" s="259"/>
      <c r="O136" s="70"/>
    </row>
    <row r="137" spans="1:15" x14ac:dyDescent="0.25">
      <c r="A137" s="69"/>
      <c r="B137" s="106" t="s">
        <v>162</v>
      </c>
      <c r="C137" s="259"/>
      <c r="D137" s="259"/>
      <c r="E137" s="259"/>
      <c r="F137" s="259"/>
      <c r="G137" s="259"/>
      <c r="H137" s="259"/>
      <c r="I137" s="259"/>
      <c r="J137" s="259"/>
      <c r="K137" s="259"/>
      <c r="L137" s="259"/>
      <c r="M137" s="259"/>
      <c r="N137" s="259"/>
      <c r="O137" s="70"/>
    </row>
    <row r="138" spans="1:15" x14ac:dyDescent="0.25">
      <c r="A138" s="107"/>
      <c r="B138" s="98" t="s">
        <v>163</v>
      </c>
      <c r="C138" s="259"/>
      <c r="D138" s="39" t="s">
        <v>72</v>
      </c>
      <c r="E138" s="259"/>
      <c r="F138" s="259"/>
      <c r="G138" s="259"/>
      <c r="H138" s="259"/>
      <c r="I138" s="259"/>
      <c r="J138" s="259"/>
      <c r="K138" s="259"/>
      <c r="L138" s="259"/>
      <c r="M138" s="259"/>
      <c r="N138" s="259"/>
      <c r="O138" s="70"/>
    </row>
    <row r="139" spans="1:15" x14ac:dyDescent="0.25">
      <c r="A139" s="69"/>
      <c r="B139" s="359" t="s">
        <v>481</v>
      </c>
      <c r="C139" s="259"/>
      <c r="D139" s="259"/>
      <c r="E139" s="259"/>
      <c r="F139" s="259"/>
      <c r="G139" s="259"/>
      <c r="H139" s="259"/>
      <c r="I139" s="259"/>
      <c r="J139" s="259"/>
      <c r="K139" s="259"/>
      <c r="L139" s="259"/>
      <c r="M139" s="259"/>
      <c r="N139" s="259"/>
      <c r="O139" s="70"/>
    </row>
    <row r="140" spans="1:15" x14ac:dyDescent="0.25">
      <c r="A140" s="69"/>
      <c r="B140" s="268" t="s">
        <v>482</v>
      </c>
      <c r="C140" s="259"/>
      <c r="D140" s="259"/>
      <c r="E140" s="259"/>
      <c r="F140" s="259"/>
      <c r="G140" s="259"/>
      <c r="H140" s="259"/>
      <c r="I140" s="259"/>
      <c r="J140" s="259"/>
      <c r="K140" s="259"/>
      <c r="L140" s="259"/>
      <c r="M140" s="259"/>
      <c r="N140" s="259"/>
      <c r="O140" s="70"/>
    </row>
    <row r="141" spans="1:15" x14ac:dyDescent="0.25">
      <c r="A141" s="69"/>
      <c r="B141" s="268" t="s">
        <v>483</v>
      </c>
      <c r="C141" s="259"/>
      <c r="D141" s="259"/>
      <c r="E141" s="259"/>
      <c r="F141" s="259"/>
      <c r="G141" s="259"/>
      <c r="H141" s="259"/>
      <c r="I141" s="259"/>
      <c r="J141" s="259"/>
      <c r="K141" s="259"/>
      <c r="L141" s="259"/>
      <c r="M141" s="259"/>
      <c r="N141" s="259"/>
      <c r="O141" s="70"/>
    </row>
    <row r="142" spans="1:15" x14ac:dyDescent="0.25">
      <c r="A142" s="69"/>
      <c r="B142" s="268" t="s">
        <v>484</v>
      </c>
      <c r="C142" s="259"/>
      <c r="D142" s="259"/>
      <c r="E142" s="259"/>
      <c r="F142" s="259"/>
      <c r="G142" s="259"/>
      <c r="H142" s="259"/>
      <c r="I142" s="259"/>
      <c r="J142" s="259"/>
      <c r="K142" s="259"/>
      <c r="L142" s="259"/>
      <c r="M142" s="259"/>
      <c r="N142" s="259"/>
      <c r="O142" s="70"/>
    </row>
    <row r="143" spans="1:15" x14ac:dyDescent="0.25">
      <c r="A143" s="69"/>
      <c r="B143" s="100"/>
      <c r="C143" s="259"/>
      <c r="D143" s="259"/>
      <c r="E143" s="259"/>
      <c r="F143" s="259"/>
      <c r="G143" s="259"/>
      <c r="H143" s="259"/>
      <c r="I143" s="259"/>
      <c r="J143" s="259"/>
      <c r="K143" s="259"/>
      <c r="L143" s="259"/>
      <c r="M143" s="259"/>
      <c r="N143" s="259"/>
      <c r="O143" s="70"/>
    </row>
    <row r="144" spans="1:15" x14ac:dyDescent="0.25">
      <c r="A144" s="69"/>
      <c r="B144" s="100" t="s">
        <v>485</v>
      </c>
      <c r="C144" s="259"/>
      <c r="D144" s="259"/>
      <c r="E144" s="259"/>
      <c r="F144" s="259"/>
      <c r="G144" s="259"/>
      <c r="H144" s="259"/>
      <c r="I144" s="259"/>
      <c r="J144" s="259"/>
      <c r="K144" s="259"/>
      <c r="L144" s="259"/>
      <c r="M144" s="259"/>
      <c r="N144" s="259"/>
      <c r="O144" s="70"/>
    </row>
    <row r="145" spans="1:15" x14ac:dyDescent="0.25">
      <c r="A145" s="69"/>
      <c r="B145" s="100" t="s">
        <v>486</v>
      </c>
      <c r="C145" s="259"/>
      <c r="D145" s="259"/>
      <c r="E145" s="259"/>
      <c r="F145" s="259"/>
      <c r="G145" s="259"/>
      <c r="H145" s="259"/>
      <c r="I145" s="259"/>
      <c r="J145" s="259"/>
      <c r="K145" s="259"/>
      <c r="L145" s="259"/>
      <c r="M145" s="259"/>
      <c r="N145" s="259"/>
      <c r="O145" s="70"/>
    </row>
    <row r="146" spans="1:15" x14ac:dyDescent="0.25">
      <c r="A146" s="69"/>
      <c r="B146" s="100" t="s">
        <v>164</v>
      </c>
      <c r="C146" s="259"/>
      <c r="D146" s="259"/>
      <c r="E146" s="259"/>
      <c r="F146" s="259"/>
      <c r="G146" s="259"/>
      <c r="H146" s="259"/>
      <c r="I146" s="259"/>
      <c r="J146" s="259"/>
      <c r="K146" s="259"/>
      <c r="L146" s="259"/>
      <c r="M146" s="259"/>
      <c r="N146" s="259"/>
      <c r="O146" s="70"/>
    </row>
    <row r="147" spans="1:15" x14ac:dyDescent="0.25">
      <c r="A147" s="69"/>
      <c r="B147" s="100" t="s">
        <v>165</v>
      </c>
      <c r="C147" s="259"/>
      <c r="D147" s="259"/>
      <c r="E147" s="259"/>
      <c r="F147" s="259"/>
      <c r="G147" s="259"/>
      <c r="H147" s="259"/>
      <c r="I147" s="259"/>
      <c r="J147" s="259"/>
      <c r="K147" s="259"/>
      <c r="L147" s="259"/>
      <c r="M147" s="259"/>
      <c r="N147" s="259"/>
      <c r="O147" s="70"/>
    </row>
    <row r="148" spans="1:15" x14ac:dyDescent="0.25">
      <c r="A148" s="69"/>
      <c r="B148" s="100" t="s">
        <v>135</v>
      </c>
      <c r="C148" s="259"/>
      <c r="D148" s="259"/>
      <c r="E148" s="259"/>
      <c r="F148" s="259"/>
      <c r="G148" s="259"/>
      <c r="H148" s="259"/>
      <c r="I148" s="259"/>
      <c r="J148" s="259"/>
      <c r="K148" s="259"/>
      <c r="L148" s="259"/>
      <c r="M148" s="259"/>
      <c r="N148" s="259"/>
      <c r="O148" s="70"/>
    </row>
    <row r="149" spans="1:15" x14ac:dyDescent="0.25">
      <c r="A149" s="69"/>
      <c r="B149" s="100"/>
      <c r="C149" s="259"/>
      <c r="D149" s="259"/>
      <c r="E149" s="259"/>
      <c r="F149" s="259"/>
      <c r="G149" s="259"/>
      <c r="H149" s="259"/>
      <c r="I149" s="259"/>
      <c r="J149" s="259"/>
      <c r="K149" s="259"/>
      <c r="L149" s="259"/>
      <c r="M149" s="259"/>
      <c r="N149" s="259"/>
      <c r="O149" s="70"/>
    </row>
    <row r="150" spans="1:15" x14ac:dyDescent="0.25">
      <c r="A150" s="69"/>
      <c r="B150" s="100" t="s">
        <v>31</v>
      </c>
      <c r="C150" s="259"/>
      <c r="D150" s="259"/>
      <c r="E150" s="259"/>
      <c r="F150" s="259"/>
      <c r="G150" s="259"/>
      <c r="H150" s="259"/>
      <c r="I150" s="259"/>
      <c r="J150" s="259"/>
      <c r="K150" s="259"/>
      <c r="L150" s="259"/>
      <c r="M150" s="259"/>
      <c r="N150" s="259"/>
      <c r="O150" s="70"/>
    </row>
    <row r="151" spans="1:15" x14ac:dyDescent="0.25">
      <c r="A151" s="69"/>
      <c r="B151" s="101"/>
      <c r="C151" s="259"/>
      <c r="D151" s="259"/>
      <c r="E151" s="259"/>
      <c r="F151" s="259"/>
      <c r="G151" s="259"/>
      <c r="H151" s="259"/>
      <c r="I151" s="259"/>
      <c r="J151" s="259"/>
      <c r="K151" s="259"/>
      <c r="L151" s="259"/>
      <c r="M151" s="259"/>
      <c r="N151" s="259"/>
      <c r="O151" s="70"/>
    </row>
    <row r="152" spans="1:15" ht="13.8" thickBot="1" x14ac:dyDescent="0.3">
      <c r="A152" s="71"/>
      <c r="B152" s="108"/>
      <c r="C152" s="72"/>
      <c r="D152" s="72"/>
      <c r="E152" s="72"/>
      <c r="F152" s="72"/>
      <c r="G152" s="72"/>
      <c r="H152" s="72"/>
      <c r="I152" s="72"/>
      <c r="J152" s="72"/>
      <c r="K152" s="72"/>
      <c r="L152" s="72"/>
      <c r="M152" s="72"/>
      <c r="N152" s="72"/>
      <c r="O152" s="73"/>
    </row>
    <row r="153" spans="1:15" ht="13.8" thickTop="1" x14ac:dyDescent="0.25">
      <c r="A153" s="57"/>
      <c r="B153" s="54"/>
      <c r="C153" s="57"/>
    </row>
    <row r="154" spans="1:15" x14ac:dyDescent="0.25">
      <c r="A154" s="57"/>
      <c r="B154" s="54"/>
      <c r="C154" s="57"/>
    </row>
    <row r="155" spans="1:15" x14ac:dyDescent="0.25">
      <c r="A155" s="57"/>
      <c r="B155" s="54"/>
      <c r="C155" s="57"/>
    </row>
    <row r="156" spans="1:15" x14ac:dyDescent="0.25">
      <c r="A156" s="57"/>
      <c r="B156" s="54"/>
      <c r="C156" s="57"/>
    </row>
    <row r="157" spans="1:15" x14ac:dyDescent="0.25">
      <c r="A157" s="57"/>
      <c r="B157" s="54"/>
      <c r="C157" s="57"/>
    </row>
    <row r="158" spans="1:15" x14ac:dyDescent="0.25">
      <c r="A158" s="57"/>
      <c r="B158" s="54"/>
      <c r="C158" s="57"/>
    </row>
    <row r="159" spans="1:15" x14ac:dyDescent="0.25">
      <c r="A159" s="57"/>
      <c r="B159" s="54"/>
      <c r="C159" s="57"/>
    </row>
    <row r="160" spans="1:15" x14ac:dyDescent="0.25">
      <c r="A160" s="57"/>
      <c r="B160" s="54"/>
      <c r="C160" s="57"/>
    </row>
    <row r="161" spans="1:3" x14ac:dyDescent="0.25">
      <c r="A161" s="57"/>
      <c r="B161" s="54"/>
      <c r="C161" s="57"/>
    </row>
    <row r="162" spans="1:3" x14ac:dyDescent="0.25">
      <c r="A162" s="57"/>
      <c r="B162" s="54"/>
      <c r="C162" s="57"/>
    </row>
    <row r="163" spans="1:3" x14ac:dyDescent="0.25">
      <c r="A163" s="57"/>
      <c r="B163" s="54"/>
      <c r="C163" s="57"/>
    </row>
    <row r="164" spans="1:3" x14ac:dyDescent="0.25">
      <c r="A164" s="57"/>
      <c r="B164" s="54"/>
      <c r="C164" s="57"/>
    </row>
    <row r="165" spans="1:3" x14ac:dyDescent="0.25">
      <c r="A165" s="57"/>
      <c r="B165" s="54"/>
      <c r="C165" s="57"/>
    </row>
    <row r="166" spans="1:3" x14ac:dyDescent="0.25">
      <c r="A166" s="57"/>
      <c r="B166" s="54"/>
      <c r="C166" s="57"/>
    </row>
    <row r="167" spans="1:3" x14ac:dyDescent="0.25">
      <c r="A167" s="57"/>
      <c r="B167" s="54"/>
      <c r="C167" s="57"/>
    </row>
    <row r="168" spans="1:3" x14ac:dyDescent="0.25">
      <c r="A168" s="57"/>
      <c r="B168" s="54"/>
      <c r="C168" s="57"/>
    </row>
    <row r="169" spans="1:3" x14ac:dyDescent="0.25">
      <c r="A169" s="57"/>
      <c r="B169" s="54"/>
      <c r="C169" s="57"/>
    </row>
    <row r="170" spans="1:3" x14ac:dyDescent="0.25">
      <c r="A170" s="57"/>
      <c r="B170" s="57"/>
      <c r="C170" s="57"/>
    </row>
    <row r="171" spans="1:3" x14ac:dyDescent="0.25"/>
    <row r="172" spans="1:3" x14ac:dyDescent="0.25"/>
    <row r="173" spans="1:3" x14ac:dyDescent="0.25"/>
    <row r="174" spans="1:3" x14ac:dyDescent="0.25"/>
    <row r="175" spans="1:3" x14ac:dyDescent="0.25"/>
    <row r="176" spans="1:3" x14ac:dyDescent="0.25"/>
    <row r="177" x14ac:dyDescent="0.25"/>
    <row r="178" x14ac:dyDescent="0.25"/>
    <row r="179" x14ac:dyDescent="0.25"/>
    <row r="180" x14ac:dyDescent="0.25"/>
    <row r="181" x14ac:dyDescent="0.25"/>
    <row r="182" x14ac:dyDescent="0.25"/>
    <row r="183" x14ac:dyDescent="0.25"/>
  </sheetData>
  <sheetProtection algorithmName="SHA-512" hashValue="LotSTR8L/B4PlWfZqyrea+fgq30platZNx9pkHSSQ3i1ZncXKsjzju7VrBiihSMDbMWa2u7UndCW+Dt/BWk6iw==" saltValue="l4SC6d6ZckUn6JQ6Gb9tXw==" spinCount="100000" sheet="1" objects="1" scenarios="1"/>
  <dataConsolidate/>
  <mergeCells count="2">
    <mergeCell ref="A1:U3"/>
    <mergeCell ref="A4:Y4"/>
  </mergeCells>
  <hyperlinks>
    <hyperlink ref="A5" location="Main!K46" display="Return to Menu" xr:uid="{00000000-0004-0000-0900-000000000000}"/>
    <hyperlink ref="A28" location="'Interpolation From Lookup Table'!A134" display="Example Code" xr:uid="{00000000-0004-0000-0900-000001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whole" allowBlank="1" showInputMessage="1" showErrorMessage="1" errorTitle="Resistance" error="Enter a value between min and max typical resistance for your device." promptTitle="Resistance" prompt="Enter a value between min and max typical resistance for the selected TI device." xr:uid="{00000000-0002-0000-0900-000000000000}">
          <x14:formula1>
            <xm:f>C50</xm:f>
          </x14:formula1>
          <x14:formula2>
            <xm:f>VLOOKUP(VLOOKUP(Main!$N$22,Coefficients!$E$2:$H$28,4,FALSE),B50:C93,2,FALSE)</xm:f>
          </x14:formula2>
          <xm:sqref>B39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AJ84"/>
  <sheetViews>
    <sheetView showGridLines="0" zoomScale="80" zoomScaleNormal="80" workbookViewId="0">
      <selection activeCell="A24" sqref="A24"/>
    </sheetView>
  </sheetViews>
  <sheetFormatPr defaultColWidth="0" defaultRowHeight="13.2" zeroHeight="1" x14ac:dyDescent="0.25"/>
  <cols>
    <col min="1" max="1" width="25.33203125" style="30" customWidth="1"/>
    <col min="2" max="2" width="25.109375" style="30" customWidth="1"/>
    <col min="3" max="3" width="12.5546875" style="30" customWidth="1"/>
    <col min="4" max="4" width="24.33203125" style="30" customWidth="1"/>
    <col min="5" max="5" width="30.5546875" style="30" customWidth="1"/>
    <col min="6" max="6" width="8.5546875" style="30" customWidth="1"/>
    <col min="7" max="7" width="18.109375" style="30" customWidth="1"/>
    <col min="8" max="8" width="9.109375" style="30" customWidth="1"/>
    <col min="9" max="9" width="36.88671875" style="30" customWidth="1"/>
    <col min="10" max="25" width="9.109375" style="30" customWidth="1"/>
    <col min="26" max="36" width="0" style="30" hidden="1" customWidth="1"/>
    <col min="37" max="16384" width="9.109375" style="30" hidden="1"/>
  </cols>
  <sheetData>
    <row r="1" spans="1:36" s="2" customFormat="1" x14ac:dyDescent="0.25">
      <c r="A1" s="760"/>
      <c r="B1" s="760"/>
      <c r="C1" s="760"/>
      <c r="D1" s="760"/>
      <c r="E1" s="760"/>
      <c r="F1" s="760"/>
      <c r="G1" s="760"/>
      <c r="H1" s="760"/>
      <c r="I1" s="760"/>
      <c r="J1" s="760"/>
      <c r="K1" s="760"/>
      <c r="L1" s="760"/>
      <c r="M1" s="760"/>
      <c r="N1" s="760"/>
      <c r="O1" s="760"/>
      <c r="P1" s="760"/>
      <c r="Q1" s="760"/>
      <c r="R1" s="760"/>
      <c r="S1" s="760"/>
      <c r="T1" s="760"/>
      <c r="U1" s="760"/>
      <c r="V1" s="1"/>
      <c r="W1" s="1"/>
      <c r="X1" s="1"/>
      <c r="Y1" s="1"/>
      <c r="Z1" s="1"/>
      <c r="AA1" s="1"/>
      <c r="AB1" s="1"/>
      <c r="AC1" s="1"/>
      <c r="AD1" s="1"/>
      <c r="AE1" s="1"/>
      <c r="AF1" s="1"/>
      <c r="AG1" s="1"/>
      <c r="AH1" s="1"/>
      <c r="AI1" s="1"/>
      <c r="AJ1" s="1"/>
    </row>
    <row r="2" spans="1:36" s="2" customFormat="1" x14ac:dyDescent="0.25">
      <c r="A2" s="760"/>
      <c r="B2" s="760"/>
      <c r="C2" s="760"/>
      <c r="D2" s="760"/>
      <c r="E2" s="760"/>
      <c r="F2" s="760"/>
      <c r="G2" s="760"/>
      <c r="H2" s="760"/>
      <c r="I2" s="760"/>
      <c r="J2" s="760"/>
      <c r="K2" s="760"/>
      <c r="L2" s="760"/>
      <c r="M2" s="760"/>
      <c r="N2" s="760"/>
      <c r="O2" s="760"/>
      <c r="P2" s="760"/>
      <c r="Q2" s="760"/>
      <c r="R2" s="760"/>
      <c r="S2" s="760"/>
      <c r="T2" s="760"/>
      <c r="U2" s="760"/>
      <c r="V2" s="1"/>
      <c r="W2" s="1"/>
      <c r="X2" s="1"/>
      <c r="Y2" s="1"/>
      <c r="Z2" s="1"/>
      <c r="AA2" s="1"/>
      <c r="AB2" s="1"/>
      <c r="AC2" s="1"/>
      <c r="AD2" s="1"/>
      <c r="AE2" s="1"/>
      <c r="AF2" s="1"/>
      <c r="AG2" s="1"/>
      <c r="AH2" s="1"/>
      <c r="AI2" s="1"/>
      <c r="AJ2" s="1"/>
    </row>
    <row r="3" spans="1:36" s="2" customFormat="1" x14ac:dyDescent="0.25">
      <c r="A3" s="760"/>
      <c r="B3" s="760"/>
      <c r="C3" s="760"/>
      <c r="D3" s="760"/>
      <c r="E3" s="760"/>
      <c r="F3" s="760"/>
      <c r="G3" s="760"/>
      <c r="H3" s="760"/>
      <c r="I3" s="760"/>
      <c r="J3" s="760"/>
      <c r="K3" s="760"/>
      <c r="L3" s="760"/>
      <c r="M3" s="760"/>
      <c r="N3" s="760"/>
      <c r="O3" s="760"/>
      <c r="P3" s="760"/>
      <c r="Q3" s="760"/>
      <c r="R3" s="760"/>
      <c r="S3" s="760"/>
      <c r="T3" s="760"/>
      <c r="U3" s="760"/>
      <c r="V3" s="1"/>
      <c r="W3" s="1"/>
      <c r="X3" s="1"/>
      <c r="Y3" s="1"/>
      <c r="Z3" s="1"/>
      <c r="AA3" s="1"/>
      <c r="AB3" s="1"/>
      <c r="AC3" s="1"/>
      <c r="AD3" s="1"/>
      <c r="AE3" s="1"/>
      <c r="AF3" s="1"/>
      <c r="AG3" s="1"/>
      <c r="AH3" s="1"/>
      <c r="AI3" s="1"/>
      <c r="AJ3" s="1"/>
    </row>
    <row r="4" spans="1:36" s="2" customFormat="1" ht="12.75" customHeight="1" x14ac:dyDescent="0.25">
      <c r="A4" s="761"/>
      <c r="B4" s="762"/>
      <c r="C4" s="762"/>
      <c r="D4" s="762"/>
      <c r="E4" s="762"/>
      <c r="F4" s="762"/>
      <c r="G4" s="762"/>
      <c r="H4" s="762"/>
      <c r="I4" s="762"/>
      <c r="J4" s="762"/>
      <c r="K4" s="762"/>
      <c r="L4" s="762"/>
      <c r="M4" s="762"/>
      <c r="N4" s="762"/>
      <c r="O4" s="762"/>
      <c r="P4" s="762"/>
      <c r="Q4" s="762"/>
      <c r="R4" s="762"/>
      <c r="S4" s="762"/>
      <c r="T4" s="762"/>
      <c r="U4" s="762"/>
      <c r="V4" s="762"/>
      <c r="W4" s="762"/>
      <c r="X4" s="762"/>
      <c r="Y4" s="762"/>
      <c r="Z4" s="1"/>
      <c r="AA4" s="1"/>
      <c r="AB4" s="1"/>
      <c r="AC4" s="1"/>
      <c r="AD4" s="1"/>
      <c r="AE4" s="1"/>
      <c r="AF4" s="1"/>
      <c r="AG4" s="1"/>
      <c r="AH4" s="1"/>
      <c r="AI4" s="1"/>
      <c r="AJ4" s="1"/>
    </row>
    <row r="5" spans="1:36" ht="15" x14ac:dyDescent="0.25">
      <c r="A5" s="460" t="s">
        <v>71</v>
      </c>
      <c r="B5" s="12"/>
      <c r="C5" s="12"/>
    </row>
    <row r="6" spans="1:36" x14ac:dyDescent="0.25">
      <c r="F6" s="41"/>
    </row>
    <row r="7" spans="1:36" s="256" customFormat="1" x14ac:dyDescent="0.25">
      <c r="F7" s="168"/>
    </row>
    <row r="8" spans="1:36" s="256" customFormat="1" x14ac:dyDescent="0.25">
      <c r="F8" s="168"/>
    </row>
    <row r="9" spans="1:36" s="256" customFormat="1" x14ac:dyDescent="0.25">
      <c r="F9" s="168"/>
    </row>
    <row r="10" spans="1:36" s="256" customFormat="1" x14ac:dyDescent="0.25">
      <c r="F10" s="168"/>
    </row>
    <row r="11" spans="1:36" s="256" customFormat="1" x14ac:dyDescent="0.25">
      <c r="F11" s="168"/>
    </row>
    <row r="12" spans="1:36" s="256" customFormat="1" x14ac:dyDescent="0.25">
      <c r="F12" s="168"/>
    </row>
    <row r="13" spans="1:36" s="256" customFormat="1" x14ac:dyDescent="0.25">
      <c r="F13" s="168"/>
    </row>
    <row r="14" spans="1:36" s="256" customFormat="1" x14ac:dyDescent="0.25">
      <c r="F14" s="168"/>
    </row>
    <row r="15" spans="1:36" s="256" customFormat="1" x14ac:dyDescent="0.25">
      <c r="F15" s="168"/>
    </row>
    <row r="16" spans="1:36" s="169" customFormat="1" x14ac:dyDescent="0.25">
      <c r="A16" s="191"/>
      <c r="F16" s="192"/>
    </row>
    <row r="17" spans="1:12" s="257" customFormat="1" x14ac:dyDescent="0.25">
      <c r="A17" s="285"/>
      <c r="F17" s="192"/>
    </row>
    <row r="18" spans="1:12" s="257" customFormat="1" x14ac:dyDescent="0.25">
      <c r="A18" s="285"/>
      <c r="F18" s="192"/>
    </row>
    <row r="19" spans="1:12" s="257" customFormat="1" x14ac:dyDescent="0.25">
      <c r="A19" s="285"/>
      <c r="F19" s="192"/>
    </row>
    <row r="20" spans="1:12" s="169" customFormat="1" x14ac:dyDescent="0.25">
      <c r="A20" s="157"/>
      <c r="B20" s="157"/>
      <c r="C20" s="157"/>
      <c r="D20" s="172"/>
    </row>
    <row r="21" spans="1:12" s="169" customFormat="1" x14ac:dyDescent="0.25">
      <c r="A21" s="157"/>
      <c r="B21" s="157"/>
      <c r="C21" s="157"/>
      <c r="D21" s="172"/>
    </row>
    <row r="22" spans="1:12" x14ac:dyDescent="0.25"/>
    <row r="23" spans="1:12" x14ac:dyDescent="0.25"/>
    <row r="24" spans="1:12" x14ac:dyDescent="0.25"/>
    <row r="25" spans="1:12" ht="15.6" x14ac:dyDescent="0.3">
      <c r="A25" s="605" t="s">
        <v>252</v>
      </c>
      <c r="B25" s="283" t="str">
        <f>Main!$N$22</f>
        <v>TMP6131DECR</v>
      </c>
      <c r="C25" s="528"/>
      <c r="D25" s="483"/>
      <c r="E25" s="483"/>
      <c r="F25" s="483"/>
      <c r="G25" s="483"/>
      <c r="H25" s="483"/>
      <c r="I25" s="483"/>
      <c r="J25" s="483"/>
      <c r="K25" s="483"/>
      <c r="L25" s="483"/>
    </row>
    <row r="26" spans="1:12" ht="15.6" x14ac:dyDescent="0.3">
      <c r="A26" s="538" t="s">
        <v>442</v>
      </c>
      <c r="B26" s="361">
        <f>Main!$N$25</f>
        <v>140</v>
      </c>
      <c r="C26" s="273" t="s">
        <v>441</v>
      </c>
      <c r="D26" s="528"/>
      <c r="E26" s="483"/>
      <c r="F26" s="483"/>
      <c r="G26" s="483"/>
      <c r="H26" s="483"/>
      <c r="I26" s="483"/>
      <c r="J26" s="483"/>
      <c r="K26" s="483"/>
      <c r="L26" s="483"/>
    </row>
    <row r="27" spans="1:12" ht="15.6" x14ac:dyDescent="0.3">
      <c r="A27" s="538" t="s">
        <v>42</v>
      </c>
      <c r="B27" s="312">
        <f>Main!$N$28</f>
        <v>12</v>
      </c>
      <c r="C27" s="273" t="s">
        <v>16</v>
      </c>
      <c r="D27" s="483"/>
      <c r="E27" s="528"/>
      <c r="F27" s="483"/>
      <c r="G27" s="483"/>
      <c r="H27" s="483"/>
      <c r="I27" s="483"/>
      <c r="J27" s="483"/>
      <c r="K27" s="483"/>
      <c r="L27" s="483"/>
    </row>
    <row r="28" spans="1:12" s="256" customFormat="1" ht="15.6" x14ac:dyDescent="0.3">
      <c r="A28" s="538" t="s">
        <v>265</v>
      </c>
      <c r="B28" s="355">
        <f>Main!$N$31</f>
        <v>3</v>
      </c>
      <c r="C28" s="273" t="s">
        <v>2</v>
      </c>
      <c r="D28" s="483"/>
      <c r="E28" s="528"/>
      <c r="F28" s="483"/>
      <c r="G28" s="483"/>
      <c r="H28" s="483"/>
      <c r="I28" s="483"/>
      <c r="J28" s="483"/>
      <c r="K28" s="483"/>
      <c r="L28" s="483"/>
    </row>
    <row r="29" spans="1:12" s="256" customFormat="1" ht="15.6" x14ac:dyDescent="0.3">
      <c r="A29" s="538" t="s">
        <v>459</v>
      </c>
      <c r="B29" s="312">
        <f>2^B27</f>
        <v>4096</v>
      </c>
      <c r="C29" s="273" t="s">
        <v>16</v>
      </c>
      <c r="D29" s="483"/>
      <c r="E29" s="528"/>
      <c r="F29" s="483"/>
      <c r="G29" s="483"/>
      <c r="H29" s="483"/>
      <c r="I29" s="483"/>
      <c r="J29" s="483"/>
      <c r="K29" s="483"/>
      <c r="L29" s="483"/>
    </row>
    <row r="30" spans="1:12" s="42" customFormat="1" ht="15" x14ac:dyDescent="0.25">
      <c r="A30" s="667"/>
      <c r="B30" s="528"/>
      <c r="C30" s="528"/>
      <c r="D30" s="528"/>
      <c r="E30" s="528"/>
      <c r="F30" s="528"/>
      <c r="G30" s="528"/>
      <c r="H30" s="528"/>
      <c r="I30" s="528"/>
      <c r="J30" s="528"/>
      <c r="K30" s="528"/>
      <c r="L30" s="528"/>
    </row>
    <row r="31" spans="1:12" ht="15" x14ac:dyDescent="0.25">
      <c r="A31" s="483"/>
      <c r="B31" s="528"/>
      <c r="C31" s="483"/>
      <c r="D31" s="483"/>
      <c r="E31" s="483"/>
      <c r="F31" s="483"/>
      <c r="G31" s="483"/>
      <c r="H31" s="483"/>
      <c r="I31" s="483"/>
      <c r="J31" s="483"/>
      <c r="K31" s="483"/>
      <c r="L31" s="483"/>
    </row>
    <row r="32" spans="1:12" ht="15.6" hidden="1" x14ac:dyDescent="0.3">
      <c r="A32" s="493"/>
      <c r="B32" s="668" t="str">
        <f>'4th Order Polynomial Tmp vs Res'!C76</f>
        <v>Coefficients</v>
      </c>
      <c r="C32" s="588"/>
      <c r="D32" s="493"/>
      <c r="E32" s="493"/>
      <c r="F32" s="493"/>
      <c r="G32" s="483"/>
      <c r="H32" s="483"/>
      <c r="I32" s="483"/>
      <c r="J32" s="483"/>
      <c r="K32" s="483"/>
      <c r="L32" s="483"/>
    </row>
    <row r="33" spans="1:12" ht="15" hidden="1" customHeight="1" x14ac:dyDescent="0.3">
      <c r="A33" s="512"/>
      <c r="B33" s="668">
        <f>'4th Order Polynomial Tmp vs Res'!C77</f>
        <v>8459.8118233719997</v>
      </c>
      <c r="C33" s="588" t="s">
        <v>77</v>
      </c>
      <c r="D33" s="493"/>
      <c r="E33" s="483"/>
      <c r="F33" s="483"/>
      <c r="G33" s="483"/>
      <c r="H33" s="483"/>
      <c r="I33" s="483"/>
      <c r="J33" s="483"/>
      <c r="K33" s="483"/>
      <c r="L33" s="483"/>
    </row>
    <row r="34" spans="1:12" ht="15.75" hidden="1" customHeight="1" x14ac:dyDescent="0.3">
      <c r="A34" s="506"/>
      <c r="B34" s="668">
        <f>'4th Order Polynomial Tmp vs Res'!C78</f>
        <v>55.179995344672008</v>
      </c>
      <c r="C34" s="588" t="s">
        <v>78</v>
      </c>
      <c r="D34" s="506"/>
      <c r="E34" s="507"/>
      <c r="F34" s="507"/>
      <c r="G34" s="483"/>
      <c r="H34" s="483"/>
      <c r="I34" s="483"/>
      <c r="J34" s="483"/>
      <c r="K34" s="483"/>
      <c r="L34" s="483"/>
    </row>
    <row r="35" spans="1:12" ht="15.6" hidden="1" x14ac:dyDescent="0.3">
      <c r="A35" s="506"/>
      <c r="B35" s="668">
        <f>'4th Order Polynomial Tmp vs Res'!C79</f>
        <v>0.15400034225120002</v>
      </c>
      <c r="C35" s="588" t="s">
        <v>79</v>
      </c>
      <c r="D35" s="510"/>
      <c r="E35" s="488"/>
      <c r="F35" s="511"/>
      <c r="G35" s="483"/>
      <c r="H35" s="483"/>
      <c r="I35" s="483"/>
      <c r="J35" s="483"/>
      <c r="K35" s="483"/>
      <c r="L35" s="483"/>
    </row>
    <row r="36" spans="1:12" ht="13.5" hidden="1" customHeight="1" x14ac:dyDescent="0.3">
      <c r="A36" s="506"/>
      <c r="B36" s="668">
        <f>'4th Order Polynomial Tmp vs Res'!C80</f>
        <v>-1.6272204360000004E-4</v>
      </c>
      <c r="C36" s="588" t="s">
        <v>80</v>
      </c>
      <c r="D36" s="514"/>
      <c r="E36" s="488"/>
      <c r="F36" s="511"/>
      <c r="G36" s="483"/>
      <c r="H36" s="483"/>
      <c r="I36" s="483"/>
      <c r="J36" s="483"/>
      <c r="K36" s="483"/>
      <c r="L36" s="483"/>
    </row>
    <row r="37" spans="1:12" ht="15" hidden="1" customHeight="1" x14ac:dyDescent="0.3">
      <c r="A37" s="506"/>
      <c r="B37" s="668">
        <f>'4th Order Polynomial Tmp vs Res'!C81</f>
        <v>1.802143387568E-6</v>
      </c>
      <c r="C37" s="588" t="s">
        <v>81</v>
      </c>
      <c r="D37" s="514"/>
      <c r="E37" s="488"/>
      <c r="F37" s="511"/>
      <c r="G37" s="483"/>
      <c r="H37" s="483"/>
      <c r="I37" s="483"/>
      <c r="J37" s="483"/>
      <c r="K37" s="483"/>
      <c r="L37" s="483"/>
    </row>
    <row r="38" spans="1:12" s="256" customFormat="1" ht="15" customHeight="1" x14ac:dyDescent="0.25">
      <c r="A38" s="506"/>
      <c r="B38" s="669"/>
      <c r="C38" s="493"/>
      <c r="D38" s="514"/>
      <c r="E38" s="488"/>
      <c r="F38" s="511"/>
      <c r="G38" s="483"/>
      <c r="H38" s="483"/>
      <c r="I38" s="483"/>
      <c r="J38" s="483"/>
      <c r="K38" s="483"/>
      <c r="L38" s="483"/>
    </row>
    <row r="39" spans="1:12" ht="16.2" thickBot="1" x14ac:dyDescent="0.35">
      <c r="A39" s="670" t="s">
        <v>144</v>
      </c>
      <c r="B39" s="493"/>
      <c r="C39" s="493"/>
      <c r="D39" s="493"/>
      <c r="E39" s="488"/>
      <c r="F39" s="511"/>
      <c r="G39" s="273" t="s">
        <v>146</v>
      </c>
      <c r="H39" s="483"/>
      <c r="I39" s="483"/>
      <c r="J39" s="483"/>
      <c r="K39" s="483"/>
      <c r="L39" s="483"/>
    </row>
    <row r="40" spans="1:12" ht="16.2" thickBot="1" x14ac:dyDescent="0.35">
      <c r="A40" s="671" t="s">
        <v>141</v>
      </c>
      <c r="B40" s="516">
        <v>125</v>
      </c>
      <c r="C40" s="672" t="s">
        <v>186</v>
      </c>
      <c r="D40" s="673" t="s">
        <v>172</v>
      </c>
      <c r="E40" s="674"/>
      <c r="F40" s="675" t="s">
        <v>174</v>
      </c>
      <c r="G40" s="676">
        <f>($B$26/1000000)*B43</f>
        <v>2.5040017114987303</v>
      </c>
      <c r="H40" s="677" t="s">
        <v>2</v>
      </c>
      <c r="I40" s="588" t="s">
        <v>460</v>
      </c>
      <c r="J40" s="483"/>
      <c r="K40" s="483"/>
      <c r="L40" s="483"/>
    </row>
    <row r="41" spans="1:12" ht="16.2" thickBot="1" x14ac:dyDescent="0.35">
      <c r="A41" s="673"/>
      <c r="B41" s="519">
        <f>(B40*1.8)+32</f>
        <v>257</v>
      </c>
      <c r="C41" s="673" t="s">
        <v>189</v>
      </c>
      <c r="D41" s="673"/>
      <c r="E41" s="674"/>
      <c r="F41" s="675" t="s">
        <v>42</v>
      </c>
      <c r="G41" s="522">
        <f>G40/($B$28/(2^$B$27))</f>
        <v>3418.7970034329333</v>
      </c>
      <c r="H41" s="677" t="s">
        <v>41</v>
      </c>
      <c r="I41" s="588" t="s">
        <v>143</v>
      </c>
      <c r="J41" s="483"/>
      <c r="K41" s="483"/>
      <c r="L41" s="483"/>
    </row>
    <row r="42" spans="1:12" ht="15" x14ac:dyDescent="0.25">
      <c r="A42" s="673"/>
      <c r="B42" s="533">
        <f>B40+273.15</f>
        <v>398.15</v>
      </c>
      <c r="C42" s="673" t="s">
        <v>190</v>
      </c>
      <c r="D42" s="673"/>
      <c r="E42" s="678"/>
      <c r="F42" s="488"/>
      <c r="G42" s="528"/>
      <c r="H42" s="483"/>
      <c r="I42" s="483"/>
      <c r="J42" s="483"/>
      <c r="K42" s="483"/>
      <c r="L42" s="483"/>
    </row>
    <row r="43" spans="1:12" ht="15" x14ac:dyDescent="0.25">
      <c r="A43" s="673" t="s">
        <v>4</v>
      </c>
      <c r="B43" s="565">
        <f>$B$33 + $B$34*$B$40 + $B$35*$B$40^2 + $B$36*$B$40^3 + $B$37*$B$40^4</f>
        <v>17885.726510705219</v>
      </c>
      <c r="C43" s="673" t="s">
        <v>1</v>
      </c>
      <c r="D43" s="673" t="s">
        <v>273</v>
      </c>
      <c r="E43" s="588"/>
      <c r="F43" s="493"/>
      <c r="G43" s="528"/>
      <c r="H43" s="483"/>
      <c r="I43" s="483"/>
      <c r="J43" s="483"/>
      <c r="K43" s="483"/>
      <c r="L43" s="483"/>
    </row>
    <row r="44" spans="1:12" ht="15" x14ac:dyDescent="0.25">
      <c r="A44" s="588" t="s">
        <v>265</v>
      </c>
      <c r="B44" s="679">
        <f>B28</f>
        <v>3</v>
      </c>
      <c r="C44" s="588" t="s">
        <v>36</v>
      </c>
      <c r="D44" s="588" t="s">
        <v>457</v>
      </c>
      <c r="E44" s="588"/>
      <c r="F44" s="483"/>
      <c r="G44" s="528"/>
      <c r="H44" s="483"/>
      <c r="I44" s="483"/>
      <c r="J44" s="493"/>
      <c r="K44" s="493"/>
      <c r="L44" s="483"/>
    </row>
    <row r="45" spans="1:12" ht="15" x14ac:dyDescent="0.25">
      <c r="A45" s="588" t="s">
        <v>442</v>
      </c>
      <c r="B45" s="680">
        <f>B26</f>
        <v>140</v>
      </c>
      <c r="C45" s="588" t="s">
        <v>441</v>
      </c>
      <c r="D45" s="588" t="s">
        <v>444</v>
      </c>
      <c r="E45" s="588"/>
      <c r="F45" s="483"/>
      <c r="G45" s="528"/>
      <c r="H45" s="483"/>
      <c r="I45" s="483"/>
      <c r="J45" s="493"/>
      <c r="K45" s="493"/>
      <c r="L45" s="483"/>
    </row>
    <row r="46" spans="1:12" ht="15" x14ac:dyDescent="0.25">
      <c r="A46" s="681" t="s">
        <v>38</v>
      </c>
      <c r="B46" s="565">
        <f>B27</f>
        <v>12</v>
      </c>
      <c r="C46" s="677" t="s">
        <v>16</v>
      </c>
      <c r="D46" s="588" t="s">
        <v>37</v>
      </c>
      <c r="E46" s="588"/>
      <c r="F46" s="483"/>
      <c r="G46" s="528"/>
      <c r="H46" s="483"/>
      <c r="I46" s="483"/>
      <c r="J46" s="483"/>
      <c r="K46" s="483"/>
      <c r="L46" s="483"/>
    </row>
    <row r="47" spans="1:12" ht="15" x14ac:dyDescent="0.25">
      <c r="A47" s="682"/>
      <c r="B47" s="488"/>
      <c r="C47" s="682"/>
      <c r="D47" s="682"/>
      <c r="E47" s="682"/>
      <c r="F47" s="483"/>
      <c r="G47" s="528"/>
      <c r="H47" s="483"/>
      <c r="I47" s="483"/>
      <c r="J47" s="483"/>
      <c r="K47" s="483"/>
      <c r="L47" s="483"/>
    </row>
    <row r="48" spans="1:12" ht="15" x14ac:dyDescent="0.25">
      <c r="A48" s="493"/>
      <c r="B48" s="483"/>
      <c r="C48" s="483"/>
      <c r="D48" s="483"/>
      <c r="E48" s="483"/>
      <c r="F48" s="483"/>
      <c r="G48" s="528"/>
      <c r="H48" s="483"/>
      <c r="I48" s="483"/>
      <c r="J48" s="483"/>
      <c r="K48" s="483"/>
      <c r="L48" s="483"/>
    </row>
    <row r="49" spans="1:12" ht="16.2" thickBot="1" x14ac:dyDescent="0.35">
      <c r="A49" s="683" t="s">
        <v>145</v>
      </c>
      <c r="B49" s="684"/>
      <c r="C49" s="664"/>
      <c r="D49" s="518"/>
      <c r="E49" s="664"/>
      <c r="F49" s="685"/>
      <c r="G49" s="280" t="s">
        <v>146</v>
      </c>
      <c r="H49" s="483"/>
      <c r="I49" s="483"/>
      <c r="J49" s="483"/>
      <c r="K49" s="483"/>
      <c r="L49" s="483"/>
    </row>
    <row r="50" spans="1:12" ht="16.2" thickBot="1" x14ac:dyDescent="0.35">
      <c r="A50" s="671" t="s">
        <v>142</v>
      </c>
      <c r="B50" s="516">
        <v>-40</v>
      </c>
      <c r="C50" s="672" t="s">
        <v>186</v>
      </c>
      <c r="D50" s="673" t="s">
        <v>173</v>
      </c>
      <c r="E50" s="674"/>
      <c r="F50" s="675" t="s">
        <v>174</v>
      </c>
      <c r="G50" s="676">
        <f>($B$26/1000000)*B53</f>
        <v>0.91196563570694589</v>
      </c>
      <c r="H50" s="677" t="s">
        <v>2</v>
      </c>
      <c r="I50" s="588" t="s">
        <v>460</v>
      </c>
      <c r="J50" s="483"/>
      <c r="K50" s="483"/>
      <c r="L50" s="483"/>
    </row>
    <row r="51" spans="1:12" ht="16.2" thickBot="1" x14ac:dyDescent="0.35">
      <c r="A51" s="673"/>
      <c r="B51" s="519">
        <f>(B50*1.8)+32</f>
        <v>-40</v>
      </c>
      <c r="C51" s="673" t="s">
        <v>189</v>
      </c>
      <c r="D51" s="673"/>
      <c r="E51" s="674"/>
      <c r="F51" s="675" t="s">
        <v>42</v>
      </c>
      <c r="G51" s="522">
        <f>G50/($B$28/(2^$B$27))</f>
        <v>1245.1370812852167</v>
      </c>
      <c r="H51" s="677" t="s">
        <v>41</v>
      </c>
      <c r="I51" s="588" t="s">
        <v>143</v>
      </c>
      <c r="J51" s="483"/>
      <c r="K51" s="483"/>
      <c r="L51" s="483"/>
    </row>
    <row r="52" spans="1:12" ht="15" x14ac:dyDescent="0.25">
      <c r="A52" s="673"/>
      <c r="B52" s="533">
        <f>B50+273.15</f>
        <v>233.14999999999998</v>
      </c>
      <c r="C52" s="588" t="s">
        <v>192</v>
      </c>
      <c r="D52" s="673"/>
      <c r="E52" s="678"/>
      <c r="F52" s="488"/>
      <c r="G52" s="483"/>
      <c r="H52" s="483"/>
      <c r="I52" s="483"/>
      <c r="J52" s="483"/>
      <c r="K52" s="483"/>
      <c r="L52" s="483"/>
    </row>
    <row r="53" spans="1:12" ht="15" x14ac:dyDescent="0.25">
      <c r="A53" s="673" t="s">
        <v>4</v>
      </c>
      <c r="B53" s="565">
        <f>$B$33 + $B$34*$B$50 + $B$35*$B$50^2 + $B$36*$B$50^3 + $B$37*$B$50^4</f>
        <v>6514.0402550496137</v>
      </c>
      <c r="C53" s="673" t="s">
        <v>1</v>
      </c>
      <c r="D53" s="673" t="s">
        <v>91</v>
      </c>
      <c r="E53" s="588"/>
      <c r="F53" s="493"/>
      <c r="G53" s="483"/>
      <c r="H53" s="483"/>
      <c r="I53" s="483"/>
      <c r="J53" s="483"/>
      <c r="K53" s="483"/>
      <c r="L53" s="483"/>
    </row>
    <row r="54" spans="1:12" ht="15" x14ac:dyDescent="0.25">
      <c r="A54" s="588" t="s">
        <v>265</v>
      </c>
      <c r="B54" s="679">
        <f>B28</f>
        <v>3</v>
      </c>
      <c r="C54" s="588" t="s">
        <v>36</v>
      </c>
      <c r="D54" s="588" t="s">
        <v>457</v>
      </c>
      <c r="E54" s="588"/>
      <c r="F54" s="483"/>
      <c r="G54" s="483"/>
      <c r="H54" s="483"/>
      <c r="I54" s="483"/>
      <c r="J54" s="493"/>
      <c r="K54" s="493"/>
      <c r="L54" s="483"/>
    </row>
    <row r="55" spans="1:12" ht="15" x14ac:dyDescent="0.25">
      <c r="A55" s="588" t="s">
        <v>442</v>
      </c>
      <c r="B55" s="680">
        <f>B26</f>
        <v>140</v>
      </c>
      <c r="C55" s="588" t="s">
        <v>441</v>
      </c>
      <c r="D55" s="588" t="s">
        <v>444</v>
      </c>
      <c r="E55" s="588"/>
      <c r="F55" s="483"/>
      <c r="G55" s="483"/>
      <c r="H55" s="483"/>
      <c r="I55" s="483"/>
      <c r="J55" s="493"/>
      <c r="K55" s="493"/>
      <c r="L55" s="483"/>
    </row>
    <row r="56" spans="1:12" ht="15" x14ac:dyDescent="0.25">
      <c r="A56" s="681" t="s">
        <v>38</v>
      </c>
      <c r="B56" s="565">
        <f>B27</f>
        <v>12</v>
      </c>
      <c r="C56" s="677" t="s">
        <v>16</v>
      </c>
      <c r="D56" s="588" t="s">
        <v>37</v>
      </c>
      <c r="E56" s="588"/>
      <c r="F56" s="483"/>
      <c r="G56" s="483"/>
      <c r="H56" s="483"/>
      <c r="I56" s="483"/>
      <c r="J56" s="483"/>
      <c r="K56" s="483"/>
      <c r="L56" s="483"/>
    </row>
    <row r="57" spans="1:12" ht="15" x14ac:dyDescent="0.25">
      <c r="A57" s="682"/>
      <c r="B57" s="488"/>
      <c r="C57" s="682"/>
      <c r="D57" s="682"/>
      <c r="E57" s="682"/>
      <c r="F57" s="483"/>
      <c r="G57" s="483"/>
      <c r="H57" s="483"/>
      <c r="I57" s="483"/>
      <c r="J57" s="483"/>
      <c r="K57" s="483"/>
      <c r="L57" s="483"/>
    </row>
    <row r="58" spans="1:12" ht="15" x14ac:dyDescent="0.25">
      <c r="A58" s="483"/>
      <c r="B58" s="483"/>
      <c r="C58" s="483"/>
      <c r="D58" s="483"/>
      <c r="E58" s="483"/>
      <c r="F58" s="483"/>
      <c r="G58" s="483"/>
      <c r="H58" s="483"/>
      <c r="I58" s="483"/>
      <c r="J58" s="483"/>
      <c r="K58" s="483"/>
      <c r="L58" s="483"/>
    </row>
    <row r="59" spans="1:12" ht="15.6" x14ac:dyDescent="0.3">
      <c r="A59" s="686"/>
      <c r="B59" s="687"/>
      <c r="C59" s="688"/>
      <c r="D59" s="687"/>
      <c r="E59" s="483"/>
      <c r="F59" s="483"/>
      <c r="G59" s="483"/>
      <c r="H59" s="483"/>
      <c r="I59" s="483"/>
      <c r="J59" s="483"/>
      <c r="K59" s="483"/>
      <c r="L59" s="483"/>
    </row>
    <row r="60" spans="1:12" x14ac:dyDescent="0.25">
      <c r="A60" s="63"/>
      <c r="B60" s="64"/>
      <c r="C60" s="65"/>
      <c r="D60" s="64"/>
      <c r="E60" s="256"/>
      <c r="F60" s="256"/>
      <c r="G60" s="256"/>
      <c r="H60" s="256"/>
      <c r="I60" s="256"/>
    </row>
    <row r="61" spans="1:12" x14ac:dyDescent="0.25">
      <c r="A61" s="63"/>
      <c r="B61" s="64"/>
      <c r="C61" s="256"/>
      <c r="D61" s="64"/>
      <c r="E61" s="256"/>
      <c r="F61" s="256"/>
      <c r="G61" s="256"/>
      <c r="H61" s="256"/>
      <c r="I61" s="256"/>
    </row>
    <row r="62" spans="1:12" x14ac:dyDescent="0.25">
      <c r="A62" s="63"/>
      <c r="B62" s="64"/>
      <c r="C62" s="65"/>
      <c r="D62" s="64"/>
    </row>
    <row r="63" spans="1:12" x14ac:dyDescent="0.25">
      <c r="C63" s="52"/>
    </row>
    <row r="64" spans="1:12"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sheetData>
  <sheetProtection algorithmName="SHA-512" hashValue="gCjmCTC48UfFJIQDx72Lzc8eUI8nKWgh148KDInCBKsDZGeDsJdsq8OrccAj6mhYXTDRKZ6f35SPcLqxnLUi9Q==" saltValue="4KRdIUR9xOx8zoOENh0PtQ==" spinCount="100000" sheet="1" objects="1" scenarios="1"/>
  <mergeCells count="2">
    <mergeCell ref="A1:U3"/>
    <mergeCell ref="A4:Y4"/>
  </mergeCells>
  <conditionalFormatting sqref="G40 G50">
    <cfRule type="cellIs" dxfId="0" priority="1" operator="greaterThan">
      <formula>$B$28</formula>
    </cfRule>
  </conditionalFormatting>
  <hyperlinks>
    <hyperlink ref="A5" location="Main!K47" display="Return to Menu" xr:uid="{00000000-0004-0000-0A00-000000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2">
        <x14:dataValidation type="decimal" allowBlank="1" showInputMessage="1" showErrorMessage="1" errorTitle="Low temperature" error="Enter a value between -40 and the maximum operating temperature of the device selected." promptTitle="Low temperature" prompt="Enter a value between -40 and the maximum operating temperature of the device selected." xr:uid="{00000000-0002-0000-0A00-000000000000}">
          <x14:formula1>
            <xm:f>-40</xm:f>
          </x14:formula1>
          <x14:formula2>
            <xm:f>VLOOKUP(Main!$N$22,Coefficients!$E$2:$H$28,4,FALSE)</xm:f>
          </x14:formula2>
          <xm:sqref>B50</xm:sqref>
        </x14:dataValidation>
        <x14:dataValidation type="decimal" allowBlank="1" showInputMessage="1" showErrorMessage="1" errorTitle="High temperature" error="Enter a value between -40 and the maximum operating temperature of the device selected." promptTitle="High temperature" prompt="Enter a value between -40 and the maximum operating temperature of the device selected." xr:uid="{00000000-0002-0000-0A00-000001000000}">
          <x14:formula1>
            <xm:f>-40</xm:f>
          </x14:formula1>
          <x14:formula2>
            <xm:f>VLOOKUP(Main!$N$22,Coefficients!$E$2:$H$28,4,FALSE)</xm:f>
          </x14:formula2>
          <xm:sqref>B40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AJ194"/>
  <sheetViews>
    <sheetView showGridLines="0" zoomScale="80" zoomScaleNormal="80" workbookViewId="0">
      <selection activeCell="E7" sqref="E7"/>
    </sheetView>
  </sheetViews>
  <sheetFormatPr defaultColWidth="0" defaultRowHeight="13.2" zeroHeight="1" x14ac:dyDescent="0.25"/>
  <cols>
    <col min="1" max="1" width="12.88671875" customWidth="1"/>
    <col min="2" max="2" width="15.44140625" customWidth="1"/>
    <col min="3" max="3" width="6" customWidth="1"/>
    <col min="4" max="4" width="15.6640625" customWidth="1"/>
    <col min="5" max="5" width="11.6640625" customWidth="1"/>
    <col min="6" max="6" width="12.88671875" customWidth="1"/>
    <col min="7" max="7" width="5.88671875" customWidth="1"/>
    <col min="8" max="8" width="12.88671875" customWidth="1"/>
    <col min="9" max="9" width="6.33203125" customWidth="1"/>
    <col min="10" max="10" width="12.88671875" customWidth="1"/>
    <col min="11" max="11" width="6" customWidth="1"/>
    <col min="12" max="12" width="12.88671875" customWidth="1"/>
    <col min="13" max="13" width="5.109375" customWidth="1"/>
    <col min="14" max="14" width="12.88671875" customWidth="1"/>
    <col min="15" max="15" width="5.109375" customWidth="1"/>
    <col min="16" max="16" width="12.88671875" customWidth="1"/>
    <col min="17" max="17" width="4.5546875" customWidth="1"/>
    <col min="18" max="18" width="12.88671875" customWidth="1"/>
    <col min="19" max="19" width="4.5546875" customWidth="1"/>
    <col min="20" max="20" width="12.88671875" customWidth="1"/>
    <col min="21" max="21" width="5.44140625" customWidth="1"/>
    <col min="22" max="22" width="12.88671875" customWidth="1"/>
    <col min="23" max="23" width="5.88671875" customWidth="1"/>
    <col min="24" max="24" width="12" customWidth="1"/>
    <col min="25" max="25" width="6.44140625" customWidth="1"/>
    <col min="26" max="26" width="5.44140625" hidden="1" customWidth="1"/>
    <col min="27" max="36" width="0" hidden="1" customWidth="1"/>
    <col min="37" max="16384" width="8.88671875" hidden="1"/>
  </cols>
  <sheetData>
    <row r="1" spans="1:36" s="2" customFormat="1" x14ac:dyDescent="0.25">
      <c r="A1" s="760"/>
      <c r="B1" s="760"/>
      <c r="C1" s="760"/>
      <c r="D1" s="760"/>
      <c r="E1" s="760"/>
      <c r="F1" s="760"/>
      <c r="G1" s="760"/>
      <c r="H1" s="760"/>
      <c r="I1" s="760"/>
      <c r="J1" s="760"/>
      <c r="K1" s="760"/>
      <c r="L1" s="760"/>
      <c r="M1" s="760"/>
      <c r="N1" s="760"/>
      <c r="O1" s="760"/>
      <c r="P1" s="760"/>
      <c r="Q1" s="760"/>
      <c r="R1" s="760"/>
      <c r="S1" s="760"/>
      <c r="T1" s="760"/>
      <c r="U1" s="760"/>
      <c r="V1" s="1"/>
      <c r="W1" s="1"/>
      <c r="X1" s="1"/>
      <c r="Y1" s="1"/>
      <c r="Z1" s="1"/>
      <c r="AA1" s="1"/>
      <c r="AB1" s="1"/>
      <c r="AC1" s="1"/>
      <c r="AD1" s="1"/>
      <c r="AE1" s="1"/>
      <c r="AF1" s="1"/>
      <c r="AG1" s="1"/>
      <c r="AH1" s="1"/>
      <c r="AI1" s="1"/>
      <c r="AJ1" s="1"/>
    </row>
    <row r="2" spans="1:36" s="2" customFormat="1" x14ac:dyDescent="0.25">
      <c r="A2" s="760"/>
      <c r="B2" s="760"/>
      <c r="C2" s="760"/>
      <c r="D2" s="760"/>
      <c r="E2" s="760"/>
      <c r="F2" s="760"/>
      <c r="G2" s="760"/>
      <c r="H2" s="760"/>
      <c r="I2" s="760"/>
      <c r="J2" s="760"/>
      <c r="K2" s="760"/>
      <c r="L2" s="760"/>
      <c r="M2" s="760"/>
      <c r="N2" s="760"/>
      <c r="O2" s="760"/>
      <c r="P2" s="760"/>
      <c r="Q2" s="760"/>
      <c r="R2" s="760"/>
      <c r="S2" s="760"/>
      <c r="T2" s="760"/>
      <c r="U2" s="760"/>
      <c r="V2" s="1"/>
      <c r="W2" s="1"/>
      <c r="X2" s="1"/>
      <c r="Y2" s="1"/>
      <c r="Z2" s="1"/>
      <c r="AA2" s="1"/>
      <c r="AB2" s="1"/>
      <c r="AC2" s="1"/>
      <c r="AD2" s="1"/>
      <c r="AE2" s="1"/>
      <c r="AF2" s="1"/>
      <c r="AG2" s="1"/>
      <c r="AH2" s="1"/>
      <c r="AI2" s="1"/>
      <c r="AJ2" s="1"/>
    </row>
    <row r="3" spans="1:36" s="2" customFormat="1" x14ac:dyDescent="0.25">
      <c r="A3" s="760"/>
      <c r="B3" s="760"/>
      <c r="C3" s="760"/>
      <c r="D3" s="760"/>
      <c r="E3" s="760"/>
      <c r="F3" s="760"/>
      <c r="G3" s="760"/>
      <c r="H3" s="760"/>
      <c r="I3" s="760"/>
      <c r="J3" s="760"/>
      <c r="K3" s="760"/>
      <c r="L3" s="760"/>
      <c r="M3" s="760"/>
      <c r="N3" s="760"/>
      <c r="O3" s="760"/>
      <c r="P3" s="760"/>
      <c r="Q3" s="760"/>
      <c r="R3" s="760"/>
      <c r="S3" s="760"/>
      <c r="T3" s="760"/>
      <c r="U3" s="760"/>
      <c r="V3" s="1"/>
      <c r="W3" s="1"/>
      <c r="X3" s="1"/>
      <c r="Y3" s="1"/>
      <c r="Z3" s="1"/>
      <c r="AA3" s="1"/>
      <c r="AB3" s="1"/>
      <c r="AC3" s="1"/>
      <c r="AD3" s="1"/>
      <c r="AE3" s="1"/>
      <c r="AF3" s="1"/>
      <c r="AG3" s="1"/>
      <c r="AH3" s="1"/>
      <c r="AI3" s="1"/>
      <c r="AJ3" s="1"/>
    </row>
    <row r="4" spans="1:36" s="2" customFormat="1" ht="12.75" customHeight="1" x14ac:dyDescent="0.25">
      <c r="A4" s="761"/>
      <c r="B4" s="762"/>
      <c r="C4" s="762"/>
      <c r="D4" s="762"/>
      <c r="E4" s="762"/>
      <c r="F4" s="762"/>
      <c r="G4" s="762"/>
      <c r="H4" s="762"/>
      <c r="I4" s="762"/>
      <c r="J4" s="762"/>
      <c r="K4" s="762"/>
      <c r="L4" s="762"/>
      <c r="M4" s="762"/>
      <c r="N4" s="762"/>
      <c r="O4" s="762"/>
      <c r="P4" s="762"/>
      <c r="Q4" s="762"/>
      <c r="R4" s="762"/>
      <c r="S4" s="762"/>
      <c r="T4" s="762"/>
      <c r="U4" s="762"/>
      <c r="V4" s="762"/>
      <c r="W4" s="762"/>
      <c r="X4" s="762"/>
      <c r="Y4" s="762"/>
      <c r="Z4" s="1"/>
      <c r="AA4" s="1"/>
      <c r="AB4" s="1"/>
      <c r="AC4" s="1"/>
      <c r="AD4" s="1"/>
      <c r="AE4" s="1"/>
      <c r="AF4" s="1"/>
      <c r="AG4" s="1"/>
      <c r="AH4" s="1"/>
      <c r="AI4" s="1"/>
      <c r="AJ4" s="1"/>
    </row>
    <row r="5" spans="1:36" s="6" customFormat="1" ht="15" x14ac:dyDescent="0.25">
      <c r="A5" s="773" t="s">
        <v>71</v>
      </c>
      <c r="B5" s="773"/>
    </row>
    <row r="6" spans="1:36" x14ac:dyDescent="0.25"/>
    <row r="7" spans="1:36" x14ac:dyDescent="0.25"/>
    <row r="8" spans="1:36" ht="15" x14ac:dyDescent="0.25">
      <c r="A8" s="463" t="s">
        <v>209</v>
      </c>
    </row>
    <row r="9" spans="1:36" x14ac:dyDescent="0.25"/>
    <row r="10" spans="1:36" x14ac:dyDescent="0.25"/>
    <row r="11" spans="1:36" x14ac:dyDescent="0.25"/>
    <row r="12" spans="1:36" x14ac:dyDescent="0.25"/>
    <row r="13" spans="1:36" x14ac:dyDescent="0.25"/>
    <row r="14" spans="1:36" x14ac:dyDescent="0.25"/>
    <row r="15" spans="1:36" x14ac:dyDescent="0.25"/>
    <row r="16" spans="1:3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spans="1:28" x14ac:dyDescent="0.25"/>
    <row r="34" spans="1:28" x14ac:dyDescent="0.25"/>
    <row r="35" spans="1:28" x14ac:dyDescent="0.25"/>
    <row r="36" spans="1:28" x14ac:dyDescent="0.25"/>
    <row r="37" spans="1:28" x14ac:dyDescent="0.25"/>
    <row r="38" spans="1:28" x14ac:dyDescent="0.25"/>
    <row r="39" spans="1:28" ht="15.6" x14ac:dyDescent="0.3">
      <c r="A39" s="329"/>
      <c r="B39" s="329"/>
      <c r="C39" s="329"/>
      <c r="D39" s="329"/>
      <c r="E39" s="329"/>
      <c r="F39" s="329"/>
      <c r="G39" s="329"/>
      <c r="H39" s="329"/>
      <c r="I39" s="329"/>
      <c r="J39" s="329"/>
      <c r="K39" s="329"/>
      <c r="L39" s="329"/>
      <c r="M39" s="329"/>
      <c r="N39" s="329"/>
      <c r="O39" s="329"/>
      <c r="P39" s="329"/>
      <c r="Q39" s="329"/>
      <c r="R39" s="329"/>
      <c r="S39" s="329"/>
      <c r="T39" s="329"/>
      <c r="U39" s="329"/>
      <c r="V39" s="329"/>
      <c r="W39" s="329"/>
      <c r="X39" s="329"/>
      <c r="Y39" s="329"/>
      <c r="Z39" s="329"/>
    </row>
    <row r="40" spans="1:28" ht="15.6" x14ac:dyDescent="0.3">
      <c r="A40" s="331"/>
      <c r="B40" s="331"/>
      <c r="C40" s="331"/>
      <c r="D40" s="331"/>
      <c r="E40" s="331"/>
      <c r="F40" s="331"/>
      <c r="G40" s="331"/>
      <c r="H40" s="331"/>
      <c r="I40" s="331"/>
      <c r="J40" s="331"/>
      <c r="K40" s="331"/>
      <c r="L40" s="331"/>
      <c r="M40" s="331"/>
      <c r="N40" s="331"/>
      <c r="O40" s="331"/>
      <c r="P40" s="331"/>
      <c r="Q40" s="331"/>
      <c r="R40" s="331"/>
      <c r="S40" s="331"/>
      <c r="T40" s="331"/>
      <c r="U40" s="331"/>
      <c r="V40" s="331"/>
      <c r="W40" s="331"/>
      <c r="X40" s="331"/>
      <c r="Y40" s="331"/>
      <c r="Z40" s="331"/>
      <c r="AA40" s="127"/>
      <c r="AB40" s="127"/>
    </row>
    <row r="41" spans="1:28" ht="15.6" x14ac:dyDescent="0.3">
      <c r="A41" s="331"/>
      <c r="B41" s="331"/>
      <c r="C41" s="331"/>
      <c r="D41" s="331"/>
      <c r="E41" s="331"/>
      <c r="F41" s="331"/>
      <c r="G41" s="331"/>
      <c r="H41" s="331"/>
      <c r="I41" s="331"/>
      <c r="J41" s="331"/>
      <c r="K41" s="331"/>
      <c r="L41" s="331"/>
      <c r="M41" s="331"/>
      <c r="N41" s="331"/>
      <c r="O41" s="331"/>
      <c r="P41" s="331"/>
      <c r="Q41" s="331"/>
      <c r="R41" s="331"/>
      <c r="S41" s="331"/>
      <c r="T41" s="331"/>
      <c r="U41" s="331"/>
      <c r="V41" s="331"/>
      <c r="W41" s="331"/>
      <c r="X41" s="331"/>
      <c r="Y41" s="331"/>
      <c r="Z41" s="331"/>
      <c r="AA41" s="127"/>
      <c r="AB41" s="127"/>
    </row>
    <row r="42" spans="1:28" ht="15.6" x14ac:dyDescent="0.3">
      <c r="A42" s="331"/>
      <c r="B42" s="331"/>
      <c r="C42" s="331"/>
      <c r="D42" s="331"/>
      <c r="E42" s="331"/>
      <c r="F42" s="331"/>
      <c r="G42" s="331"/>
      <c r="H42" s="331"/>
      <c r="I42" s="331"/>
      <c r="J42" s="331"/>
      <c r="K42" s="331"/>
      <c r="L42" s="331"/>
      <c r="M42" s="331"/>
      <c r="N42" s="331"/>
      <c r="O42" s="331"/>
      <c r="P42" s="331"/>
      <c r="Q42" s="331"/>
      <c r="R42" s="331"/>
      <c r="S42" s="331"/>
      <c r="T42" s="331"/>
      <c r="U42" s="331"/>
      <c r="V42" s="331"/>
      <c r="W42" s="331"/>
      <c r="X42" s="331"/>
      <c r="Y42" s="331"/>
      <c r="Z42" s="331"/>
      <c r="AA42" s="127"/>
      <c r="AB42" s="127"/>
    </row>
    <row r="43" spans="1:28" ht="15.6" x14ac:dyDescent="0.3">
      <c r="A43" s="331"/>
      <c r="B43" s="332"/>
      <c r="C43" s="332"/>
      <c r="D43" s="333"/>
      <c r="E43" s="333"/>
      <c r="F43" s="334"/>
      <c r="G43" s="331"/>
      <c r="H43" s="331"/>
      <c r="I43" s="331"/>
      <c r="J43" s="331"/>
      <c r="K43" s="331"/>
      <c r="L43" s="331"/>
      <c r="M43" s="331"/>
      <c r="N43" s="331"/>
      <c r="O43" s="331"/>
      <c r="P43" s="331"/>
      <c r="Q43" s="331"/>
      <c r="R43" s="331"/>
      <c r="S43" s="331"/>
      <c r="T43" s="331"/>
      <c r="U43" s="331"/>
      <c r="V43" s="331"/>
      <c r="W43" s="331"/>
      <c r="X43" s="331"/>
      <c r="Y43" s="331"/>
      <c r="Z43" s="331"/>
      <c r="AA43" s="127"/>
      <c r="AB43" s="127"/>
    </row>
    <row r="44" spans="1:28" ht="15.6" x14ac:dyDescent="0.3">
      <c r="A44" s="331"/>
      <c r="B44" s="332"/>
      <c r="C44" s="332"/>
      <c r="D44" s="332"/>
      <c r="E44" s="335"/>
      <c r="F44" s="334"/>
      <c r="G44" s="328"/>
      <c r="H44" s="330"/>
      <c r="I44" s="328"/>
      <c r="J44" s="328"/>
      <c r="K44" s="328"/>
      <c r="L44" s="331"/>
      <c r="M44" s="331"/>
      <c r="N44" s="331"/>
      <c r="O44" s="331"/>
      <c r="P44" s="331"/>
      <c r="Q44" s="331"/>
      <c r="R44" s="331"/>
      <c r="S44" s="331"/>
      <c r="T44" s="336"/>
      <c r="U44" s="336"/>
      <c r="V44" s="336"/>
      <c r="W44" s="331"/>
      <c r="X44" s="331"/>
      <c r="Y44" s="331"/>
      <c r="Z44" s="331"/>
      <c r="AA44" s="127"/>
      <c r="AB44" s="127"/>
    </row>
    <row r="45" spans="1:28" ht="15.6" x14ac:dyDescent="0.3">
      <c r="A45" s="331"/>
      <c r="B45" s="332"/>
      <c r="C45" s="332"/>
      <c r="D45" s="332"/>
      <c r="E45" s="335"/>
      <c r="F45" s="328"/>
      <c r="G45" s="328"/>
      <c r="H45" s="330"/>
      <c r="I45" s="328"/>
      <c r="J45" s="328"/>
      <c r="K45" s="328"/>
      <c r="L45" s="331"/>
      <c r="M45" s="331"/>
      <c r="N45" s="331"/>
      <c r="O45" s="331"/>
      <c r="P45" s="331"/>
      <c r="Q45" s="331"/>
      <c r="R45" s="331"/>
      <c r="S45" s="331"/>
      <c r="T45" s="336"/>
      <c r="U45" s="336"/>
      <c r="V45" s="336"/>
      <c r="W45" s="331"/>
      <c r="X45" s="331"/>
      <c r="Y45" s="331"/>
      <c r="Z45" s="331"/>
      <c r="AA45" s="127"/>
      <c r="AB45" s="127"/>
    </row>
    <row r="46" spans="1:28" ht="15.6" x14ac:dyDescent="0.3">
      <c r="A46" s="331"/>
      <c r="B46" s="332"/>
      <c r="C46" s="332"/>
      <c r="D46" s="332"/>
      <c r="E46" s="335"/>
      <c r="F46" s="328"/>
      <c r="G46" s="328"/>
      <c r="H46" s="328"/>
      <c r="I46" s="328"/>
      <c r="J46" s="328"/>
      <c r="K46" s="328"/>
      <c r="L46" s="331"/>
      <c r="M46" s="331"/>
      <c r="N46" s="331"/>
      <c r="O46" s="331"/>
      <c r="P46" s="331"/>
      <c r="Q46" s="331"/>
      <c r="R46" s="331"/>
      <c r="S46" s="331"/>
      <c r="T46" s="336"/>
      <c r="U46" s="336"/>
      <c r="V46" s="336"/>
      <c r="W46" s="331"/>
      <c r="X46" s="331"/>
      <c r="Y46" s="331"/>
      <c r="Z46" s="331"/>
      <c r="AA46" s="127"/>
      <c r="AB46" s="127"/>
    </row>
    <row r="47" spans="1:28" ht="15.6" x14ac:dyDescent="0.3">
      <c r="A47" s="331"/>
      <c r="B47" s="331"/>
      <c r="C47" s="331"/>
      <c r="D47" s="331"/>
      <c r="E47" s="331"/>
      <c r="F47" s="331"/>
      <c r="G47" s="331"/>
      <c r="H47" s="331"/>
      <c r="I47" s="331"/>
      <c r="J47" s="331"/>
      <c r="K47" s="331"/>
      <c r="L47" s="331"/>
      <c r="M47" s="331"/>
      <c r="N47" s="331"/>
      <c r="O47" s="331"/>
      <c r="P47" s="331"/>
      <c r="Q47" s="331"/>
      <c r="R47" s="331"/>
      <c r="S47" s="331"/>
      <c r="T47" s="336"/>
      <c r="U47" s="336"/>
      <c r="V47" s="336"/>
      <c r="W47" s="331"/>
      <c r="X47" s="331"/>
      <c r="Y47" s="331"/>
      <c r="Z47" s="331"/>
      <c r="AA47" s="127"/>
      <c r="AB47" s="127"/>
    </row>
    <row r="48" spans="1:28" ht="15.6" x14ac:dyDescent="0.3">
      <c r="A48" s="337"/>
      <c r="B48" s="331"/>
      <c r="C48" s="331"/>
      <c r="D48" s="331"/>
      <c r="E48" s="331"/>
      <c r="F48" s="331"/>
      <c r="G48" s="331"/>
      <c r="H48" s="331"/>
      <c r="I48" s="331"/>
      <c r="J48" s="338"/>
      <c r="K48" s="331"/>
      <c r="L48" s="338"/>
      <c r="M48" s="338"/>
      <c r="N48" s="338"/>
      <c r="O48" s="338"/>
      <c r="P48" s="338"/>
      <c r="Q48" s="331"/>
      <c r="R48" s="338"/>
      <c r="S48" s="331"/>
      <c r="T48" s="338"/>
      <c r="U48" s="331"/>
      <c r="V48" s="331"/>
      <c r="W48" s="331"/>
      <c r="X48" s="331"/>
      <c r="Y48" s="331"/>
      <c r="Z48" s="331"/>
      <c r="AA48" s="337"/>
      <c r="AB48" s="337"/>
    </row>
    <row r="49" spans="1:28" ht="15.6" x14ac:dyDescent="0.3">
      <c r="A49" s="331"/>
      <c r="B49" s="337"/>
      <c r="C49" s="337"/>
      <c r="D49" s="337"/>
      <c r="E49" s="337"/>
      <c r="F49" s="337"/>
      <c r="G49" s="337"/>
      <c r="H49" s="337"/>
      <c r="I49" s="337"/>
      <c r="J49" s="337"/>
      <c r="K49" s="337"/>
      <c r="L49" s="337"/>
      <c r="M49" s="337"/>
      <c r="N49" s="337"/>
      <c r="O49" s="337"/>
      <c r="P49" s="337"/>
      <c r="Q49" s="337"/>
      <c r="R49" s="337"/>
      <c r="S49" s="337"/>
      <c r="T49" s="337"/>
      <c r="U49" s="337"/>
      <c r="V49" s="339"/>
      <c r="W49" s="337"/>
      <c r="X49" s="331"/>
      <c r="Y49" s="331"/>
      <c r="Z49" s="331"/>
      <c r="AA49" s="127"/>
      <c r="AB49" s="127"/>
    </row>
    <row r="50" spans="1:28" ht="15.6" x14ac:dyDescent="0.3">
      <c r="A50" s="331"/>
      <c r="B50" s="331"/>
      <c r="C50" s="331"/>
      <c r="D50" s="331"/>
      <c r="E50" s="331"/>
      <c r="F50" s="331"/>
      <c r="G50" s="331"/>
      <c r="H50" s="331"/>
      <c r="I50" s="331"/>
      <c r="J50" s="331"/>
      <c r="K50" s="331"/>
      <c r="L50" s="331"/>
      <c r="M50" s="331"/>
      <c r="N50" s="340"/>
      <c r="O50" s="331"/>
      <c r="P50" s="340"/>
      <c r="Q50" s="331"/>
      <c r="R50" s="340"/>
      <c r="S50" s="331"/>
      <c r="T50" s="340"/>
      <c r="U50" s="331"/>
      <c r="V50" s="331"/>
      <c r="W50" s="331"/>
      <c r="X50" s="331"/>
      <c r="Y50" s="331"/>
      <c r="Z50" s="331"/>
      <c r="AA50" s="127"/>
      <c r="AB50" s="127"/>
    </row>
    <row r="51" spans="1:28" ht="15.6" x14ac:dyDescent="0.3">
      <c r="A51" s="331"/>
      <c r="B51" s="331"/>
      <c r="C51" s="331"/>
      <c r="D51" s="331"/>
      <c r="E51" s="331"/>
      <c r="F51" s="331"/>
      <c r="G51" s="331"/>
      <c r="H51" s="331"/>
      <c r="I51" s="331"/>
      <c r="J51" s="331"/>
      <c r="K51" s="331"/>
      <c r="L51" s="340"/>
      <c r="M51" s="331"/>
      <c r="N51" s="340"/>
      <c r="O51" s="331"/>
      <c r="P51" s="340"/>
      <c r="Q51" s="331"/>
      <c r="R51" s="340"/>
      <c r="S51" s="331"/>
      <c r="T51" s="340"/>
      <c r="U51" s="331"/>
      <c r="V51" s="331"/>
      <c r="W51" s="331"/>
      <c r="X51" s="331"/>
      <c r="Y51" s="331"/>
      <c r="Z51" s="331"/>
      <c r="AA51" s="127"/>
      <c r="AB51" s="127"/>
    </row>
    <row r="52" spans="1:28" ht="15.6" x14ac:dyDescent="0.3">
      <c r="A52" s="331"/>
      <c r="B52" s="331"/>
      <c r="C52" s="331"/>
      <c r="D52" s="331"/>
      <c r="E52" s="331"/>
      <c r="F52" s="331"/>
      <c r="G52" s="331"/>
      <c r="H52" s="331"/>
      <c r="I52" s="331"/>
      <c r="J52" s="331"/>
      <c r="K52" s="331"/>
      <c r="L52" s="340"/>
      <c r="M52" s="331"/>
      <c r="N52" s="340"/>
      <c r="O52" s="331"/>
      <c r="P52" s="340"/>
      <c r="Q52" s="331"/>
      <c r="R52" s="340"/>
      <c r="S52" s="331"/>
      <c r="T52" s="340"/>
      <c r="U52" s="331"/>
      <c r="V52" s="331"/>
      <c r="W52" s="331"/>
      <c r="X52" s="331"/>
      <c r="Y52" s="331"/>
      <c r="Z52" s="331"/>
      <c r="AA52" s="127"/>
      <c r="AB52" s="127"/>
    </row>
    <row r="53" spans="1:28" ht="15.6" x14ac:dyDescent="0.3">
      <c r="A53" s="331"/>
      <c r="B53" s="331"/>
      <c r="C53" s="331"/>
      <c r="D53" s="331"/>
      <c r="E53" s="331"/>
      <c r="F53" s="331"/>
      <c r="G53" s="331"/>
      <c r="H53" s="331"/>
      <c r="I53" s="331"/>
      <c r="J53" s="331"/>
      <c r="K53" s="330"/>
      <c r="L53" s="331"/>
      <c r="M53" s="331"/>
      <c r="N53" s="341"/>
      <c r="O53" s="330"/>
      <c r="P53" s="331"/>
      <c r="Q53" s="340"/>
      <c r="R53" s="331"/>
      <c r="S53" s="330"/>
      <c r="T53" s="331"/>
      <c r="U53" s="330"/>
      <c r="V53" s="330"/>
      <c r="W53" s="330"/>
      <c r="X53" s="331"/>
      <c r="Y53" s="331"/>
      <c r="Z53" s="331"/>
      <c r="AA53" s="127"/>
      <c r="AB53" s="127"/>
    </row>
    <row r="54" spans="1:28" ht="15.6" x14ac:dyDescent="0.3">
      <c r="A54" s="331"/>
      <c r="B54" s="331"/>
      <c r="C54" s="331"/>
      <c r="D54" s="331"/>
      <c r="E54" s="331"/>
      <c r="F54" s="342"/>
      <c r="G54" s="342"/>
      <c r="H54" s="343"/>
      <c r="I54" s="342"/>
      <c r="J54" s="331"/>
      <c r="K54" s="331"/>
      <c r="L54" s="331"/>
      <c r="M54" s="330"/>
      <c r="N54" s="341"/>
      <c r="O54" s="330"/>
      <c r="P54" s="315"/>
      <c r="Q54" s="316"/>
      <c r="R54" s="331"/>
      <c r="S54" s="331"/>
      <c r="T54" s="331"/>
      <c r="U54" s="330"/>
      <c r="V54" s="330"/>
      <c r="W54" s="331"/>
      <c r="X54" s="331"/>
      <c r="Y54" s="331"/>
      <c r="Z54" s="331"/>
      <c r="AA54" s="127"/>
      <c r="AB54" s="127"/>
    </row>
    <row r="55" spans="1:28" ht="15.6" x14ac:dyDescent="0.3">
      <c r="A55" s="331"/>
      <c r="B55" s="331"/>
      <c r="C55" s="331"/>
      <c r="D55" s="331"/>
      <c r="E55" s="331"/>
      <c r="F55" s="315"/>
      <c r="G55" s="315"/>
      <c r="H55" s="315"/>
      <c r="I55" s="315"/>
      <c r="J55" s="315"/>
      <c r="K55" s="315"/>
      <c r="L55" s="316"/>
      <c r="M55" s="315"/>
      <c r="N55" s="315"/>
      <c r="O55" s="315"/>
      <c r="P55" s="315"/>
      <c r="Q55" s="316"/>
      <c r="R55" s="316"/>
      <c r="S55" s="315"/>
      <c r="T55" s="331"/>
      <c r="U55" s="331"/>
      <c r="V55" s="331"/>
      <c r="W55" s="331"/>
      <c r="X55" s="331"/>
      <c r="Y55" s="331"/>
      <c r="Z55" s="331"/>
      <c r="AA55" s="127"/>
      <c r="AB55" s="127"/>
    </row>
    <row r="56" spans="1:28" ht="15.6" x14ac:dyDescent="0.3">
      <c r="A56" s="331"/>
      <c r="B56" s="331"/>
      <c r="C56" s="331"/>
      <c r="D56" s="331"/>
      <c r="E56" s="331"/>
      <c r="F56" s="315"/>
      <c r="G56" s="315"/>
      <c r="H56" s="315"/>
      <c r="I56" s="315"/>
      <c r="J56" s="315"/>
      <c r="K56" s="315"/>
      <c r="L56" s="315"/>
      <c r="M56" s="315"/>
      <c r="N56" s="315"/>
      <c r="O56" s="315"/>
      <c r="P56" s="315"/>
      <c r="Q56" s="315"/>
      <c r="R56" s="315"/>
      <c r="S56" s="315"/>
      <c r="T56" s="331"/>
      <c r="U56" s="331"/>
      <c r="V56" s="331"/>
      <c r="W56" s="331"/>
      <c r="X56" s="331"/>
      <c r="Y56" s="331"/>
      <c r="Z56" s="331"/>
      <c r="AA56" s="127"/>
      <c r="AB56" s="127"/>
    </row>
    <row r="57" spans="1:28" ht="15.6" x14ac:dyDescent="0.3">
      <c r="A57" s="331"/>
      <c r="B57" s="331"/>
      <c r="C57" s="331"/>
      <c r="D57" s="331"/>
      <c r="E57" s="331"/>
      <c r="F57" s="315"/>
      <c r="G57" s="315"/>
      <c r="H57" s="315"/>
      <c r="I57" s="315"/>
      <c r="J57" s="315"/>
      <c r="K57" s="315"/>
      <c r="L57" s="315"/>
      <c r="M57" s="315"/>
      <c r="N57" s="315"/>
      <c r="O57" s="315"/>
      <c r="P57" s="315"/>
      <c r="Q57" s="315"/>
      <c r="R57" s="315"/>
      <c r="S57" s="315"/>
      <c r="T57" s="331"/>
      <c r="U57" s="331"/>
      <c r="V57" s="331"/>
      <c r="W57" s="331"/>
      <c r="X57" s="331"/>
      <c r="Y57" s="331"/>
      <c r="Z57" s="331"/>
      <c r="AA57" s="127"/>
      <c r="AB57" s="127"/>
    </row>
    <row r="58" spans="1:28" ht="15.6" x14ac:dyDescent="0.3">
      <c r="A58" s="331"/>
      <c r="B58" s="315"/>
      <c r="C58" s="315"/>
      <c r="D58" s="315"/>
      <c r="E58" s="315"/>
      <c r="F58" s="315"/>
      <c r="G58" s="315"/>
      <c r="H58" s="315"/>
      <c r="I58" s="315"/>
      <c r="J58" s="315"/>
      <c r="K58" s="315"/>
      <c r="L58" s="315"/>
      <c r="M58" s="315"/>
      <c r="N58" s="315"/>
      <c r="O58" s="315"/>
      <c r="P58" s="315"/>
      <c r="Q58" s="315"/>
      <c r="R58" s="315"/>
      <c r="S58" s="315"/>
      <c r="T58" s="331"/>
      <c r="U58" s="331"/>
      <c r="V58" s="331"/>
      <c r="W58" s="331"/>
      <c r="X58" s="331"/>
      <c r="Y58" s="331"/>
      <c r="Z58" s="331"/>
      <c r="AA58" s="127"/>
      <c r="AB58" s="127"/>
    </row>
    <row r="59" spans="1:28" ht="15.6" x14ac:dyDescent="0.3">
      <c r="A59" s="337"/>
      <c r="B59" s="331"/>
      <c r="C59" s="331"/>
      <c r="D59" s="331"/>
      <c r="E59" s="331"/>
      <c r="F59" s="331"/>
      <c r="G59" s="331"/>
      <c r="H59" s="331"/>
      <c r="I59" s="331"/>
      <c r="J59" s="338"/>
      <c r="K59" s="331"/>
      <c r="L59" s="338"/>
      <c r="M59" s="338"/>
      <c r="N59" s="338"/>
      <c r="O59" s="338"/>
      <c r="P59" s="338"/>
      <c r="Q59" s="331"/>
      <c r="R59" s="338"/>
      <c r="S59" s="331"/>
      <c r="T59" s="338"/>
      <c r="U59" s="331"/>
      <c r="V59" s="331"/>
      <c r="W59" s="331"/>
      <c r="X59" s="331"/>
      <c r="Y59" s="331"/>
      <c r="Z59" s="331"/>
      <c r="AA59" s="337"/>
      <c r="AB59" s="337"/>
    </row>
    <row r="60" spans="1:28" ht="15.6" x14ac:dyDescent="0.3">
      <c r="A60" s="331"/>
      <c r="B60" s="337"/>
      <c r="C60" s="337"/>
      <c r="D60" s="337"/>
      <c r="E60" s="337"/>
      <c r="F60" s="337"/>
      <c r="G60" s="337"/>
      <c r="H60" s="337"/>
      <c r="I60" s="337"/>
      <c r="J60" s="337"/>
      <c r="K60" s="337"/>
      <c r="L60" s="337"/>
      <c r="M60" s="337"/>
      <c r="N60" s="337"/>
      <c r="O60" s="337"/>
      <c r="P60" s="337"/>
      <c r="Q60" s="337"/>
      <c r="R60" s="337"/>
      <c r="S60" s="337"/>
      <c r="T60" s="337"/>
      <c r="U60" s="337"/>
      <c r="V60" s="337"/>
      <c r="W60" s="337"/>
      <c r="X60" s="331"/>
      <c r="Y60" s="331"/>
      <c r="Z60" s="331"/>
      <c r="AA60" s="127"/>
      <c r="AB60" s="127"/>
    </row>
    <row r="61" spans="1:28" ht="15.6" x14ac:dyDescent="0.3">
      <c r="A61" s="331"/>
      <c r="B61" s="331"/>
      <c r="C61" s="331"/>
      <c r="D61" s="331"/>
      <c r="E61" s="331"/>
      <c r="F61" s="340"/>
      <c r="G61" s="331"/>
      <c r="H61" s="331"/>
      <c r="I61" s="331"/>
      <c r="J61" s="340"/>
      <c r="K61" s="331"/>
      <c r="L61" s="331"/>
      <c r="M61" s="331"/>
      <c r="N61" s="340"/>
      <c r="O61" s="331"/>
      <c r="P61" s="331"/>
      <c r="Q61" s="331"/>
      <c r="R61" s="340"/>
      <c r="S61" s="331"/>
      <c r="T61" s="331"/>
      <c r="U61" s="331"/>
      <c r="V61" s="340"/>
      <c r="W61" s="331"/>
      <c r="X61" s="331"/>
      <c r="Y61" s="331"/>
      <c r="Z61" s="331"/>
      <c r="AA61" s="127"/>
      <c r="AB61" s="127"/>
    </row>
    <row r="62" spans="1:28" ht="15.6" x14ac:dyDescent="0.3">
      <c r="A62" s="331"/>
      <c r="B62" s="331"/>
      <c r="C62" s="331"/>
      <c r="D62" s="331"/>
      <c r="E62" s="331"/>
      <c r="F62" s="340"/>
      <c r="G62" s="331"/>
      <c r="H62" s="340"/>
      <c r="I62" s="331"/>
      <c r="J62" s="340"/>
      <c r="K62" s="331"/>
      <c r="L62" s="340"/>
      <c r="M62" s="331"/>
      <c r="N62" s="340"/>
      <c r="O62" s="331"/>
      <c r="P62" s="331"/>
      <c r="Q62" s="331"/>
      <c r="R62" s="340"/>
      <c r="S62" s="331"/>
      <c r="T62" s="331"/>
      <c r="U62" s="331"/>
      <c r="V62" s="340"/>
      <c r="W62" s="331"/>
      <c r="X62" s="331"/>
      <c r="Y62" s="331"/>
      <c r="Z62" s="331"/>
      <c r="AA62" s="127"/>
      <c r="AB62" s="127"/>
    </row>
    <row r="63" spans="1:28" ht="15.6" x14ac:dyDescent="0.3">
      <c r="A63" s="331"/>
      <c r="B63" s="331"/>
      <c r="C63" s="331"/>
      <c r="D63" s="331"/>
      <c r="E63" s="331"/>
      <c r="F63" s="340"/>
      <c r="G63" s="331"/>
      <c r="H63" s="340"/>
      <c r="I63" s="331"/>
      <c r="J63" s="340"/>
      <c r="K63" s="331"/>
      <c r="L63" s="340"/>
      <c r="M63" s="331"/>
      <c r="N63" s="340"/>
      <c r="O63" s="331"/>
      <c r="P63" s="331"/>
      <c r="Q63" s="331"/>
      <c r="R63" s="331"/>
      <c r="S63" s="331"/>
      <c r="T63" s="331"/>
      <c r="U63" s="331"/>
      <c r="V63" s="340"/>
      <c r="W63" s="331"/>
      <c r="X63" s="331"/>
      <c r="Y63" s="331"/>
      <c r="Z63" s="331"/>
      <c r="AA63" s="127"/>
      <c r="AB63" s="127"/>
    </row>
    <row r="64" spans="1:28" ht="15.6" x14ac:dyDescent="0.3">
      <c r="A64" s="331"/>
      <c r="B64" s="331"/>
      <c r="C64" s="331"/>
      <c r="D64" s="331"/>
      <c r="E64" s="331"/>
      <c r="F64" s="331"/>
      <c r="G64" s="331"/>
      <c r="H64" s="331"/>
      <c r="I64" s="331"/>
      <c r="J64" s="331"/>
      <c r="K64" s="330"/>
      <c r="L64" s="331"/>
      <c r="M64" s="330"/>
      <c r="N64" s="341"/>
      <c r="O64" s="330"/>
      <c r="P64" s="331"/>
      <c r="Q64" s="331"/>
      <c r="R64" s="331"/>
      <c r="S64" s="330"/>
      <c r="T64" s="331"/>
      <c r="U64" s="330"/>
      <c r="V64" s="341"/>
      <c r="W64" s="330"/>
      <c r="X64" s="331"/>
      <c r="Y64" s="331"/>
      <c r="Z64" s="331"/>
      <c r="AA64" s="127"/>
      <c r="AB64" s="127"/>
    </row>
    <row r="65" spans="1:28" ht="15.6" x14ac:dyDescent="0.3">
      <c r="A65" s="331"/>
      <c r="B65" s="331"/>
      <c r="C65" s="331"/>
      <c r="D65" s="331"/>
      <c r="E65" s="331"/>
      <c r="F65" s="331"/>
      <c r="G65" s="331"/>
      <c r="H65" s="344"/>
      <c r="I65" s="331"/>
      <c r="J65" s="331"/>
      <c r="K65" s="331"/>
      <c r="L65" s="331"/>
      <c r="M65" s="331"/>
      <c r="N65" s="341"/>
      <c r="O65" s="330"/>
      <c r="P65" s="315"/>
      <c r="Q65" s="316"/>
      <c r="R65" s="331"/>
      <c r="S65" s="331"/>
      <c r="T65" s="331"/>
      <c r="U65" s="330"/>
      <c r="V65" s="330"/>
      <c r="W65" s="331"/>
      <c r="X65" s="331"/>
      <c r="Y65" s="331"/>
      <c r="Z65" s="331"/>
      <c r="AA65" s="127"/>
      <c r="AB65" s="127"/>
    </row>
    <row r="66" spans="1:28" ht="15.6" x14ac:dyDescent="0.3">
      <c r="A66" s="331"/>
      <c r="B66" s="331"/>
      <c r="C66" s="331"/>
      <c r="D66" s="331"/>
      <c r="E66" s="331"/>
      <c r="F66" s="315"/>
      <c r="G66" s="331"/>
      <c r="H66" s="331"/>
      <c r="I66" s="331"/>
      <c r="J66" s="331"/>
      <c r="K66" s="331"/>
      <c r="L66" s="331"/>
      <c r="M66" s="331"/>
      <c r="N66" s="315"/>
      <c r="O66" s="315"/>
      <c r="P66" s="315"/>
      <c r="Q66" s="316"/>
      <c r="R66" s="316"/>
      <c r="S66" s="315"/>
      <c r="T66" s="331"/>
      <c r="U66" s="331"/>
      <c r="V66" s="331"/>
      <c r="W66" s="331"/>
      <c r="X66" s="331"/>
      <c r="Y66" s="331"/>
      <c r="Z66" s="331"/>
      <c r="AA66" s="127"/>
      <c r="AB66" s="127"/>
    </row>
    <row r="67" spans="1:28" ht="15.6" x14ac:dyDescent="0.3">
      <c r="A67" s="331"/>
      <c r="B67" s="331"/>
      <c r="C67" s="331"/>
      <c r="D67" s="331"/>
      <c r="E67" s="331"/>
      <c r="F67" s="315"/>
      <c r="G67" s="331"/>
      <c r="H67" s="331"/>
      <c r="I67" s="331"/>
      <c r="J67" s="331"/>
      <c r="K67" s="331"/>
      <c r="L67" s="331"/>
      <c r="M67" s="331"/>
      <c r="N67" s="315"/>
      <c r="O67" s="315"/>
      <c r="P67" s="315"/>
      <c r="Q67" s="316"/>
      <c r="R67" s="316"/>
      <c r="S67" s="315"/>
      <c r="T67" s="331"/>
      <c r="U67" s="331"/>
      <c r="V67" s="331"/>
      <c r="W67" s="331"/>
      <c r="X67" s="331"/>
      <c r="Y67" s="331"/>
      <c r="Z67" s="331"/>
      <c r="AA67" s="127"/>
      <c r="AB67" s="127"/>
    </row>
    <row r="68" spans="1:28" ht="15.6" x14ac:dyDescent="0.3">
      <c r="A68" s="331"/>
      <c r="B68" s="331"/>
      <c r="C68" s="331"/>
      <c r="D68" s="331"/>
      <c r="E68" s="331"/>
      <c r="F68" s="315"/>
      <c r="G68" s="331"/>
      <c r="H68" s="331"/>
      <c r="I68" s="331"/>
      <c r="J68" s="331"/>
      <c r="K68" s="331"/>
      <c r="L68" s="331"/>
      <c r="M68" s="331"/>
      <c r="N68" s="315"/>
      <c r="O68" s="315"/>
      <c r="P68" s="315"/>
      <c r="Q68" s="316"/>
      <c r="R68" s="316"/>
      <c r="S68" s="315"/>
      <c r="T68" s="331"/>
      <c r="U68" s="331"/>
      <c r="V68" s="331"/>
      <c r="W68" s="331"/>
      <c r="X68" s="331"/>
      <c r="Y68" s="331"/>
      <c r="Z68" s="331"/>
      <c r="AA68" s="127"/>
      <c r="AB68" s="127"/>
    </row>
    <row r="69" spans="1:28" ht="15.6" x14ac:dyDescent="0.3">
      <c r="A69" s="331"/>
      <c r="B69" s="331"/>
      <c r="C69" s="331"/>
      <c r="D69" s="331"/>
      <c r="E69" s="331"/>
      <c r="F69" s="315"/>
      <c r="G69" s="331"/>
      <c r="H69" s="331"/>
      <c r="I69" s="331"/>
      <c r="J69" s="331"/>
      <c r="K69" s="331"/>
      <c r="L69" s="331"/>
      <c r="M69" s="331"/>
      <c r="N69" s="315"/>
      <c r="O69" s="315"/>
      <c r="P69" s="315"/>
      <c r="Q69" s="316"/>
      <c r="R69" s="316"/>
      <c r="S69" s="315"/>
      <c r="T69" s="331"/>
      <c r="U69" s="331"/>
      <c r="V69" s="331"/>
      <c r="W69" s="331"/>
      <c r="X69" s="331"/>
      <c r="Y69" s="331"/>
      <c r="Z69" s="331"/>
      <c r="AA69" s="127"/>
      <c r="AB69" s="127"/>
    </row>
    <row r="70" spans="1:28" ht="15.6" x14ac:dyDescent="0.3">
      <c r="A70" s="331"/>
      <c r="B70" s="331"/>
      <c r="C70" s="331"/>
      <c r="D70" s="331"/>
      <c r="E70" s="331"/>
      <c r="F70" s="315"/>
      <c r="G70" s="331"/>
      <c r="H70" s="331"/>
      <c r="I70" s="331"/>
      <c r="J70" s="331"/>
      <c r="K70" s="331"/>
      <c r="L70" s="331"/>
      <c r="M70" s="331"/>
      <c r="N70" s="315"/>
      <c r="O70" s="315"/>
      <c r="P70" s="315"/>
      <c r="Q70" s="316"/>
      <c r="R70" s="316"/>
      <c r="S70" s="315"/>
      <c r="T70" s="331"/>
      <c r="U70" s="331"/>
      <c r="V70" s="331"/>
      <c r="W70" s="331"/>
      <c r="X70" s="331"/>
      <c r="Y70" s="331"/>
      <c r="Z70" s="331"/>
      <c r="AA70" s="127"/>
      <c r="AB70" s="127"/>
    </row>
    <row r="71" spans="1:28" ht="15.6" x14ac:dyDescent="0.3">
      <c r="A71" s="331"/>
      <c r="B71" s="331"/>
      <c r="C71" s="331"/>
      <c r="D71" s="331"/>
      <c r="E71" s="331"/>
      <c r="F71" s="315"/>
      <c r="G71" s="331"/>
      <c r="H71" s="331"/>
      <c r="I71" s="331"/>
      <c r="J71" s="331"/>
      <c r="K71" s="331"/>
      <c r="L71" s="331"/>
      <c r="M71" s="331"/>
      <c r="N71" s="315"/>
      <c r="O71" s="315"/>
      <c r="P71" s="315"/>
      <c r="Q71" s="316"/>
      <c r="R71" s="316"/>
      <c r="S71" s="315"/>
      <c r="T71" s="331"/>
      <c r="U71" s="331"/>
      <c r="V71" s="331"/>
      <c r="W71" s="331"/>
      <c r="X71" s="331"/>
      <c r="Y71" s="331"/>
      <c r="Z71" s="331"/>
      <c r="AA71" s="127"/>
      <c r="AB71" s="127"/>
    </row>
    <row r="72" spans="1:28" ht="15.6" x14ac:dyDescent="0.3">
      <c r="A72" s="331"/>
      <c r="B72" s="331"/>
      <c r="C72" s="331"/>
      <c r="D72" s="331"/>
      <c r="E72" s="331"/>
      <c r="F72" s="315"/>
      <c r="G72" s="331"/>
      <c r="H72" s="331"/>
      <c r="I72" s="331"/>
      <c r="J72" s="331"/>
      <c r="K72" s="331"/>
      <c r="L72" s="331"/>
      <c r="M72" s="331"/>
      <c r="N72" s="315"/>
      <c r="O72" s="315"/>
      <c r="P72" s="315"/>
      <c r="Q72" s="316"/>
      <c r="R72" s="316"/>
      <c r="S72" s="315"/>
      <c r="T72" s="331"/>
      <c r="U72" s="331"/>
      <c r="V72" s="331"/>
      <c r="W72" s="331"/>
      <c r="X72" s="331"/>
      <c r="Y72" s="331"/>
      <c r="Z72" s="331"/>
      <c r="AA72" s="127"/>
      <c r="AB72" s="127"/>
    </row>
    <row r="73" spans="1:28" ht="15.6" x14ac:dyDescent="0.3">
      <c r="A73" s="331"/>
      <c r="B73" s="331"/>
      <c r="C73" s="331"/>
      <c r="D73" s="331"/>
      <c r="E73" s="331"/>
      <c r="F73" s="315"/>
      <c r="G73" s="331"/>
      <c r="H73" s="331"/>
      <c r="I73" s="331"/>
      <c r="J73" s="331"/>
      <c r="K73" s="331"/>
      <c r="L73" s="331"/>
      <c r="M73" s="331"/>
      <c r="N73" s="315"/>
      <c r="O73" s="315"/>
      <c r="P73" s="315"/>
      <c r="Q73" s="316"/>
      <c r="R73" s="316"/>
      <c r="S73" s="315"/>
      <c r="T73" s="331"/>
      <c r="U73" s="331"/>
      <c r="V73" s="331"/>
      <c r="W73" s="331"/>
      <c r="X73" s="331"/>
      <c r="Y73" s="331"/>
      <c r="Z73" s="331"/>
      <c r="AA73" s="127"/>
      <c r="AB73" s="127"/>
    </row>
    <row r="74" spans="1:28" ht="15.6" x14ac:dyDescent="0.3">
      <c r="A74" s="331"/>
      <c r="B74" s="331"/>
      <c r="C74" s="331"/>
      <c r="D74" s="331"/>
      <c r="E74" s="331"/>
      <c r="F74" s="315"/>
      <c r="G74" s="331"/>
      <c r="H74" s="331"/>
      <c r="I74" s="331"/>
      <c r="J74" s="331"/>
      <c r="K74" s="331"/>
      <c r="L74" s="331"/>
      <c r="M74" s="331"/>
      <c r="N74" s="315"/>
      <c r="O74" s="315"/>
      <c r="P74" s="315"/>
      <c r="Q74" s="316"/>
      <c r="R74" s="316"/>
      <c r="S74" s="315"/>
      <c r="T74" s="331"/>
      <c r="U74" s="331"/>
      <c r="V74" s="331"/>
      <c r="W74" s="331"/>
      <c r="X74" s="331"/>
      <c r="Y74" s="331"/>
      <c r="Z74" s="331"/>
      <c r="AA74" s="127"/>
      <c r="AB74" s="127"/>
    </row>
    <row r="75" spans="1:28" ht="15.6" x14ac:dyDescent="0.3">
      <c r="A75" s="331"/>
      <c r="B75" s="331"/>
      <c r="C75" s="331"/>
      <c r="D75" s="331"/>
      <c r="E75" s="331"/>
      <c r="F75" s="315"/>
      <c r="G75" s="331"/>
      <c r="H75" s="331"/>
      <c r="I75" s="331"/>
      <c r="J75" s="331"/>
      <c r="K75" s="331"/>
      <c r="L75" s="331"/>
      <c r="M75" s="331"/>
      <c r="N75" s="315"/>
      <c r="O75" s="315"/>
      <c r="P75" s="315"/>
      <c r="Q75" s="316"/>
      <c r="R75" s="316"/>
      <c r="S75" s="315"/>
      <c r="T75" s="331"/>
      <c r="U75" s="331"/>
      <c r="V75" s="331"/>
      <c r="W75" s="331"/>
      <c r="X75" s="331"/>
      <c r="Y75" s="331"/>
      <c r="Z75" s="331"/>
      <c r="AA75" s="127"/>
      <c r="AB75" s="127"/>
    </row>
    <row r="76" spans="1:28" ht="15.6" x14ac:dyDescent="0.3">
      <c r="A76" s="331"/>
      <c r="B76" s="331"/>
      <c r="C76" s="331"/>
      <c r="D76" s="331"/>
      <c r="E76" s="331"/>
      <c r="F76" s="315"/>
      <c r="G76" s="331"/>
      <c r="H76" s="331"/>
      <c r="I76" s="331"/>
      <c r="J76" s="331"/>
      <c r="K76" s="331"/>
      <c r="L76" s="331"/>
      <c r="M76" s="331"/>
      <c r="N76" s="315"/>
      <c r="O76" s="315"/>
      <c r="P76" s="315"/>
      <c r="Q76" s="316"/>
      <c r="R76" s="316"/>
      <c r="S76" s="315"/>
      <c r="T76" s="331"/>
      <c r="U76" s="331"/>
      <c r="V76" s="331"/>
      <c r="W76" s="331"/>
      <c r="X76" s="331"/>
      <c r="Y76" s="331"/>
      <c r="Z76" s="331"/>
      <c r="AA76" s="127"/>
      <c r="AB76" s="127"/>
    </row>
    <row r="77" spans="1:28" ht="15.6" x14ac:dyDescent="0.3">
      <c r="A77" s="331"/>
      <c r="B77" s="331"/>
      <c r="C77" s="331"/>
      <c r="D77" s="331"/>
      <c r="E77" s="331"/>
      <c r="F77" s="315"/>
      <c r="G77" s="331"/>
      <c r="H77" s="331"/>
      <c r="I77" s="331"/>
      <c r="J77" s="331"/>
      <c r="K77" s="331"/>
      <c r="L77" s="331"/>
      <c r="M77" s="331"/>
      <c r="N77" s="315"/>
      <c r="O77" s="315"/>
      <c r="P77" s="315"/>
      <c r="Q77" s="316"/>
      <c r="R77" s="316"/>
      <c r="S77" s="315"/>
      <c r="T77" s="331"/>
      <c r="U77" s="331"/>
      <c r="V77" s="331"/>
      <c r="W77" s="331"/>
      <c r="X77" s="331"/>
      <c r="Y77" s="331"/>
      <c r="Z77" s="331"/>
      <c r="AA77" s="127"/>
      <c r="AB77" s="127"/>
    </row>
    <row r="78" spans="1:28" ht="15.6" x14ac:dyDescent="0.3">
      <c r="A78" s="331"/>
      <c r="B78" s="331"/>
      <c r="C78" s="331"/>
      <c r="D78" s="331"/>
      <c r="E78" s="331"/>
      <c r="F78" s="315"/>
      <c r="G78" s="331"/>
      <c r="H78" s="331"/>
      <c r="I78" s="331"/>
      <c r="J78" s="331"/>
      <c r="K78" s="331"/>
      <c r="L78" s="331"/>
      <c r="M78" s="331"/>
      <c r="N78" s="315"/>
      <c r="O78" s="315"/>
      <c r="P78" s="315"/>
      <c r="Q78" s="316"/>
      <c r="R78" s="316"/>
      <c r="S78" s="315"/>
      <c r="T78" s="331"/>
      <c r="U78" s="331"/>
      <c r="V78" s="331"/>
      <c r="W78" s="331"/>
      <c r="X78" s="331"/>
      <c r="Y78" s="331"/>
      <c r="Z78" s="331"/>
      <c r="AA78" s="127"/>
      <c r="AB78" s="127"/>
    </row>
    <row r="79" spans="1:28" ht="15.6" x14ac:dyDescent="0.3">
      <c r="A79" s="331"/>
      <c r="B79" s="331"/>
      <c r="C79" s="331"/>
      <c r="D79" s="331"/>
      <c r="E79" s="331"/>
      <c r="F79" s="315"/>
      <c r="G79" s="331"/>
      <c r="H79" s="331"/>
      <c r="I79" s="331"/>
      <c r="J79" s="331"/>
      <c r="K79" s="331"/>
      <c r="L79" s="331"/>
      <c r="M79" s="331"/>
      <c r="N79" s="315"/>
      <c r="O79" s="315"/>
      <c r="P79" s="315"/>
      <c r="Q79" s="316"/>
      <c r="R79" s="316"/>
      <c r="S79" s="315"/>
      <c r="T79" s="331"/>
      <c r="U79" s="331"/>
      <c r="V79" s="331"/>
      <c r="W79" s="331"/>
      <c r="X79" s="331"/>
      <c r="Y79" s="331"/>
      <c r="Z79" s="331"/>
      <c r="AA79" s="127"/>
      <c r="AB79" s="127"/>
    </row>
    <row r="80" spans="1:28" ht="15.6" x14ac:dyDescent="0.3">
      <c r="A80" s="331"/>
      <c r="B80" s="331"/>
      <c r="C80" s="331"/>
      <c r="D80" s="331"/>
      <c r="E80" s="331"/>
      <c r="F80" s="315"/>
      <c r="G80" s="331"/>
      <c r="H80" s="331"/>
      <c r="I80" s="331"/>
      <c r="J80" s="331"/>
      <c r="K80" s="331"/>
      <c r="L80" s="331"/>
      <c r="M80" s="331"/>
      <c r="N80" s="315"/>
      <c r="O80" s="315"/>
      <c r="P80" s="315"/>
      <c r="Q80" s="316"/>
      <c r="R80" s="316"/>
      <c r="S80" s="315"/>
      <c r="T80" s="331"/>
      <c r="U80" s="331"/>
      <c r="V80" s="331"/>
      <c r="W80" s="331"/>
      <c r="X80" s="331"/>
      <c r="Y80" s="331"/>
      <c r="Z80" s="331"/>
      <c r="AA80" s="127"/>
      <c r="AB80" s="127"/>
    </row>
    <row r="81" spans="1:28" ht="15.6" x14ac:dyDescent="0.3">
      <c r="A81" s="331"/>
      <c r="B81" s="331"/>
      <c r="C81" s="331"/>
      <c r="D81" s="331"/>
      <c r="E81" s="331"/>
      <c r="F81" s="315"/>
      <c r="G81" s="331"/>
      <c r="H81" s="331"/>
      <c r="I81" s="331"/>
      <c r="J81" s="331"/>
      <c r="K81" s="331"/>
      <c r="L81" s="331"/>
      <c r="M81" s="331"/>
      <c r="N81" s="315"/>
      <c r="O81" s="315"/>
      <c r="P81" s="315"/>
      <c r="Q81" s="316"/>
      <c r="R81" s="316"/>
      <c r="S81" s="315"/>
      <c r="T81" s="331"/>
      <c r="U81" s="331"/>
      <c r="V81" s="331"/>
      <c r="W81" s="331"/>
      <c r="X81" s="331"/>
      <c r="Y81" s="331"/>
      <c r="Z81" s="331"/>
      <c r="AA81" s="127"/>
      <c r="AB81" s="127"/>
    </row>
    <row r="82" spans="1:28" ht="15.6" x14ac:dyDescent="0.3">
      <c r="A82" s="331"/>
      <c r="B82" s="331"/>
      <c r="C82" s="331"/>
      <c r="D82" s="331"/>
      <c r="E82" s="331"/>
      <c r="F82" s="315"/>
      <c r="G82" s="331"/>
      <c r="H82" s="331"/>
      <c r="I82" s="331"/>
      <c r="J82" s="331"/>
      <c r="K82" s="331"/>
      <c r="L82" s="331"/>
      <c r="M82" s="331"/>
      <c r="N82" s="315"/>
      <c r="O82" s="315"/>
      <c r="P82" s="315"/>
      <c r="Q82" s="316"/>
      <c r="R82" s="316"/>
      <c r="S82" s="315"/>
      <c r="T82" s="331"/>
      <c r="U82" s="331"/>
      <c r="V82" s="331"/>
      <c r="W82" s="331"/>
      <c r="X82" s="331"/>
      <c r="Y82" s="331"/>
      <c r="Z82" s="331"/>
      <c r="AA82" s="127"/>
      <c r="AB82" s="127"/>
    </row>
    <row r="83" spans="1:28" ht="15.6" x14ac:dyDescent="0.3">
      <c r="A83" s="331"/>
      <c r="B83" s="331"/>
      <c r="C83" s="331"/>
      <c r="D83" s="331"/>
      <c r="E83" s="331"/>
      <c r="F83" s="315"/>
      <c r="G83" s="331"/>
      <c r="H83" s="331"/>
      <c r="I83" s="331"/>
      <c r="J83" s="331"/>
      <c r="K83" s="331"/>
      <c r="L83" s="331"/>
      <c r="M83" s="331"/>
      <c r="N83" s="315"/>
      <c r="O83" s="315"/>
      <c r="P83" s="315"/>
      <c r="Q83" s="316"/>
      <c r="R83" s="316"/>
      <c r="S83" s="315"/>
      <c r="T83" s="331"/>
      <c r="U83" s="331"/>
      <c r="V83" s="331"/>
      <c r="W83" s="331"/>
      <c r="X83" s="331"/>
      <c r="Y83" s="331"/>
      <c r="Z83" s="331"/>
      <c r="AA83" s="127"/>
      <c r="AB83" s="127"/>
    </row>
    <row r="84" spans="1:28" ht="15.6" x14ac:dyDescent="0.3">
      <c r="A84" s="331"/>
      <c r="B84" s="331"/>
      <c r="C84" s="331"/>
      <c r="D84" s="331"/>
      <c r="E84" s="331"/>
      <c r="F84" s="315"/>
      <c r="G84" s="331"/>
      <c r="H84" s="331"/>
      <c r="I84" s="331"/>
      <c r="J84" s="331"/>
      <c r="K84" s="331"/>
      <c r="L84" s="331"/>
      <c r="M84" s="331"/>
      <c r="N84" s="315"/>
      <c r="O84" s="315"/>
      <c r="P84" s="315"/>
      <c r="Q84" s="316"/>
      <c r="R84" s="316"/>
      <c r="S84" s="315"/>
      <c r="T84" s="331"/>
      <c r="U84" s="331"/>
      <c r="V84" s="331"/>
      <c r="W84" s="331"/>
      <c r="X84" s="331"/>
      <c r="Y84" s="331"/>
      <c r="Z84" s="331"/>
      <c r="AA84" s="127"/>
      <c r="AB84" s="127"/>
    </row>
    <row r="85" spans="1:28" ht="15.6" x14ac:dyDescent="0.3">
      <c r="A85" s="331"/>
      <c r="B85" s="331"/>
      <c r="C85" s="331"/>
      <c r="D85" s="331"/>
      <c r="E85" s="331"/>
      <c r="F85" s="315"/>
      <c r="G85" s="331"/>
      <c r="H85" s="331"/>
      <c r="I85" s="331"/>
      <c r="J85" s="331"/>
      <c r="K85" s="331"/>
      <c r="L85" s="331"/>
      <c r="M85" s="331"/>
      <c r="N85" s="315"/>
      <c r="O85" s="315"/>
      <c r="P85" s="315"/>
      <c r="Q85" s="316"/>
      <c r="R85" s="316"/>
      <c r="S85" s="315"/>
      <c r="T85" s="331"/>
      <c r="U85" s="331"/>
      <c r="V85" s="331"/>
      <c r="W85" s="331"/>
      <c r="X85" s="331"/>
      <c r="Y85" s="331"/>
      <c r="Z85" s="331"/>
      <c r="AA85" s="127"/>
      <c r="AB85" s="127"/>
    </row>
    <row r="86" spans="1:28" ht="15.6" x14ac:dyDescent="0.3">
      <c r="A86" s="331"/>
      <c r="B86" s="331"/>
      <c r="C86" s="331"/>
      <c r="D86" s="331"/>
      <c r="E86" s="331"/>
      <c r="F86" s="315"/>
      <c r="G86" s="331"/>
      <c r="H86" s="331"/>
      <c r="I86" s="331"/>
      <c r="J86" s="331"/>
      <c r="K86" s="331"/>
      <c r="L86" s="331"/>
      <c r="M86" s="331"/>
      <c r="N86" s="315"/>
      <c r="O86" s="315"/>
      <c r="P86" s="315"/>
      <c r="Q86" s="316"/>
      <c r="R86" s="316"/>
      <c r="S86" s="315"/>
      <c r="T86" s="331"/>
      <c r="U86" s="331"/>
      <c r="V86" s="331"/>
      <c r="W86" s="331"/>
      <c r="X86" s="331"/>
      <c r="Y86" s="331"/>
      <c r="Z86" s="331"/>
      <c r="AA86" s="127"/>
      <c r="AB86" s="127"/>
    </row>
    <row r="87" spans="1:28" ht="15.6" x14ac:dyDescent="0.3">
      <c r="A87" s="331"/>
      <c r="B87" s="331"/>
      <c r="C87" s="331"/>
      <c r="D87" s="331"/>
      <c r="E87" s="331"/>
      <c r="F87" s="315"/>
      <c r="G87" s="331"/>
      <c r="H87" s="331"/>
      <c r="I87" s="331"/>
      <c r="J87" s="331"/>
      <c r="K87" s="331"/>
      <c r="L87" s="331"/>
      <c r="M87" s="331"/>
      <c r="N87" s="315"/>
      <c r="O87" s="315"/>
      <c r="P87" s="315"/>
      <c r="Q87" s="316"/>
      <c r="R87" s="316"/>
      <c r="S87" s="315"/>
      <c r="T87" s="331"/>
      <c r="U87" s="331"/>
      <c r="V87" s="331"/>
      <c r="W87" s="331"/>
      <c r="X87" s="331"/>
      <c r="Y87" s="331"/>
      <c r="Z87" s="331"/>
      <c r="AA87" s="127"/>
      <c r="AB87" s="127"/>
    </row>
    <row r="88" spans="1:28" ht="15.6" x14ac:dyDescent="0.3">
      <c r="A88" s="331"/>
      <c r="B88" s="331"/>
      <c r="C88" s="331"/>
      <c r="D88" s="331"/>
      <c r="E88" s="331"/>
      <c r="F88" s="315"/>
      <c r="G88" s="331"/>
      <c r="H88" s="331"/>
      <c r="I88" s="331"/>
      <c r="J88" s="331"/>
      <c r="K88" s="331"/>
      <c r="L88" s="331"/>
      <c r="M88" s="331"/>
      <c r="N88" s="315"/>
      <c r="O88" s="315"/>
      <c r="P88" s="315"/>
      <c r="Q88" s="316"/>
      <c r="R88" s="316"/>
      <c r="S88" s="315"/>
      <c r="T88" s="331"/>
      <c r="U88" s="331"/>
      <c r="V88" s="331"/>
      <c r="W88" s="331"/>
      <c r="X88" s="331"/>
      <c r="Y88" s="331"/>
      <c r="Z88" s="331"/>
      <c r="AA88" s="127"/>
      <c r="AB88" s="127"/>
    </row>
    <row r="89" spans="1:28" ht="15.6" x14ac:dyDescent="0.3">
      <c r="A89" s="331"/>
      <c r="B89" s="331"/>
      <c r="C89" s="331"/>
      <c r="D89" s="331"/>
      <c r="E89" s="331"/>
      <c r="F89" s="331"/>
      <c r="G89" s="331"/>
      <c r="H89" s="331"/>
      <c r="I89" s="331"/>
      <c r="J89" s="331"/>
      <c r="K89" s="331"/>
      <c r="L89" s="331"/>
      <c r="M89" s="331"/>
      <c r="N89" s="331"/>
      <c r="O89" s="331"/>
      <c r="P89" s="331"/>
      <c r="Q89" s="331"/>
      <c r="R89" s="331"/>
      <c r="S89" s="331"/>
      <c r="T89" s="331"/>
      <c r="U89" s="331"/>
      <c r="V89" s="331"/>
      <c r="W89" s="331"/>
      <c r="X89" s="331"/>
      <c r="Y89" s="331"/>
      <c r="Z89" s="331"/>
      <c r="AA89" s="127"/>
      <c r="AB89" s="127"/>
    </row>
    <row r="90" spans="1:28" ht="15.6" x14ac:dyDescent="0.3">
      <c r="A90" s="331"/>
      <c r="B90" s="331"/>
      <c r="C90" s="331"/>
      <c r="D90" s="331"/>
      <c r="E90" s="331"/>
      <c r="F90" s="331"/>
      <c r="G90" s="331"/>
      <c r="H90" s="331"/>
      <c r="I90" s="331"/>
      <c r="J90" s="331"/>
      <c r="K90" s="331"/>
      <c r="L90" s="331"/>
      <c r="M90" s="331"/>
      <c r="N90" s="331"/>
      <c r="O90" s="331"/>
      <c r="P90" s="331"/>
      <c r="Q90" s="331"/>
      <c r="R90" s="331"/>
      <c r="S90" s="331"/>
      <c r="T90" s="331"/>
      <c r="U90" s="331"/>
      <c r="V90" s="331"/>
      <c r="W90" s="331"/>
      <c r="X90" s="331"/>
      <c r="Y90" s="331"/>
      <c r="Z90" s="331"/>
      <c r="AA90" s="127"/>
      <c r="AB90" s="127"/>
    </row>
    <row r="91" spans="1:28" ht="15.6" x14ac:dyDescent="0.3">
      <c r="A91" s="331"/>
      <c r="B91" s="331"/>
      <c r="C91" s="331"/>
      <c r="D91" s="331"/>
      <c r="E91" s="331"/>
      <c r="F91" s="331"/>
      <c r="G91" s="331"/>
      <c r="H91" s="331"/>
      <c r="I91" s="331"/>
      <c r="J91" s="331"/>
      <c r="K91" s="331"/>
      <c r="L91" s="331"/>
      <c r="M91" s="331"/>
      <c r="N91" s="331"/>
      <c r="O91" s="331"/>
      <c r="P91" s="331"/>
      <c r="Q91" s="331"/>
      <c r="R91" s="331"/>
      <c r="S91" s="331"/>
      <c r="T91" s="331"/>
      <c r="U91" s="331"/>
      <c r="V91" s="331"/>
      <c r="W91" s="331"/>
      <c r="X91" s="331"/>
      <c r="Y91" s="331"/>
      <c r="Z91" s="331"/>
      <c r="AA91" s="127"/>
      <c r="AB91" s="127"/>
    </row>
    <row r="92" spans="1:28" ht="15.6" x14ac:dyDescent="0.3">
      <c r="A92" s="345"/>
      <c r="B92" s="331"/>
      <c r="C92" s="331"/>
      <c r="D92" s="331"/>
      <c r="E92" s="331"/>
      <c r="F92" s="331"/>
      <c r="G92" s="331"/>
      <c r="H92" s="331"/>
      <c r="I92" s="331"/>
      <c r="J92" s="331"/>
      <c r="K92" s="331"/>
      <c r="L92" s="331"/>
      <c r="M92" s="331"/>
      <c r="N92" s="331"/>
      <c r="O92" s="331"/>
      <c r="P92" s="331"/>
      <c r="Q92" s="331"/>
      <c r="R92" s="331"/>
      <c r="S92" s="331"/>
      <c r="T92" s="331"/>
      <c r="U92" s="331"/>
      <c r="V92" s="331"/>
      <c r="W92" s="331"/>
      <c r="X92" s="331"/>
      <c r="Y92" s="331"/>
      <c r="Z92" s="331"/>
      <c r="AA92" s="127"/>
      <c r="AB92" s="127"/>
    </row>
    <row r="93" spans="1:28" s="314" customFormat="1" ht="15.6" x14ac:dyDescent="0.3">
      <c r="A93" s="337"/>
      <c r="B93" s="337"/>
      <c r="C93" s="337"/>
      <c r="D93" s="337"/>
      <c r="E93" s="337"/>
      <c r="F93" s="337"/>
      <c r="G93" s="337"/>
      <c r="H93" s="337"/>
      <c r="I93" s="337"/>
      <c r="J93" s="337"/>
      <c r="K93" s="337"/>
      <c r="L93" s="337"/>
      <c r="M93" s="337"/>
      <c r="N93" s="337"/>
      <c r="O93" s="337"/>
      <c r="P93" s="337"/>
      <c r="Q93" s="337"/>
      <c r="R93" s="337"/>
      <c r="S93" s="337"/>
      <c r="T93" s="346"/>
      <c r="U93" s="346"/>
      <c r="V93" s="346"/>
      <c r="W93" s="346"/>
      <c r="X93" s="337"/>
      <c r="Y93" s="337"/>
      <c r="Z93" s="337"/>
      <c r="AA93" s="337"/>
      <c r="AB93" s="337"/>
    </row>
    <row r="94" spans="1:28" ht="15.6" x14ac:dyDescent="0.3">
      <c r="A94" s="331"/>
      <c r="B94" s="340"/>
      <c r="C94" s="331"/>
      <c r="D94" s="331"/>
      <c r="E94" s="331"/>
      <c r="F94" s="340"/>
      <c r="G94" s="331"/>
      <c r="H94" s="331"/>
      <c r="I94" s="331"/>
      <c r="J94" s="340"/>
      <c r="K94" s="331"/>
      <c r="L94" s="331"/>
      <c r="M94" s="331"/>
      <c r="N94" s="340"/>
      <c r="O94" s="331"/>
      <c r="P94" s="340"/>
      <c r="Q94" s="331"/>
      <c r="R94" s="340"/>
      <c r="S94" s="331"/>
      <c r="T94" s="127"/>
      <c r="U94" s="127"/>
      <c r="V94" s="127"/>
      <c r="W94" s="127"/>
      <c r="X94" s="331"/>
      <c r="Y94" s="331"/>
      <c r="Z94" s="331"/>
      <c r="AA94" s="127"/>
      <c r="AB94" s="127"/>
    </row>
    <row r="95" spans="1:28" x14ac:dyDescent="0.25">
      <c r="B95" s="127"/>
      <c r="C95" s="127"/>
      <c r="D95" s="127"/>
      <c r="E95" s="127"/>
      <c r="F95" s="127"/>
      <c r="G95" s="127"/>
    </row>
    <row r="96" spans="1:28" s="256" customFormat="1" ht="18" x14ac:dyDescent="0.35">
      <c r="A96" s="317"/>
      <c r="B96" s="263"/>
      <c r="C96" s="261"/>
      <c r="D96" s="260"/>
      <c r="E96" s="261"/>
      <c r="F96" s="260"/>
    </row>
    <row r="97" spans="1:16" s="256" customFormat="1" x14ac:dyDescent="0.25">
      <c r="A97" s="262"/>
      <c r="B97" s="263"/>
      <c r="C97" s="261"/>
      <c r="D97" s="260"/>
      <c r="E97" s="261"/>
      <c r="F97" s="260"/>
    </row>
    <row r="98" spans="1:16" s="256" customFormat="1" x14ac:dyDescent="0.25">
      <c r="A98" s="262"/>
      <c r="B98" s="263"/>
      <c r="C98" s="261"/>
      <c r="D98" s="260"/>
      <c r="E98" s="261"/>
      <c r="F98" s="260"/>
    </row>
    <row r="99" spans="1:16" s="256" customFormat="1" x14ac:dyDescent="0.25">
      <c r="A99" s="262"/>
      <c r="B99" s="263"/>
      <c r="C99" s="261"/>
      <c r="D99" s="260"/>
      <c r="E99" s="261"/>
      <c r="F99" s="260"/>
    </row>
    <row r="100" spans="1:16" s="256" customFormat="1" x14ac:dyDescent="0.25">
      <c r="A100" s="262"/>
      <c r="B100" s="263"/>
      <c r="C100" s="261"/>
      <c r="D100" s="260"/>
      <c r="E100" s="261"/>
      <c r="F100" s="260"/>
    </row>
    <row r="101" spans="1:16" s="256" customFormat="1" x14ac:dyDescent="0.25">
      <c r="A101" s="262"/>
      <c r="B101" s="55"/>
      <c r="C101" s="56"/>
      <c r="D101" s="55"/>
      <c r="E101" s="264"/>
      <c r="F101" s="264"/>
    </row>
    <row r="102" spans="1:16" s="256" customFormat="1" x14ac:dyDescent="0.25">
      <c r="A102" s="264"/>
      <c r="B102" s="264"/>
      <c r="C102" s="58"/>
      <c r="D102" s="264"/>
      <c r="E102" s="264"/>
      <c r="F102" s="264"/>
    </row>
    <row r="103" spans="1:16" s="256" customFormat="1" ht="16.2" thickBot="1" x14ac:dyDescent="0.35">
      <c r="A103" s="45" t="s">
        <v>116</v>
      </c>
      <c r="D103" s="273" t="s">
        <v>236</v>
      </c>
    </row>
    <row r="104" spans="1:16" s="256" customFormat="1" ht="13.8" thickTop="1" x14ac:dyDescent="0.25">
      <c r="A104" s="227"/>
      <c r="B104" s="228"/>
      <c r="C104" s="228"/>
      <c r="D104" s="228"/>
      <c r="E104" s="228"/>
      <c r="F104" s="228"/>
      <c r="G104" s="228"/>
      <c r="H104" s="228"/>
      <c r="I104" s="228"/>
      <c r="J104" s="228"/>
      <c r="K104" s="228"/>
      <c r="L104" s="228"/>
      <c r="M104" s="228"/>
      <c r="N104" s="228"/>
      <c r="O104" s="327"/>
    </row>
    <row r="105" spans="1:16" s="256" customFormat="1" x14ac:dyDescent="0.25">
      <c r="A105" s="33" t="s">
        <v>404</v>
      </c>
      <c r="B105" s="34"/>
      <c r="C105" s="34"/>
      <c r="D105" s="34"/>
      <c r="E105" s="34"/>
      <c r="F105" s="34"/>
      <c r="G105" s="34"/>
      <c r="H105" s="34"/>
      <c r="I105" s="34"/>
      <c r="J105" s="34"/>
      <c r="K105" s="34"/>
      <c r="L105" s="34"/>
      <c r="M105" s="34"/>
      <c r="N105" s="34"/>
      <c r="O105" s="103"/>
    </row>
    <row r="106" spans="1:16" s="256" customFormat="1" x14ac:dyDescent="0.25">
      <c r="A106" s="33" t="s">
        <v>140</v>
      </c>
      <c r="B106" s="34"/>
      <c r="C106" s="34"/>
      <c r="D106" s="34"/>
      <c r="E106" s="34"/>
      <c r="F106" s="34"/>
      <c r="G106" s="34"/>
      <c r="H106" s="34"/>
      <c r="I106" s="34"/>
      <c r="J106" s="34"/>
      <c r="K106" s="34"/>
      <c r="L106" s="34"/>
      <c r="M106" s="34"/>
      <c r="N106" s="34"/>
      <c r="O106" s="103"/>
    </row>
    <row r="107" spans="1:16" s="256" customFormat="1" x14ac:dyDescent="0.25">
      <c r="A107" s="219"/>
      <c r="B107" s="255"/>
      <c r="C107" s="255"/>
      <c r="D107" s="255"/>
      <c r="E107" s="255"/>
      <c r="F107" s="255"/>
      <c r="G107" s="255"/>
      <c r="H107" s="255"/>
      <c r="I107" s="255"/>
      <c r="J107" s="255"/>
      <c r="K107" s="255"/>
      <c r="L107" s="255"/>
      <c r="M107" s="255"/>
      <c r="N107" s="255"/>
      <c r="O107" s="203"/>
    </row>
    <row r="108" spans="1:16" x14ac:dyDescent="0.25">
      <c r="A108" s="318"/>
      <c r="B108" s="124"/>
      <c r="C108" s="124"/>
      <c r="D108" s="124"/>
      <c r="E108" s="124"/>
      <c r="F108" s="124"/>
      <c r="G108" s="124"/>
      <c r="H108" s="124"/>
      <c r="I108" s="124"/>
      <c r="J108" s="124"/>
      <c r="K108" s="124"/>
      <c r="L108" s="124"/>
      <c r="M108" s="124"/>
      <c r="N108" s="124"/>
      <c r="O108" s="319"/>
    </row>
    <row r="109" spans="1:16" x14ac:dyDescent="0.25">
      <c r="A109" s="318"/>
      <c r="B109" s="320" t="s">
        <v>374</v>
      </c>
      <c r="C109" s="320"/>
      <c r="D109" s="320"/>
      <c r="E109" s="320"/>
      <c r="F109" s="320"/>
      <c r="G109" s="320"/>
      <c r="H109" s="320"/>
      <c r="I109" s="320"/>
      <c r="J109" s="320"/>
      <c r="K109" s="320"/>
      <c r="L109" s="320"/>
      <c r="M109" s="321"/>
      <c r="N109" s="321"/>
      <c r="O109" s="322"/>
      <c r="P109" s="127"/>
    </row>
    <row r="110" spans="1:16" x14ac:dyDescent="0.25">
      <c r="A110" s="318"/>
      <c r="B110" s="323" t="s">
        <v>375</v>
      </c>
      <c r="C110" s="323"/>
      <c r="D110" s="323"/>
      <c r="E110" s="323"/>
      <c r="F110" s="323"/>
      <c r="G110" s="323"/>
      <c r="H110" s="323"/>
      <c r="I110" s="323"/>
      <c r="J110" s="323"/>
      <c r="K110" s="323"/>
      <c r="L110" s="323"/>
      <c r="M110" s="323"/>
      <c r="N110" s="323"/>
      <c r="O110" s="319"/>
    </row>
    <row r="111" spans="1:16" x14ac:dyDescent="0.25">
      <c r="A111" s="318"/>
      <c r="B111" s="323" t="s">
        <v>376</v>
      </c>
      <c r="C111" s="323"/>
      <c r="D111" s="323"/>
      <c r="E111" s="323"/>
      <c r="F111" s="323"/>
      <c r="G111" s="323"/>
      <c r="H111" s="323"/>
      <c r="I111" s="323"/>
      <c r="J111" s="323"/>
      <c r="K111" s="323"/>
      <c r="L111" s="323"/>
      <c r="M111" s="323"/>
      <c r="N111" s="323"/>
      <c r="O111" s="319"/>
    </row>
    <row r="112" spans="1:16" x14ac:dyDescent="0.25">
      <c r="A112" s="318"/>
      <c r="B112" s="323" t="s">
        <v>377</v>
      </c>
      <c r="C112" s="323"/>
      <c r="D112" s="323"/>
      <c r="E112" s="323"/>
      <c r="F112" s="323"/>
      <c r="G112" s="323"/>
      <c r="H112" s="323"/>
      <c r="I112" s="323"/>
      <c r="J112" s="323"/>
      <c r="K112" s="323"/>
      <c r="L112" s="323"/>
      <c r="M112" s="323"/>
      <c r="N112" s="323"/>
      <c r="O112" s="319"/>
    </row>
    <row r="113" spans="1:15" x14ac:dyDescent="0.25">
      <c r="A113" s="318"/>
      <c r="B113" s="323"/>
      <c r="C113" s="323"/>
      <c r="D113" s="323"/>
      <c r="E113" s="323"/>
      <c r="F113" s="323"/>
      <c r="G113" s="323"/>
      <c r="H113" s="323"/>
      <c r="I113" s="323"/>
      <c r="J113" s="323"/>
      <c r="K113" s="323"/>
      <c r="L113" s="323"/>
      <c r="M113" s="323"/>
      <c r="N113" s="323"/>
      <c r="O113" s="319"/>
    </row>
    <row r="114" spans="1:15" x14ac:dyDescent="0.25">
      <c r="A114" s="318"/>
      <c r="B114" s="323" t="s">
        <v>378</v>
      </c>
      <c r="C114" s="323"/>
      <c r="D114" s="323"/>
      <c r="E114" s="323"/>
      <c r="F114" s="323"/>
      <c r="G114" s="323"/>
      <c r="H114" s="323"/>
      <c r="I114" s="323"/>
      <c r="J114" s="323"/>
      <c r="K114" s="323"/>
      <c r="L114" s="323"/>
      <c r="M114" s="323"/>
      <c r="N114" s="323"/>
      <c r="O114" s="319"/>
    </row>
    <row r="115" spans="1:15" x14ac:dyDescent="0.25">
      <c r="A115" s="318"/>
      <c r="B115" s="323" t="s">
        <v>379</v>
      </c>
      <c r="C115" s="323"/>
      <c r="D115" s="323"/>
      <c r="E115" s="323"/>
      <c r="F115" s="323"/>
      <c r="G115" s="323"/>
      <c r="H115" s="323"/>
      <c r="I115" s="323"/>
      <c r="J115" s="323"/>
      <c r="K115" s="323"/>
      <c r="L115" s="323"/>
      <c r="M115" s="323"/>
      <c r="N115" s="323"/>
      <c r="O115" s="319"/>
    </row>
    <row r="116" spans="1:15" x14ac:dyDescent="0.25">
      <c r="A116" s="318"/>
      <c r="B116" s="323" t="s">
        <v>380</v>
      </c>
      <c r="C116" s="323"/>
      <c r="D116" s="323"/>
      <c r="E116" s="323"/>
      <c r="F116" s="323"/>
      <c r="G116" s="323"/>
      <c r="H116" s="323"/>
      <c r="I116" s="323"/>
      <c r="J116" s="323"/>
      <c r="K116" s="323"/>
      <c r="L116" s="323"/>
      <c r="M116" s="323"/>
      <c r="N116" s="323"/>
      <c r="O116" s="319"/>
    </row>
    <row r="117" spans="1:15" x14ac:dyDescent="0.25">
      <c r="A117" s="318"/>
      <c r="B117" s="124" t="s">
        <v>381</v>
      </c>
      <c r="C117" s="323"/>
      <c r="D117" s="323"/>
      <c r="E117" s="323"/>
      <c r="F117" s="323"/>
      <c r="G117" s="323"/>
      <c r="H117" s="323"/>
      <c r="I117" s="323"/>
      <c r="J117" s="323"/>
      <c r="K117" s="323"/>
      <c r="L117" s="323"/>
      <c r="M117" s="323"/>
      <c r="N117" s="323"/>
      <c r="O117" s="319"/>
    </row>
    <row r="118" spans="1:15" x14ac:dyDescent="0.25">
      <c r="A118" s="318"/>
      <c r="B118" s="124"/>
      <c r="C118" s="323"/>
      <c r="D118" s="323"/>
      <c r="E118" s="323"/>
      <c r="F118" s="323"/>
      <c r="G118" s="323"/>
      <c r="H118" s="323"/>
      <c r="I118" s="323"/>
      <c r="J118" s="323"/>
      <c r="K118" s="323"/>
      <c r="L118" s="323"/>
      <c r="M118" s="323"/>
      <c r="N118" s="323"/>
      <c r="O118" s="319"/>
    </row>
    <row r="119" spans="1:15" x14ac:dyDescent="0.25">
      <c r="A119" s="318"/>
      <c r="B119" s="323" t="s">
        <v>406</v>
      </c>
      <c r="C119" s="323"/>
      <c r="D119" s="323"/>
      <c r="E119" s="323"/>
      <c r="F119" s="323"/>
      <c r="G119" s="323"/>
      <c r="H119" s="323"/>
      <c r="I119" s="323"/>
      <c r="J119" s="323"/>
      <c r="K119" s="323"/>
      <c r="L119" s="323"/>
      <c r="M119" s="323"/>
      <c r="N119" s="323"/>
      <c r="O119" s="319"/>
    </row>
    <row r="120" spans="1:15" x14ac:dyDescent="0.25">
      <c r="A120" s="318"/>
      <c r="B120" s="323" t="s">
        <v>28</v>
      </c>
      <c r="C120" s="323"/>
      <c r="D120" s="323"/>
      <c r="E120" s="323"/>
      <c r="F120" s="323"/>
      <c r="G120" s="323"/>
      <c r="H120" s="323"/>
      <c r="I120" s="323"/>
      <c r="J120" s="323"/>
      <c r="K120" s="323"/>
      <c r="L120" s="323"/>
      <c r="M120" s="323"/>
      <c r="N120" s="323"/>
      <c r="O120" s="319"/>
    </row>
    <row r="121" spans="1:15" x14ac:dyDescent="0.25">
      <c r="A121" s="318"/>
      <c r="B121" s="323" t="s">
        <v>471</v>
      </c>
      <c r="C121" s="323"/>
      <c r="D121" s="323"/>
      <c r="E121" s="323"/>
      <c r="F121" s="323"/>
      <c r="G121" s="323"/>
      <c r="H121" s="323"/>
      <c r="I121" s="323"/>
      <c r="J121" s="323"/>
      <c r="K121" s="323"/>
      <c r="L121" s="323"/>
      <c r="M121" s="323"/>
      <c r="N121" s="323"/>
      <c r="O121" s="319"/>
    </row>
    <row r="122" spans="1:15" x14ac:dyDescent="0.25">
      <c r="A122" s="318"/>
      <c r="B122" s="323" t="s">
        <v>382</v>
      </c>
      <c r="C122" s="323"/>
      <c r="D122" s="323"/>
      <c r="E122" s="323"/>
      <c r="F122" s="323"/>
      <c r="G122" s="323"/>
      <c r="H122" s="323"/>
      <c r="I122" s="323"/>
      <c r="J122" s="323"/>
      <c r="K122" s="323"/>
      <c r="L122" s="323"/>
      <c r="M122" s="323"/>
      <c r="N122" s="323"/>
      <c r="O122" s="319"/>
    </row>
    <row r="123" spans="1:15" x14ac:dyDescent="0.25">
      <c r="A123" s="318"/>
      <c r="B123" s="323" t="s">
        <v>383</v>
      </c>
      <c r="C123" s="323"/>
      <c r="D123" s="323"/>
      <c r="E123" s="323"/>
      <c r="F123" s="323"/>
      <c r="G123" s="323"/>
      <c r="H123" s="323"/>
      <c r="I123" s="323"/>
      <c r="J123" s="323"/>
      <c r="K123" s="323"/>
      <c r="L123" s="323"/>
      <c r="M123" s="323"/>
      <c r="N123" s="323"/>
      <c r="O123" s="319"/>
    </row>
    <row r="124" spans="1:15" x14ac:dyDescent="0.25">
      <c r="A124" s="318"/>
      <c r="B124" s="323" t="s">
        <v>411</v>
      </c>
      <c r="C124" s="323"/>
      <c r="D124" s="323"/>
      <c r="E124" s="323"/>
      <c r="F124" s="323"/>
      <c r="G124" s="323"/>
      <c r="H124" s="323"/>
      <c r="I124" s="323"/>
      <c r="J124" s="323"/>
      <c r="K124" s="323"/>
      <c r="L124" s="323"/>
      <c r="M124" s="323"/>
      <c r="N124" s="323"/>
      <c r="O124" s="319"/>
    </row>
    <row r="125" spans="1:15" x14ac:dyDescent="0.25">
      <c r="A125" s="318"/>
      <c r="B125" s="323" t="s">
        <v>384</v>
      </c>
      <c r="C125" s="323"/>
      <c r="D125" s="323"/>
      <c r="E125" s="323"/>
      <c r="F125" s="323"/>
      <c r="G125" s="323"/>
      <c r="H125" s="323"/>
      <c r="I125" s="323"/>
      <c r="J125" s="323"/>
      <c r="K125" s="323"/>
      <c r="L125" s="323"/>
      <c r="M125" s="323"/>
      <c r="N125" s="323"/>
      <c r="O125" s="319"/>
    </row>
    <row r="126" spans="1:15" x14ac:dyDescent="0.25">
      <c r="A126" s="318"/>
      <c r="B126" s="323" t="s">
        <v>385</v>
      </c>
      <c r="C126" s="323"/>
      <c r="D126" s="323"/>
      <c r="E126" s="323"/>
      <c r="F126" s="323"/>
      <c r="G126" s="323"/>
      <c r="H126" s="323"/>
      <c r="I126" s="323"/>
      <c r="J126" s="323"/>
      <c r="K126" s="323"/>
      <c r="L126" s="323"/>
      <c r="M126" s="323"/>
      <c r="N126" s="323"/>
      <c r="O126" s="319"/>
    </row>
    <row r="127" spans="1:15" x14ac:dyDescent="0.25">
      <c r="A127" s="318"/>
      <c r="B127" s="323" t="s">
        <v>386</v>
      </c>
      <c r="C127" s="323"/>
      <c r="D127" s="323"/>
      <c r="E127" s="323"/>
      <c r="F127" s="323"/>
      <c r="G127" s="323"/>
      <c r="H127" s="323"/>
      <c r="I127" s="323"/>
      <c r="J127" s="323"/>
      <c r="K127" s="323"/>
      <c r="L127" s="323"/>
      <c r="M127" s="323"/>
      <c r="N127" s="323"/>
      <c r="O127" s="319"/>
    </row>
    <row r="128" spans="1:15" x14ac:dyDescent="0.25">
      <c r="A128" s="318"/>
      <c r="B128" s="323" t="s">
        <v>409</v>
      </c>
      <c r="C128" s="323"/>
      <c r="D128" s="323"/>
      <c r="E128" s="323"/>
      <c r="F128" s="323"/>
      <c r="G128" s="323"/>
      <c r="H128" s="323"/>
      <c r="I128" s="323"/>
      <c r="J128" s="323"/>
      <c r="K128" s="323"/>
      <c r="L128" s="323"/>
      <c r="M128" s="323"/>
      <c r="N128" s="323"/>
      <c r="O128" s="319"/>
    </row>
    <row r="129" spans="1:15" x14ac:dyDescent="0.25">
      <c r="A129" s="318"/>
      <c r="B129" s="323" t="s">
        <v>387</v>
      </c>
      <c r="C129" s="323"/>
      <c r="D129" s="323"/>
      <c r="E129" s="323"/>
      <c r="F129" s="323"/>
      <c r="G129" s="323"/>
      <c r="H129" s="323"/>
      <c r="I129" s="323"/>
      <c r="J129" s="323"/>
      <c r="K129" s="323"/>
      <c r="L129" s="323"/>
      <c r="M129" s="323"/>
      <c r="N129" s="323"/>
      <c r="O129" s="319"/>
    </row>
    <row r="130" spans="1:15" x14ac:dyDescent="0.25">
      <c r="A130" s="318"/>
      <c r="B130" s="323" t="s">
        <v>384</v>
      </c>
      <c r="C130" s="323"/>
      <c r="D130" s="323"/>
      <c r="E130" s="323"/>
      <c r="F130" s="323"/>
      <c r="G130" s="323"/>
      <c r="H130" s="323"/>
      <c r="I130" s="323"/>
      <c r="J130" s="323"/>
      <c r="K130" s="323"/>
      <c r="L130" s="323"/>
      <c r="M130" s="323"/>
      <c r="N130" s="323"/>
      <c r="O130" s="319"/>
    </row>
    <row r="131" spans="1:15" x14ac:dyDescent="0.25">
      <c r="A131" s="318"/>
      <c r="B131" s="323" t="s">
        <v>388</v>
      </c>
      <c r="C131" s="323"/>
      <c r="D131" s="323"/>
      <c r="E131" s="323"/>
      <c r="F131" s="323"/>
      <c r="G131" s="323"/>
      <c r="H131" s="323"/>
      <c r="I131" s="323"/>
      <c r="J131" s="323"/>
      <c r="K131" s="323"/>
      <c r="L131" s="323"/>
      <c r="M131" s="323"/>
      <c r="N131" s="323"/>
      <c r="O131" s="319"/>
    </row>
    <row r="132" spans="1:15" x14ac:dyDescent="0.25">
      <c r="A132" s="318"/>
      <c r="B132" s="323" t="s">
        <v>386</v>
      </c>
      <c r="C132" s="323"/>
      <c r="D132" s="323"/>
      <c r="E132" s="323"/>
      <c r="F132" s="323"/>
      <c r="G132" s="323"/>
      <c r="H132" s="323"/>
      <c r="I132" s="323"/>
      <c r="J132" s="323"/>
      <c r="K132" s="323"/>
      <c r="L132" s="323"/>
      <c r="M132" s="323"/>
      <c r="N132" s="323"/>
      <c r="O132" s="319"/>
    </row>
    <row r="133" spans="1:15" x14ac:dyDescent="0.25">
      <c r="A133" s="318"/>
      <c r="B133" s="323" t="s">
        <v>389</v>
      </c>
      <c r="C133" s="323"/>
      <c r="D133" s="323"/>
      <c r="E133" s="323"/>
      <c r="F133" s="323"/>
      <c r="G133" s="323"/>
      <c r="H133" s="323"/>
      <c r="I133" s="323"/>
      <c r="J133" s="323"/>
      <c r="K133" s="323"/>
      <c r="L133" s="323"/>
      <c r="M133" s="323"/>
      <c r="N133" s="323"/>
      <c r="O133" s="319"/>
    </row>
    <row r="134" spans="1:15" x14ac:dyDescent="0.25">
      <c r="A134" s="318"/>
      <c r="B134" s="323" t="s">
        <v>31</v>
      </c>
      <c r="C134" s="323"/>
      <c r="D134" s="323"/>
      <c r="E134" s="323"/>
      <c r="F134" s="323"/>
      <c r="G134" s="323"/>
      <c r="H134" s="323"/>
      <c r="I134" s="323"/>
      <c r="J134" s="323"/>
      <c r="K134" s="323"/>
      <c r="L134" s="323"/>
      <c r="M134" s="323"/>
      <c r="N134" s="323"/>
      <c r="O134" s="319"/>
    </row>
    <row r="135" spans="1:15" x14ac:dyDescent="0.25">
      <c r="A135" s="318"/>
      <c r="B135" s="323"/>
      <c r="C135" s="323"/>
      <c r="D135" s="323"/>
      <c r="E135" s="323"/>
      <c r="F135" s="323"/>
      <c r="G135" s="323"/>
      <c r="H135" s="323"/>
      <c r="I135" s="323"/>
      <c r="J135" s="323"/>
      <c r="K135" s="323"/>
      <c r="L135" s="323"/>
      <c r="M135" s="323"/>
      <c r="N135" s="323"/>
      <c r="O135" s="319"/>
    </row>
    <row r="136" spans="1:15" x14ac:dyDescent="0.25">
      <c r="A136" s="318"/>
      <c r="B136" s="323" t="s">
        <v>390</v>
      </c>
      <c r="C136" s="323"/>
      <c r="D136" s="323"/>
      <c r="E136" s="323"/>
      <c r="F136" s="323"/>
      <c r="G136" s="323"/>
      <c r="H136" s="323"/>
      <c r="I136" s="323"/>
      <c r="J136" s="323"/>
      <c r="K136" s="323"/>
      <c r="L136" s="323"/>
      <c r="M136" s="323"/>
      <c r="N136" s="323"/>
      <c r="O136" s="319"/>
    </row>
    <row r="137" spans="1:15" x14ac:dyDescent="0.25">
      <c r="A137" s="318"/>
      <c r="B137" s="323" t="s">
        <v>391</v>
      </c>
      <c r="C137" s="323"/>
      <c r="D137" s="323"/>
      <c r="E137" s="323"/>
      <c r="F137" s="323"/>
      <c r="G137" s="323"/>
      <c r="H137" s="323"/>
      <c r="I137" s="323"/>
      <c r="J137" s="323"/>
      <c r="K137" s="323"/>
      <c r="L137" s="323"/>
      <c r="M137" s="323"/>
      <c r="N137" s="323"/>
      <c r="O137" s="319"/>
    </row>
    <row r="138" spans="1:15" x14ac:dyDescent="0.25">
      <c r="A138" s="318"/>
      <c r="B138" s="323" t="s">
        <v>392</v>
      </c>
      <c r="C138" s="323"/>
      <c r="D138" s="323"/>
      <c r="E138" s="323"/>
      <c r="F138" s="323"/>
      <c r="G138" s="323"/>
      <c r="H138" s="323"/>
      <c r="I138" s="323"/>
      <c r="J138" s="323"/>
      <c r="K138" s="323"/>
      <c r="L138" s="323"/>
      <c r="M138" s="323"/>
      <c r="N138" s="323"/>
      <c r="O138" s="319"/>
    </row>
    <row r="139" spans="1:15" x14ac:dyDescent="0.25">
      <c r="A139" s="318"/>
      <c r="B139" s="323" t="s">
        <v>408</v>
      </c>
      <c r="C139" s="124"/>
      <c r="D139" s="124"/>
      <c r="E139" s="124"/>
      <c r="F139" s="124"/>
      <c r="G139" s="124"/>
      <c r="H139" s="124"/>
      <c r="I139" s="124"/>
      <c r="J139" s="124"/>
      <c r="K139" s="124"/>
      <c r="L139" s="124"/>
      <c r="M139" s="124"/>
      <c r="N139" s="124"/>
      <c r="O139" s="319"/>
    </row>
    <row r="140" spans="1:15" ht="13.8" thickBot="1" x14ac:dyDescent="0.3">
      <c r="A140" s="324"/>
      <c r="B140" s="325"/>
      <c r="C140" s="325"/>
      <c r="D140" s="325"/>
      <c r="E140" s="325"/>
      <c r="F140" s="325"/>
      <c r="G140" s="325"/>
      <c r="H140" s="325"/>
      <c r="I140" s="325"/>
      <c r="J140" s="325"/>
      <c r="K140" s="325"/>
      <c r="L140" s="325"/>
      <c r="M140" s="325"/>
      <c r="N140" s="325"/>
      <c r="O140" s="326"/>
    </row>
    <row r="141" spans="1:15" ht="13.8" thickTop="1" x14ac:dyDescent="0.25"/>
    <row r="142" spans="1:15" x14ac:dyDescent="0.25"/>
    <row r="143" spans="1:15" x14ac:dyDescent="0.25"/>
    <row r="144" spans="1:15" s="256" customFormat="1" ht="16.2" thickBot="1" x14ac:dyDescent="0.35">
      <c r="A144" s="45" t="s">
        <v>116</v>
      </c>
      <c r="D144" s="273" t="s">
        <v>236</v>
      </c>
    </row>
    <row r="145" spans="1:16" s="256" customFormat="1" ht="13.8" thickTop="1" x14ac:dyDescent="0.25">
      <c r="A145" s="227"/>
      <c r="B145" s="228"/>
      <c r="C145" s="228"/>
      <c r="D145" s="228"/>
      <c r="E145" s="228"/>
      <c r="F145" s="228"/>
      <c r="G145" s="228"/>
      <c r="H145" s="228"/>
      <c r="I145" s="228"/>
      <c r="J145" s="228"/>
      <c r="K145" s="228"/>
      <c r="L145" s="228"/>
      <c r="M145" s="228"/>
      <c r="N145" s="228"/>
      <c r="O145" s="327"/>
    </row>
    <row r="146" spans="1:16" s="256" customFormat="1" x14ac:dyDescent="0.25">
      <c r="A146" s="33" t="s">
        <v>405</v>
      </c>
      <c r="B146" s="34"/>
      <c r="C146" s="34"/>
      <c r="D146" s="34"/>
      <c r="E146" s="34"/>
      <c r="F146" s="34"/>
      <c r="G146" s="34"/>
      <c r="H146" s="34"/>
      <c r="I146" s="34"/>
      <c r="J146" s="34"/>
      <c r="K146" s="34"/>
      <c r="L146" s="34"/>
      <c r="M146" s="34"/>
      <c r="N146" s="34"/>
      <c r="O146" s="103"/>
    </row>
    <row r="147" spans="1:16" s="256" customFormat="1" x14ac:dyDescent="0.25">
      <c r="A147" s="33" t="s">
        <v>140</v>
      </c>
      <c r="B147" s="34"/>
      <c r="C147" s="34"/>
      <c r="D147" s="34"/>
      <c r="E147" s="34"/>
      <c r="F147" s="34"/>
      <c r="G147" s="34"/>
      <c r="H147" s="34"/>
      <c r="I147" s="34"/>
      <c r="J147" s="34"/>
      <c r="K147" s="34"/>
      <c r="L147" s="34"/>
      <c r="M147" s="34"/>
      <c r="N147" s="34"/>
      <c r="O147" s="103"/>
    </row>
    <row r="148" spans="1:16" s="256" customFormat="1" x14ac:dyDescent="0.25">
      <c r="A148" s="219"/>
      <c r="B148" s="255"/>
      <c r="C148" s="255"/>
      <c r="D148" s="255"/>
      <c r="E148" s="255"/>
      <c r="F148" s="255"/>
      <c r="G148" s="255"/>
      <c r="H148" s="255"/>
      <c r="I148" s="255"/>
      <c r="J148" s="255"/>
      <c r="K148" s="255"/>
      <c r="L148" s="255"/>
      <c r="M148" s="255"/>
      <c r="N148" s="255"/>
      <c r="O148" s="203"/>
    </row>
    <row r="149" spans="1:16" x14ac:dyDescent="0.25">
      <c r="A149" s="318"/>
      <c r="B149" s="124"/>
      <c r="C149" s="124"/>
      <c r="D149" s="124"/>
      <c r="E149" s="124"/>
      <c r="F149" s="124"/>
      <c r="G149" s="124"/>
      <c r="H149" s="124"/>
      <c r="I149" s="124"/>
      <c r="J149" s="124"/>
      <c r="K149" s="124"/>
      <c r="L149" s="124"/>
      <c r="M149" s="124"/>
      <c r="N149" s="124"/>
      <c r="O149" s="319"/>
    </row>
    <row r="150" spans="1:16" x14ac:dyDescent="0.25">
      <c r="A150" s="318"/>
      <c r="B150" s="320" t="s">
        <v>393</v>
      </c>
      <c r="C150" s="320"/>
      <c r="D150" s="320"/>
      <c r="E150" s="320"/>
      <c r="F150" s="320"/>
      <c r="G150" s="320"/>
      <c r="H150" s="320"/>
      <c r="I150" s="320"/>
      <c r="J150" s="320"/>
      <c r="K150" s="320"/>
      <c r="L150" s="320"/>
      <c r="M150" s="320"/>
      <c r="N150" s="320"/>
      <c r="O150" s="322"/>
      <c r="P150" s="127"/>
    </row>
    <row r="151" spans="1:16" x14ac:dyDescent="0.25">
      <c r="A151" s="318"/>
      <c r="B151" s="323" t="s">
        <v>375</v>
      </c>
      <c r="C151" s="323"/>
      <c r="D151" s="323"/>
      <c r="E151" s="323"/>
      <c r="F151" s="323"/>
      <c r="G151" s="323"/>
      <c r="H151" s="323"/>
      <c r="I151" s="323"/>
      <c r="J151" s="323"/>
      <c r="K151" s="323"/>
      <c r="L151" s="323"/>
      <c r="M151" s="323"/>
      <c r="N151" s="323"/>
      <c r="O151" s="319"/>
    </row>
    <row r="152" spans="1:16" x14ac:dyDescent="0.25">
      <c r="A152" s="318"/>
      <c r="B152" s="323" t="s">
        <v>376</v>
      </c>
      <c r="C152" s="323"/>
      <c r="D152" s="323"/>
      <c r="E152" s="323"/>
      <c r="F152" s="323"/>
      <c r="G152" s="323"/>
      <c r="H152" s="323"/>
      <c r="I152" s="323"/>
      <c r="J152" s="323"/>
      <c r="K152" s="323"/>
      <c r="L152" s="323"/>
      <c r="M152" s="323"/>
      <c r="N152" s="323"/>
      <c r="O152" s="319"/>
    </row>
    <row r="153" spans="1:16" x14ac:dyDescent="0.25">
      <c r="A153" s="318"/>
      <c r="B153" s="323" t="s">
        <v>377</v>
      </c>
      <c r="C153" s="323"/>
      <c r="D153" s="323"/>
      <c r="E153" s="323"/>
      <c r="F153" s="323"/>
      <c r="G153" s="323"/>
      <c r="H153" s="323"/>
      <c r="I153" s="323"/>
      <c r="J153" s="323"/>
      <c r="K153" s="323"/>
      <c r="L153" s="323"/>
      <c r="M153" s="323"/>
      <c r="N153" s="323"/>
      <c r="O153" s="319"/>
    </row>
    <row r="154" spans="1:16" x14ac:dyDescent="0.25">
      <c r="A154" s="318"/>
      <c r="B154" s="323"/>
      <c r="C154" s="323"/>
      <c r="D154" s="323"/>
      <c r="E154" s="323"/>
      <c r="F154" s="323"/>
      <c r="G154" s="323"/>
      <c r="H154" s="323"/>
      <c r="I154" s="323"/>
      <c r="J154" s="323"/>
      <c r="K154" s="323"/>
      <c r="L154" s="323"/>
      <c r="M154" s="323"/>
      <c r="N154" s="323"/>
      <c r="O154" s="319"/>
    </row>
    <row r="155" spans="1:16" x14ac:dyDescent="0.25">
      <c r="A155" s="318"/>
      <c r="B155" s="323" t="s">
        <v>378</v>
      </c>
      <c r="C155" s="323"/>
      <c r="D155" s="323"/>
      <c r="E155" s="323"/>
      <c r="F155" s="323"/>
      <c r="G155" s="323"/>
      <c r="H155" s="323"/>
      <c r="I155" s="323"/>
      <c r="J155" s="323"/>
      <c r="K155" s="323"/>
      <c r="L155" s="323"/>
      <c r="M155" s="323"/>
      <c r="N155" s="323"/>
      <c r="O155" s="319"/>
    </row>
    <row r="156" spans="1:16" x14ac:dyDescent="0.25">
      <c r="A156" s="318"/>
      <c r="B156" s="323" t="s">
        <v>379</v>
      </c>
      <c r="C156" s="323"/>
      <c r="D156" s="323"/>
      <c r="E156" s="323"/>
      <c r="F156" s="323"/>
      <c r="G156" s="323"/>
      <c r="H156" s="323"/>
      <c r="I156" s="323"/>
      <c r="J156" s="323"/>
      <c r="K156" s="323"/>
      <c r="L156" s="323"/>
      <c r="M156" s="323"/>
      <c r="N156" s="323"/>
      <c r="O156" s="319"/>
    </row>
    <row r="157" spans="1:16" x14ac:dyDescent="0.25">
      <c r="A157" s="318"/>
      <c r="B157" s="323" t="s">
        <v>394</v>
      </c>
      <c r="C157" s="323"/>
      <c r="D157" s="323"/>
      <c r="E157" s="323"/>
      <c r="F157" s="323"/>
      <c r="G157" s="323"/>
      <c r="H157" s="323"/>
      <c r="I157" s="323"/>
      <c r="J157" s="323"/>
      <c r="K157" s="323"/>
      <c r="L157" s="323"/>
      <c r="M157" s="323"/>
      <c r="N157" s="323"/>
      <c r="O157" s="319"/>
    </row>
    <row r="158" spans="1:16" x14ac:dyDescent="0.25">
      <c r="A158" s="318"/>
      <c r="B158" s="323" t="s">
        <v>381</v>
      </c>
      <c r="C158" s="323"/>
      <c r="D158" s="323"/>
      <c r="E158" s="323"/>
      <c r="F158" s="323"/>
      <c r="G158" s="323"/>
      <c r="H158" s="323"/>
      <c r="I158" s="323"/>
      <c r="J158" s="323"/>
      <c r="K158" s="323"/>
      <c r="L158" s="323"/>
      <c r="M158" s="323"/>
      <c r="N158" s="323"/>
      <c r="O158" s="319"/>
    </row>
    <row r="159" spans="1:16" x14ac:dyDescent="0.25">
      <c r="A159" s="318"/>
      <c r="B159" s="323" t="s">
        <v>395</v>
      </c>
      <c r="C159" s="323"/>
      <c r="D159" s="323"/>
      <c r="E159" s="323"/>
      <c r="F159" s="323"/>
      <c r="G159" s="323"/>
      <c r="H159" s="323"/>
      <c r="I159" s="323"/>
      <c r="J159" s="323"/>
      <c r="K159" s="323"/>
      <c r="L159" s="323"/>
      <c r="M159" s="323"/>
      <c r="N159" s="323"/>
      <c r="O159" s="319"/>
    </row>
    <row r="160" spans="1:16" x14ac:dyDescent="0.25">
      <c r="A160" s="318"/>
      <c r="B160" s="323"/>
      <c r="C160" s="323"/>
      <c r="D160" s="323"/>
      <c r="E160" s="323"/>
      <c r="F160" s="323"/>
      <c r="G160" s="323"/>
      <c r="H160" s="323"/>
      <c r="I160" s="323"/>
      <c r="J160" s="323"/>
      <c r="K160" s="323"/>
      <c r="L160" s="323"/>
      <c r="M160" s="323"/>
      <c r="N160" s="323"/>
      <c r="O160" s="319"/>
    </row>
    <row r="161" spans="1:15" x14ac:dyDescent="0.25">
      <c r="A161" s="318"/>
      <c r="B161" s="124"/>
      <c r="C161" s="323"/>
      <c r="D161" s="323"/>
      <c r="E161" s="323"/>
      <c r="F161" s="323"/>
      <c r="G161" s="323"/>
      <c r="H161" s="323"/>
      <c r="I161" s="323"/>
      <c r="J161" s="323"/>
      <c r="K161" s="323"/>
      <c r="L161" s="323"/>
      <c r="M161" s="323"/>
      <c r="N161" s="323"/>
      <c r="O161" s="319"/>
    </row>
    <row r="162" spans="1:15" x14ac:dyDescent="0.25">
      <c r="A162" s="318"/>
      <c r="B162" s="323" t="s">
        <v>406</v>
      </c>
      <c r="C162" s="323"/>
      <c r="D162" s="323"/>
      <c r="E162" s="323"/>
      <c r="F162" s="323"/>
      <c r="G162" s="323"/>
      <c r="H162" s="323"/>
      <c r="I162" s="323"/>
      <c r="J162" s="323"/>
      <c r="K162" s="323"/>
      <c r="L162" s="323"/>
      <c r="M162" s="323"/>
      <c r="N162" s="323"/>
      <c r="O162" s="319"/>
    </row>
    <row r="163" spans="1:15" x14ac:dyDescent="0.25">
      <c r="A163" s="318"/>
      <c r="B163" s="323" t="s">
        <v>28</v>
      </c>
      <c r="C163" s="323"/>
      <c r="D163" s="323"/>
      <c r="E163" s="323"/>
      <c r="F163" s="323"/>
      <c r="G163" s="323"/>
      <c r="H163" s="323"/>
      <c r="I163" s="323"/>
      <c r="J163" s="323"/>
      <c r="K163" s="323"/>
      <c r="L163" s="323"/>
      <c r="M163" s="323"/>
      <c r="N163" s="323"/>
      <c r="O163" s="319"/>
    </row>
    <row r="164" spans="1:15" x14ac:dyDescent="0.25">
      <c r="A164" s="318"/>
      <c r="B164" s="323" t="s">
        <v>471</v>
      </c>
      <c r="C164" s="323"/>
      <c r="D164" s="323"/>
      <c r="E164" s="323"/>
      <c r="F164" s="323"/>
      <c r="G164" s="323"/>
      <c r="H164" s="323"/>
      <c r="I164" s="323"/>
      <c r="J164" s="323"/>
      <c r="K164" s="323"/>
      <c r="L164" s="323"/>
      <c r="M164" s="323"/>
      <c r="N164" s="323"/>
      <c r="O164" s="319"/>
    </row>
    <row r="165" spans="1:15" x14ac:dyDescent="0.25">
      <c r="A165" s="318"/>
      <c r="B165" s="323" t="s">
        <v>382</v>
      </c>
      <c r="C165" s="323"/>
      <c r="D165" s="323"/>
      <c r="E165" s="323"/>
      <c r="F165" s="323"/>
      <c r="G165" s="323"/>
      <c r="H165" s="323"/>
      <c r="I165" s="323"/>
      <c r="J165" s="323"/>
      <c r="K165" s="323"/>
      <c r="L165" s="323"/>
      <c r="M165" s="323"/>
      <c r="N165" s="323"/>
      <c r="O165" s="319"/>
    </row>
    <row r="166" spans="1:15" x14ac:dyDescent="0.25">
      <c r="A166" s="318"/>
      <c r="B166" s="323" t="s">
        <v>396</v>
      </c>
      <c r="C166" s="323"/>
      <c r="D166" s="323"/>
      <c r="E166" s="323"/>
      <c r="F166" s="323"/>
      <c r="G166" s="323"/>
      <c r="H166" s="323"/>
      <c r="I166" s="323"/>
      <c r="J166" s="323"/>
      <c r="K166" s="323"/>
      <c r="L166" s="323"/>
      <c r="M166" s="323"/>
      <c r="N166" s="323"/>
      <c r="O166" s="319"/>
    </row>
    <row r="167" spans="1:15" x14ac:dyDescent="0.25">
      <c r="A167" s="318"/>
      <c r="B167" s="323" t="s">
        <v>397</v>
      </c>
      <c r="C167" s="323"/>
      <c r="D167" s="323"/>
      <c r="E167" s="323"/>
      <c r="F167" s="323"/>
      <c r="G167" s="323"/>
      <c r="H167" s="323"/>
      <c r="I167" s="323"/>
      <c r="J167" s="323"/>
      <c r="K167" s="323"/>
      <c r="L167" s="323"/>
      <c r="M167" s="323"/>
      <c r="N167" s="323"/>
      <c r="O167" s="319"/>
    </row>
    <row r="168" spans="1:15" x14ac:dyDescent="0.25">
      <c r="A168" s="318"/>
      <c r="B168" s="323" t="s">
        <v>680</v>
      </c>
      <c r="C168" s="323"/>
      <c r="D168" s="323"/>
      <c r="E168" s="323"/>
      <c r="F168" s="323"/>
      <c r="G168" s="323"/>
      <c r="H168" s="323"/>
      <c r="I168" s="323"/>
      <c r="J168" s="323"/>
      <c r="K168" s="323"/>
      <c r="L168" s="323"/>
      <c r="M168" s="323"/>
      <c r="N168" s="323"/>
      <c r="O168" s="319"/>
    </row>
    <row r="169" spans="1:15" x14ac:dyDescent="0.25">
      <c r="A169" s="318"/>
      <c r="B169" s="323" t="s">
        <v>407</v>
      </c>
      <c r="C169" s="124"/>
      <c r="D169" s="124"/>
      <c r="E169" s="124"/>
      <c r="F169" s="124"/>
      <c r="G169" s="124"/>
      <c r="H169" s="124"/>
      <c r="I169" s="124"/>
      <c r="J169" s="323"/>
      <c r="K169" s="323"/>
      <c r="L169" s="323"/>
      <c r="M169" s="323"/>
      <c r="N169" s="323"/>
      <c r="O169" s="319"/>
    </row>
    <row r="170" spans="1:15" x14ac:dyDescent="0.25">
      <c r="A170" s="318"/>
      <c r="B170" s="323"/>
      <c r="C170" s="124" t="s">
        <v>398</v>
      </c>
      <c r="D170" s="124"/>
      <c r="E170" s="124"/>
      <c r="F170" s="124"/>
      <c r="G170" s="124"/>
      <c r="H170" s="124"/>
      <c r="I170" s="124"/>
      <c r="J170" s="323"/>
      <c r="K170" s="323"/>
      <c r="L170" s="323"/>
      <c r="M170" s="323"/>
      <c r="N170" s="323"/>
      <c r="O170" s="319"/>
    </row>
    <row r="171" spans="1:15" x14ac:dyDescent="0.25">
      <c r="A171" s="318"/>
      <c r="B171" s="124"/>
      <c r="C171" s="323" t="s">
        <v>412</v>
      </c>
      <c r="D171" s="323"/>
      <c r="E171" s="323"/>
      <c r="F171" s="323"/>
      <c r="G171" s="323"/>
      <c r="H171" s="323"/>
      <c r="I171" s="323"/>
      <c r="J171" s="323"/>
      <c r="K171" s="323"/>
      <c r="L171" s="323"/>
      <c r="M171" s="323"/>
      <c r="N171" s="323"/>
      <c r="O171" s="319"/>
    </row>
    <row r="172" spans="1:15" x14ac:dyDescent="0.25">
      <c r="A172" s="318"/>
      <c r="B172" s="124"/>
      <c r="C172" s="323" t="s">
        <v>384</v>
      </c>
      <c r="D172" s="323"/>
      <c r="E172" s="323"/>
      <c r="F172" s="323"/>
      <c r="G172" s="323"/>
      <c r="H172" s="323"/>
      <c r="I172" s="323"/>
      <c r="J172" s="323"/>
      <c r="K172" s="323"/>
      <c r="L172" s="323"/>
      <c r="M172" s="323"/>
      <c r="N172" s="323"/>
      <c r="O172" s="319"/>
    </row>
    <row r="173" spans="1:15" x14ac:dyDescent="0.25">
      <c r="A173" s="318"/>
      <c r="B173" s="124"/>
      <c r="C173" s="323" t="s">
        <v>399</v>
      </c>
      <c r="D173" s="323"/>
      <c r="E173" s="323"/>
      <c r="F173" s="323"/>
      <c r="G173" s="323"/>
      <c r="H173" s="323"/>
      <c r="I173" s="323"/>
      <c r="J173" s="323"/>
      <c r="K173" s="323"/>
      <c r="L173" s="323"/>
      <c r="M173" s="323"/>
      <c r="N173" s="323"/>
      <c r="O173" s="319"/>
    </row>
    <row r="174" spans="1:15" x14ac:dyDescent="0.25">
      <c r="A174" s="318"/>
      <c r="B174" s="124"/>
      <c r="C174" s="323" t="s">
        <v>386</v>
      </c>
      <c r="D174" s="323"/>
      <c r="E174" s="323"/>
      <c r="F174" s="323"/>
      <c r="G174" s="323"/>
      <c r="H174" s="323"/>
      <c r="I174" s="323"/>
      <c r="J174" s="323"/>
      <c r="K174" s="323"/>
      <c r="L174" s="323"/>
      <c r="M174" s="323"/>
      <c r="N174" s="323"/>
      <c r="O174" s="319"/>
    </row>
    <row r="175" spans="1:15" x14ac:dyDescent="0.25">
      <c r="A175" s="318"/>
      <c r="B175" s="124"/>
      <c r="C175" s="323" t="s">
        <v>410</v>
      </c>
      <c r="D175" s="323"/>
      <c r="E175" s="323"/>
      <c r="F175" s="323"/>
      <c r="G175" s="323"/>
      <c r="H175" s="323"/>
      <c r="I175" s="323"/>
      <c r="J175" s="323"/>
      <c r="K175" s="323"/>
      <c r="L175" s="323"/>
      <c r="M175" s="323"/>
      <c r="N175" s="323"/>
      <c r="O175" s="319"/>
    </row>
    <row r="176" spans="1:15" x14ac:dyDescent="0.25">
      <c r="A176" s="318"/>
      <c r="B176" s="124" t="s">
        <v>413</v>
      </c>
      <c r="C176" s="124"/>
      <c r="D176" s="323"/>
      <c r="E176" s="323"/>
      <c r="F176" s="323"/>
      <c r="G176" s="323"/>
      <c r="H176" s="323"/>
      <c r="I176" s="323"/>
      <c r="J176" s="323"/>
      <c r="K176" s="323"/>
      <c r="L176" s="323"/>
      <c r="M176" s="323"/>
      <c r="N176" s="323"/>
      <c r="O176" s="319"/>
    </row>
    <row r="177" spans="1:15" x14ac:dyDescent="0.25">
      <c r="A177" s="318"/>
      <c r="B177" s="124"/>
      <c r="C177" s="323" t="s">
        <v>400</v>
      </c>
      <c r="D177" s="323"/>
      <c r="E177" s="323"/>
      <c r="F177" s="323"/>
      <c r="G177" s="323"/>
      <c r="H177" s="323"/>
      <c r="I177" s="323"/>
      <c r="J177" s="323"/>
      <c r="K177" s="323"/>
      <c r="L177" s="323"/>
      <c r="M177" s="323"/>
      <c r="N177" s="323"/>
      <c r="O177" s="319"/>
    </row>
    <row r="178" spans="1:15" x14ac:dyDescent="0.25">
      <c r="A178" s="318"/>
      <c r="B178" s="124"/>
      <c r="C178" s="323" t="s">
        <v>384</v>
      </c>
      <c r="D178" s="323"/>
      <c r="E178" s="323"/>
      <c r="F178" s="323"/>
      <c r="G178" s="323"/>
      <c r="H178" s="323"/>
      <c r="I178" s="323"/>
      <c r="J178" s="323"/>
      <c r="K178" s="323"/>
      <c r="L178" s="323"/>
      <c r="M178" s="323"/>
      <c r="N178" s="323"/>
      <c r="O178" s="319"/>
    </row>
    <row r="179" spans="1:15" x14ac:dyDescent="0.25">
      <c r="A179" s="318"/>
      <c r="B179" s="124"/>
      <c r="C179" s="323" t="s">
        <v>401</v>
      </c>
      <c r="D179" s="323"/>
      <c r="E179" s="323"/>
      <c r="F179" s="323"/>
      <c r="G179" s="323"/>
      <c r="H179" s="323"/>
      <c r="I179" s="323"/>
      <c r="J179" s="323"/>
      <c r="K179" s="323"/>
      <c r="L179" s="323"/>
      <c r="M179" s="323"/>
      <c r="N179" s="323"/>
      <c r="O179" s="319"/>
    </row>
    <row r="180" spans="1:15" x14ac:dyDescent="0.25">
      <c r="A180" s="318"/>
      <c r="B180" s="124"/>
      <c r="C180" s="323" t="s">
        <v>386</v>
      </c>
      <c r="D180" s="323"/>
      <c r="E180" s="323"/>
      <c r="F180" s="323"/>
      <c r="G180" s="323"/>
      <c r="H180" s="323"/>
      <c r="I180" s="323"/>
      <c r="J180" s="323"/>
      <c r="K180" s="323"/>
      <c r="L180" s="323"/>
      <c r="M180" s="323"/>
      <c r="N180" s="323"/>
      <c r="O180" s="319"/>
    </row>
    <row r="181" spans="1:15" x14ac:dyDescent="0.25">
      <c r="A181" s="318"/>
      <c r="B181" s="124"/>
      <c r="C181" s="323" t="s">
        <v>402</v>
      </c>
      <c r="D181" s="323"/>
      <c r="E181" s="323"/>
      <c r="F181" s="323"/>
      <c r="G181" s="323"/>
      <c r="H181" s="323"/>
      <c r="I181" s="323"/>
      <c r="J181" s="323"/>
      <c r="K181" s="323"/>
      <c r="L181" s="323"/>
      <c r="M181" s="323"/>
      <c r="N181" s="323"/>
      <c r="O181" s="319"/>
    </row>
    <row r="182" spans="1:15" x14ac:dyDescent="0.25">
      <c r="A182" s="318"/>
      <c r="B182" s="323" t="s">
        <v>31</v>
      </c>
      <c r="C182" s="323"/>
      <c r="D182" s="323"/>
      <c r="E182" s="323"/>
      <c r="F182" s="323"/>
      <c r="G182" s="323"/>
      <c r="H182" s="323"/>
      <c r="I182" s="323"/>
      <c r="J182" s="323"/>
      <c r="K182" s="323"/>
      <c r="L182" s="323"/>
      <c r="M182" s="323"/>
      <c r="N182" s="323"/>
      <c r="O182" s="319"/>
    </row>
    <row r="183" spans="1:15" x14ac:dyDescent="0.25">
      <c r="A183" s="318"/>
      <c r="B183" s="323"/>
      <c r="C183" s="323"/>
      <c r="D183" s="323"/>
      <c r="E183" s="323"/>
      <c r="F183" s="323"/>
      <c r="G183" s="323"/>
      <c r="H183" s="323"/>
      <c r="I183" s="323"/>
      <c r="J183" s="323"/>
      <c r="K183" s="323"/>
      <c r="L183" s="323"/>
      <c r="M183" s="323"/>
      <c r="N183" s="323"/>
      <c r="O183" s="319"/>
    </row>
    <row r="184" spans="1:15" x14ac:dyDescent="0.25">
      <c r="A184" s="318"/>
      <c r="B184" s="323" t="s">
        <v>403</v>
      </c>
      <c r="C184" s="323"/>
      <c r="D184" s="323"/>
      <c r="E184" s="323"/>
      <c r="F184" s="323"/>
      <c r="G184" s="323"/>
      <c r="H184" s="323"/>
      <c r="I184" s="323"/>
      <c r="J184" s="323"/>
      <c r="K184" s="323"/>
      <c r="L184" s="323"/>
      <c r="M184" s="323"/>
      <c r="N184" s="323"/>
      <c r="O184" s="319"/>
    </row>
    <row r="185" spans="1:15" x14ac:dyDescent="0.25">
      <c r="A185" s="318"/>
      <c r="B185" s="323" t="s">
        <v>392</v>
      </c>
      <c r="C185" s="323"/>
      <c r="D185" s="323"/>
      <c r="E185" s="323"/>
      <c r="F185" s="323"/>
      <c r="G185" s="323"/>
      <c r="H185" s="323"/>
      <c r="I185" s="323"/>
      <c r="J185" s="323"/>
      <c r="K185" s="323"/>
      <c r="L185" s="323"/>
      <c r="M185" s="323"/>
      <c r="N185" s="323"/>
      <c r="O185" s="319"/>
    </row>
    <row r="186" spans="1:15" x14ac:dyDescent="0.25">
      <c r="A186" s="318"/>
      <c r="B186" s="323" t="s">
        <v>408</v>
      </c>
      <c r="C186" s="124"/>
      <c r="D186" s="124"/>
      <c r="E186" s="124"/>
      <c r="F186" s="124"/>
      <c r="G186" s="124"/>
      <c r="H186" s="124"/>
      <c r="I186" s="124"/>
      <c r="J186" s="124"/>
      <c r="K186" s="124"/>
      <c r="L186" s="124"/>
      <c r="M186" s="124"/>
      <c r="N186" s="124"/>
      <c r="O186" s="319"/>
    </row>
    <row r="187" spans="1:15" ht="13.8" thickBot="1" x14ac:dyDescent="0.3">
      <c r="A187" s="324"/>
      <c r="B187" s="325"/>
      <c r="C187" s="325"/>
      <c r="D187" s="325"/>
      <c r="E187" s="325"/>
      <c r="F187" s="325"/>
      <c r="G187" s="325"/>
      <c r="H187" s="325"/>
      <c r="I187" s="325"/>
      <c r="J187" s="325"/>
      <c r="K187" s="325"/>
      <c r="L187" s="325"/>
      <c r="M187" s="325"/>
      <c r="N187" s="325"/>
      <c r="O187" s="326"/>
    </row>
    <row r="188" spans="1:15" ht="13.8" thickTop="1" x14ac:dyDescent="0.25"/>
    <row r="189" spans="1:15" x14ac:dyDescent="0.25"/>
    <row r="190" spans="1:15" x14ac:dyDescent="0.25"/>
    <row r="191" spans="1:15" x14ac:dyDescent="0.25"/>
    <row r="192" spans="1:15" x14ac:dyDescent="0.25"/>
    <row r="193" x14ac:dyDescent="0.25"/>
    <row r="194" x14ac:dyDescent="0.25"/>
  </sheetData>
  <sheetProtection algorithmName="SHA-512" hashValue="8UqvPKTv0JzpQpfMXvZmS60a66oJWizWhO17xbNiq00gZg7LJ9V17gYJEytKJBIB7h6Dgu5Goej8IcFl6YHhgQ==" saltValue="SIvP2YCHlIBJZ32vLDkUsA==" spinCount="100000" sheet="1" objects="1" scenarios="1"/>
  <mergeCells count="3">
    <mergeCell ref="A1:U3"/>
    <mergeCell ref="A4:Y4"/>
    <mergeCell ref="A5:B5"/>
  </mergeCells>
  <hyperlinks>
    <hyperlink ref="A5" location="Main!K48" display="Return to Menu" xr:uid="{00000000-0004-0000-0B00-000000000000}"/>
    <hyperlink ref="A8" location="Averaging!A140" display="Example Code" xr:uid="{00000000-0004-0000-0B00-000001000000}"/>
    <hyperlink ref="A5:B5" location="Main!K50" display="Return to Menu" xr:uid="{00000000-0004-0000-0B00-000002000000}"/>
  </hyperlinks>
  <pageMargins left="0.7" right="0.7" top="0.75" bottom="0.75" header="0.3" footer="0.3"/>
  <pageSetup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D55CA-1115-4B4E-977E-3184AFE167B7}">
  <sheetPr codeName="Sheet13"/>
  <dimension ref="A1:AJ436"/>
  <sheetViews>
    <sheetView showGridLines="0" tabSelected="1" zoomScale="80" zoomScaleNormal="80" workbookViewId="0">
      <selection activeCell="C6" sqref="C6"/>
    </sheetView>
  </sheetViews>
  <sheetFormatPr defaultColWidth="0" defaultRowHeight="0" customHeight="1" zeroHeight="1" x14ac:dyDescent="0.25"/>
  <cols>
    <col min="1" max="1" width="26.5546875" style="388" customWidth="1"/>
    <col min="2" max="2" width="18.6640625" style="388" customWidth="1"/>
    <col min="3" max="3" width="21.44140625" style="388" customWidth="1"/>
    <col min="4" max="4" width="17.5546875" style="388" customWidth="1"/>
    <col min="5" max="5" width="20.44140625" style="388" customWidth="1"/>
    <col min="6" max="6" width="25.33203125" style="388" customWidth="1"/>
    <col min="7" max="7" width="18.109375" style="388" customWidth="1"/>
    <col min="8" max="9" width="12.6640625" style="388" customWidth="1"/>
    <col min="10" max="10" width="19" style="388" customWidth="1"/>
    <col min="11" max="11" width="12.6640625" style="388" customWidth="1"/>
    <col min="12" max="18" width="10.6640625" style="388" customWidth="1"/>
    <col min="19" max="19" width="10.6640625" style="253" customWidth="1"/>
    <col min="20" max="25" width="10.6640625" style="253" hidden="1" customWidth="1"/>
    <col min="26" max="36" width="0" style="253" hidden="1" customWidth="1"/>
    <col min="37" max="16384" width="9.109375" style="253" hidden="1"/>
  </cols>
  <sheetData>
    <row r="1" spans="1:36" s="199" customFormat="1" ht="13.2" x14ac:dyDescent="0.25">
      <c r="A1" s="774"/>
      <c r="B1" s="774"/>
      <c r="C1" s="774"/>
      <c r="D1" s="774"/>
      <c r="E1" s="774"/>
      <c r="F1" s="774"/>
      <c r="G1" s="774"/>
      <c r="H1" s="774"/>
      <c r="I1" s="774"/>
      <c r="J1" s="774"/>
      <c r="K1" s="774"/>
      <c r="L1" s="774"/>
      <c r="M1" s="774"/>
      <c r="N1" s="774"/>
      <c r="O1" s="774"/>
      <c r="P1" s="774"/>
      <c r="Q1" s="774"/>
      <c r="R1" s="774"/>
      <c r="S1" s="774"/>
      <c r="T1" s="774"/>
      <c r="U1" s="774"/>
      <c r="V1" s="303"/>
      <c r="W1" s="303"/>
      <c r="X1" s="303"/>
      <c r="Y1" s="303"/>
      <c r="Z1" s="303"/>
      <c r="AA1" s="303"/>
      <c r="AB1" s="303"/>
      <c r="AC1" s="303"/>
      <c r="AD1" s="303"/>
      <c r="AE1" s="303"/>
      <c r="AF1" s="303"/>
      <c r="AG1" s="303"/>
      <c r="AH1" s="303"/>
      <c r="AI1" s="303"/>
      <c r="AJ1" s="303"/>
    </row>
    <row r="2" spans="1:36" s="199" customFormat="1" ht="13.2" x14ac:dyDescent="0.25">
      <c r="A2" s="774"/>
      <c r="B2" s="774"/>
      <c r="C2" s="774"/>
      <c r="D2" s="774"/>
      <c r="E2" s="774"/>
      <c r="F2" s="774"/>
      <c r="G2" s="774"/>
      <c r="H2" s="774"/>
      <c r="I2" s="774"/>
      <c r="J2" s="774"/>
      <c r="K2" s="774"/>
      <c r="L2" s="774"/>
      <c r="M2" s="774"/>
      <c r="N2" s="774"/>
      <c r="O2" s="774"/>
      <c r="P2" s="774"/>
      <c r="Q2" s="774"/>
      <c r="R2" s="774"/>
      <c r="S2" s="774"/>
      <c r="T2" s="774"/>
      <c r="U2" s="774"/>
      <c r="V2" s="303"/>
      <c r="W2" s="303"/>
      <c r="X2" s="303"/>
      <c r="Y2" s="303"/>
      <c r="Z2" s="303"/>
      <c r="AA2" s="303"/>
      <c r="AB2" s="303"/>
      <c r="AC2" s="303"/>
      <c r="AD2" s="303"/>
      <c r="AE2" s="303"/>
      <c r="AF2" s="303"/>
      <c r="AG2" s="303"/>
      <c r="AH2" s="303"/>
      <c r="AI2" s="303"/>
      <c r="AJ2" s="303"/>
    </row>
    <row r="3" spans="1:36" s="199" customFormat="1" ht="13.2" x14ac:dyDescent="0.25">
      <c r="A3" s="774"/>
      <c r="B3" s="774"/>
      <c r="C3" s="774"/>
      <c r="D3" s="774"/>
      <c r="E3" s="774"/>
      <c r="F3" s="774"/>
      <c r="G3" s="774"/>
      <c r="H3" s="774"/>
      <c r="I3" s="774"/>
      <c r="J3" s="774"/>
      <c r="K3" s="774"/>
      <c r="L3" s="774"/>
      <c r="M3" s="774"/>
      <c r="N3" s="774"/>
      <c r="O3" s="774"/>
      <c r="P3" s="774"/>
      <c r="Q3" s="774"/>
      <c r="R3" s="774"/>
      <c r="S3" s="774"/>
      <c r="T3" s="774"/>
      <c r="U3" s="774"/>
      <c r="V3" s="303"/>
      <c r="W3" s="303"/>
      <c r="X3" s="303"/>
      <c r="Y3" s="303"/>
      <c r="Z3" s="303"/>
      <c r="AA3" s="303"/>
      <c r="AB3" s="303"/>
      <c r="AC3" s="303"/>
      <c r="AD3" s="303"/>
      <c r="AE3" s="303"/>
      <c r="AF3" s="303"/>
      <c r="AG3" s="303"/>
      <c r="AH3" s="303"/>
      <c r="AI3" s="303"/>
      <c r="AJ3" s="303"/>
    </row>
    <row r="4" spans="1:36" s="199" customFormat="1" ht="12.75" customHeight="1" x14ac:dyDescent="0.25">
      <c r="A4" s="775"/>
      <c r="B4" s="776"/>
      <c r="C4" s="776"/>
      <c r="D4" s="776"/>
      <c r="E4" s="776"/>
      <c r="F4" s="776"/>
      <c r="G4" s="776"/>
      <c r="H4" s="776"/>
      <c r="I4" s="776"/>
      <c r="J4" s="776"/>
      <c r="K4" s="776"/>
      <c r="L4" s="776"/>
      <c r="M4" s="776"/>
      <c r="N4" s="776"/>
      <c r="O4" s="776"/>
      <c r="P4" s="776"/>
      <c r="Q4" s="776"/>
      <c r="R4" s="776"/>
      <c r="S4" s="776"/>
      <c r="T4" s="776"/>
      <c r="U4" s="776"/>
      <c r="V4" s="776"/>
      <c r="W4" s="776"/>
      <c r="X4" s="776"/>
      <c r="Y4" s="776"/>
      <c r="Z4" s="303"/>
      <c r="AA4" s="303"/>
      <c r="AB4" s="303"/>
      <c r="AC4" s="303"/>
      <c r="AD4" s="303"/>
      <c r="AE4" s="303"/>
      <c r="AF4" s="303"/>
      <c r="AG4" s="303"/>
      <c r="AH4" s="303"/>
      <c r="AI4" s="303"/>
      <c r="AJ4" s="303"/>
    </row>
    <row r="5" spans="1:36" ht="15" x14ac:dyDescent="0.25">
      <c r="A5" s="460" t="s">
        <v>71</v>
      </c>
      <c r="B5" s="253"/>
      <c r="C5" s="253"/>
      <c r="D5" s="253"/>
      <c r="E5" s="253"/>
      <c r="F5" s="253"/>
      <c r="G5" s="253"/>
      <c r="H5" s="253"/>
      <c r="I5" s="253"/>
      <c r="J5" s="253"/>
      <c r="K5" s="253"/>
      <c r="L5" s="253"/>
      <c r="M5" s="253"/>
      <c r="N5" s="253"/>
      <c r="O5" s="253"/>
      <c r="P5" s="253"/>
      <c r="Q5" s="253"/>
      <c r="R5" s="253"/>
    </row>
    <row r="6" spans="1:36" s="254" customFormat="1" ht="15.6" x14ac:dyDescent="0.3">
      <c r="A6" s="281"/>
      <c r="B6" s="135"/>
      <c r="C6" s="135"/>
      <c r="D6" s="135"/>
    </row>
    <row r="7" spans="1:36" s="254" customFormat="1" ht="13.2" x14ac:dyDescent="0.25"/>
    <row r="8" spans="1:36" s="254" customFormat="1" ht="13.2" x14ac:dyDescent="0.25">
      <c r="A8" s="135"/>
    </row>
    <row r="9" spans="1:36" s="254" customFormat="1" ht="13.2" x14ac:dyDescent="0.25"/>
    <row r="10" spans="1:36" s="254" customFormat="1" ht="13.2" x14ac:dyDescent="0.25"/>
    <row r="11" spans="1:36" s="254" customFormat="1" ht="13.2" x14ac:dyDescent="0.25"/>
    <row r="12" spans="1:36" s="254" customFormat="1" ht="13.2" x14ac:dyDescent="0.25"/>
    <row r="13" spans="1:36" s="254" customFormat="1" ht="13.2" x14ac:dyDescent="0.25"/>
    <row r="14" spans="1:36" s="254" customFormat="1" ht="13.2" x14ac:dyDescent="0.25"/>
    <row r="15" spans="1:36" s="254" customFormat="1" ht="13.2" x14ac:dyDescent="0.25"/>
    <row r="16" spans="1:36" s="254" customFormat="1" ht="13.2" x14ac:dyDescent="0.25"/>
    <row r="17" spans="1:3" s="254" customFormat="1" ht="13.2" x14ac:dyDescent="0.25"/>
    <row r="18" spans="1:3" s="254" customFormat="1" ht="13.2" x14ac:dyDescent="0.25"/>
    <row r="19" spans="1:3" s="254" customFormat="1" ht="13.2" x14ac:dyDescent="0.25"/>
    <row r="20" spans="1:3" s="254" customFormat="1" ht="13.2" x14ac:dyDescent="0.25">
      <c r="A20" s="442"/>
      <c r="B20" s="442"/>
      <c r="C20" s="442"/>
    </row>
    <row r="21" spans="1:3" s="254" customFormat="1" ht="13.2" x14ac:dyDescent="0.25"/>
    <row r="22" spans="1:3" s="254" customFormat="1" ht="13.2" x14ac:dyDescent="0.25"/>
    <row r="23" spans="1:3" s="254" customFormat="1" ht="13.2" x14ac:dyDescent="0.25"/>
    <row r="24" spans="1:3" s="254" customFormat="1" ht="13.2" x14ac:dyDescent="0.25"/>
    <row r="25" spans="1:3" s="254" customFormat="1" ht="13.2" x14ac:dyDescent="0.25"/>
    <row r="26" spans="1:3" s="254" customFormat="1" ht="13.2" x14ac:dyDescent="0.25"/>
    <row r="27" spans="1:3" s="254" customFormat="1" ht="13.2" x14ac:dyDescent="0.25"/>
    <row r="28" spans="1:3" s="254" customFormat="1" ht="13.2" x14ac:dyDescent="0.25"/>
    <row r="29" spans="1:3" s="254" customFormat="1" ht="13.2" x14ac:dyDescent="0.25"/>
    <row r="30" spans="1:3" s="254" customFormat="1" ht="13.2" x14ac:dyDescent="0.25"/>
    <row r="31" spans="1:3" s="254" customFormat="1" ht="13.2" x14ac:dyDescent="0.25"/>
    <row r="32" spans="1:3" s="253" customFormat="1" ht="13.2" x14ac:dyDescent="0.25"/>
    <row r="33" spans="1:17" s="253" customFormat="1" ht="13.2" x14ac:dyDescent="0.25">
      <c r="A33" s="443"/>
      <c r="B33" s="443"/>
      <c r="C33" s="443"/>
      <c r="D33" s="443"/>
      <c r="E33" s="443"/>
      <c r="F33" s="443"/>
      <c r="G33" s="443"/>
      <c r="H33" s="443"/>
      <c r="I33" s="443"/>
      <c r="J33" s="443"/>
      <c r="K33" s="443"/>
      <c r="L33" s="444"/>
      <c r="M33" s="444"/>
      <c r="N33" s="444"/>
      <c r="O33" s="444"/>
      <c r="P33" s="444"/>
      <c r="Q33" s="444"/>
    </row>
    <row r="34" spans="1:17" s="253" customFormat="1" ht="13.2" x14ac:dyDescent="0.25">
      <c r="A34" s="258"/>
      <c r="B34" s="258"/>
      <c r="C34" s="258"/>
      <c r="D34" s="258"/>
      <c r="E34" s="258"/>
      <c r="F34" s="258"/>
      <c r="G34" s="258"/>
      <c r="H34" s="258"/>
      <c r="I34" s="258"/>
      <c r="J34" s="258"/>
      <c r="K34" s="258"/>
      <c r="L34" s="258"/>
      <c r="M34" s="258"/>
      <c r="N34" s="258"/>
      <c r="O34" s="444"/>
      <c r="P34" s="444"/>
      <c r="Q34" s="444"/>
    </row>
    <row r="35" spans="1:17" s="253" customFormat="1" ht="13.2" x14ac:dyDescent="0.25">
      <c r="A35" s="258"/>
      <c r="B35" s="258"/>
      <c r="C35" s="258"/>
      <c r="D35" s="258"/>
      <c r="E35" s="258"/>
      <c r="F35" s="258"/>
      <c r="G35" s="258"/>
      <c r="H35" s="258"/>
      <c r="I35" s="258"/>
      <c r="J35" s="258"/>
      <c r="K35" s="258"/>
      <c r="L35" s="258"/>
      <c r="M35" s="258"/>
      <c r="N35" s="258"/>
      <c r="O35" s="444"/>
      <c r="P35" s="444"/>
      <c r="Q35" s="444"/>
    </row>
    <row r="36" spans="1:17" s="253" customFormat="1" ht="13.2" x14ac:dyDescent="0.25">
      <c r="A36" s="258"/>
      <c r="B36" s="258"/>
      <c r="C36" s="258"/>
      <c r="D36" s="258"/>
      <c r="E36" s="258"/>
      <c r="F36" s="258"/>
      <c r="G36" s="258"/>
      <c r="H36" s="258"/>
      <c r="I36" s="258"/>
      <c r="J36" s="258"/>
      <c r="K36" s="258"/>
      <c r="L36" s="258"/>
      <c r="M36" s="258"/>
      <c r="N36" s="258"/>
      <c r="O36" s="444"/>
      <c r="P36" s="444"/>
      <c r="Q36" s="444"/>
    </row>
    <row r="37" spans="1:17" s="253" customFormat="1" ht="13.2" x14ac:dyDescent="0.25">
      <c r="A37" s="258"/>
      <c r="B37" s="258"/>
      <c r="C37" s="258"/>
      <c r="D37" s="258"/>
      <c r="E37" s="258"/>
      <c r="F37" s="258"/>
      <c r="G37" s="258"/>
      <c r="H37" s="258"/>
      <c r="I37" s="258"/>
      <c r="J37" s="258"/>
      <c r="K37" s="258"/>
      <c r="L37" s="258"/>
      <c r="M37" s="258"/>
      <c r="N37" s="258"/>
      <c r="O37" s="444"/>
      <c r="P37" s="444"/>
      <c r="Q37" s="444"/>
    </row>
    <row r="38" spans="1:17" s="253" customFormat="1" ht="13.2" x14ac:dyDescent="0.25">
      <c r="A38" s="258"/>
      <c r="B38" s="258"/>
      <c r="C38" s="258"/>
      <c r="D38" s="258"/>
      <c r="E38" s="258"/>
      <c r="F38" s="258"/>
      <c r="G38" s="258"/>
      <c r="H38" s="258"/>
      <c r="I38" s="258"/>
      <c r="J38" s="258"/>
      <c r="K38" s="258"/>
      <c r="L38" s="258"/>
      <c r="M38" s="258"/>
      <c r="N38" s="258"/>
      <c r="O38" s="444"/>
      <c r="P38" s="444"/>
      <c r="Q38" s="444"/>
    </row>
    <row r="39" spans="1:17" s="253" customFormat="1" ht="13.2" x14ac:dyDescent="0.25">
      <c r="A39" s="258"/>
      <c r="B39" s="258"/>
      <c r="C39" s="258"/>
      <c r="D39" s="258"/>
      <c r="E39" s="258"/>
      <c r="F39" s="258"/>
      <c r="G39" s="258"/>
      <c r="H39" s="258"/>
      <c r="I39" s="258"/>
      <c r="J39" s="258"/>
      <c r="K39" s="258"/>
      <c r="L39" s="258"/>
      <c r="M39" s="258"/>
      <c r="N39" s="258"/>
      <c r="O39" s="444"/>
      <c r="P39" s="444"/>
      <c r="Q39" s="444"/>
    </row>
    <row r="40" spans="1:17" s="253" customFormat="1" ht="13.2" x14ac:dyDescent="0.25">
      <c r="A40" s="258"/>
      <c r="B40" s="258"/>
      <c r="C40" s="258"/>
      <c r="D40" s="258"/>
      <c r="E40" s="258"/>
      <c r="F40" s="258"/>
      <c r="G40" s="258"/>
      <c r="H40" s="258"/>
      <c r="I40" s="258"/>
      <c r="J40" s="258"/>
      <c r="K40" s="258"/>
      <c r="L40" s="258"/>
      <c r="M40" s="258"/>
      <c r="N40" s="258"/>
      <c r="O40" s="444"/>
      <c r="P40" s="444"/>
      <c r="Q40" s="444"/>
    </row>
    <row r="41" spans="1:17" s="253" customFormat="1" ht="13.2" x14ac:dyDescent="0.25">
      <c r="A41" s="258"/>
      <c r="B41" s="258"/>
      <c r="C41" s="258"/>
      <c r="D41" s="258"/>
      <c r="E41" s="258"/>
      <c r="F41" s="258"/>
      <c r="G41" s="258"/>
      <c r="H41" s="258"/>
      <c r="I41" s="258"/>
      <c r="J41" s="258"/>
      <c r="K41" s="258"/>
      <c r="L41" s="258"/>
      <c r="M41" s="258"/>
      <c r="N41" s="258"/>
      <c r="O41" s="444"/>
      <c r="P41" s="444"/>
      <c r="Q41" s="444"/>
    </row>
    <row r="42" spans="1:17" s="253" customFormat="1" ht="13.2" x14ac:dyDescent="0.25">
      <c r="A42" s="258"/>
      <c r="B42" s="258"/>
      <c r="C42" s="258"/>
      <c r="D42" s="258"/>
      <c r="E42" s="258"/>
      <c r="F42" s="258"/>
      <c r="G42" s="258"/>
      <c r="H42" s="258"/>
      <c r="I42" s="258"/>
      <c r="J42" s="258"/>
      <c r="K42" s="258"/>
      <c r="L42" s="258"/>
      <c r="M42" s="258"/>
      <c r="N42" s="258"/>
      <c r="O42" s="444"/>
      <c r="P42" s="444"/>
      <c r="Q42" s="444"/>
    </row>
    <row r="43" spans="1:17" s="253" customFormat="1" ht="13.2" x14ac:dyDescent="0.25">
      <c r="A43" s="258"/>
      <c r="B43" s="258"/>
      <c r="C43" s="258"/>
      <c r="D43" s="258"/>
      <c r="E43" s="258"/>
      <c r="F43" s="258"/>
      <c r="G43" s="258"/>
      <c r="H43" s="258"/>
      <c r="I43" s="258"/>
      <c r="J43" s="258"/>
      <c r="K43" s="258"/>
      <c r="L43" s="258"/>
      <c r="M43" s="258"/>
      <c r="N43" s="258"/>
      <c r="O43" s="444"/>
      <c r="P43" s="444"/>
      <c r="Q43" s="444"/>
    </row>
    <row r="44" spans="1:17" s="253" customFormat="1" ht="13.2" x14ac:dyDescent="0.25">
      <c r="A44" s="258"/>
      <c r="B44" s="258"/>
      <c r="C44" s="258"/>
      <c r="D44" s="258"/>
      <c r="E44" s="258"/>
      <c r="F44" s="258"/>
      <c r="G44" s="258"/>
      <c r="H44" s="258"/>
      <c r="I44" s="258"/>
      <c r="J44" s="258"/>
      <c r="K44" s="258"/>
      <c r="L44" s="258"/>
      <c r="M44" s="258"/>
      <c r="N44" s="258"/>
      <c r="O44" s="444"/>
      <c r="P44" s="444"/>
      <c r="Q44" s="444"/>
    </row>
    <row r="45" spans="1:17" s="253" customFormat="1" ht="13.2" x14ac:dyDescent="0.25">
      <c r="A45" s="258"/>
      <c r="B45" s="258"/>
      <c r="C45" s="258"/>
      <c r="D45" s="258"/>
      <c r="E45" s="258"/>
      <c r="F45" s="258"/>
      <c r="G45" s="258"/>
      <c r="H45" s="258"/>
      <c r="I45" s="258"/>
      <c r="J45" s="258"/>
      <c r="K45" s="258"/>
      <c r="L45" s="258"/>
      <c r="M45" s="258"/>
      <c r="N45" s="258"/>
      <c r="O45" s="444"/>
      <c r="P45" s="444"/>
      <c r="Q45" s="444"/>
    </row>
    <row r="46" spans="1:17" s="253" customFormat="1" ht="13.2" x14ac:dyDescent="0.25">
      <c r="A46" s="258"/>
      <c r="B46" s="258"/>
      <c r="C46" s="258"/>
      <c r="D46" s="258"/>
      <c r="E46" s="258"/>
      <c r="F46" s="258"/>
      <c r="G46" s="258"/>
      <c r="H46" s="258"/>
      <c r="I46" s="258"/>
      <c r="J46" s="258"/>
      <c r="K46" s="258"/>
      <c r="L46" s="258"/>
      <c r="M46" s="258"/>
      <c r="N46" s="258"/>
      <c r="O46" s="444"/>
      <c r="P46" s="444"/>
      <c r="Q46" s="444"/>
    </row>
    <row r="47" spans="1:17" s="253" customFormat="1" ht="13.2" x14ac:dyDescent="0.25">
      <c r="A47" s="195" t="s">
        <v>209</v>
      </c>
      <c r="C47" s="258"/>
      <c r="D47" s="258"/>
      <c r="E47" s="258"/>
      <c r="F47" s="258"/>
      <c r="G47" s="258"/>
      <c r="H47" s="258"/>
      <c r="I47" s="258"/>
      <c r="J47" s="258"/>
      <c r="K47" s="258"/>
      <c r="L47" s="258"/>
      <c r="M47" s="258"/>
      <c r="N47" s="258"/>
      <c r="O47" s="444"/>
      <c r="P47" s="444"/>
      <c r="Q47" s="444"/>
    </row>
    <row r="48" spans="1:17" s="253" customFormat="1" ht="13.2" x14ac:dyDescent="0.25">
      <c r="A48" s="258"/>
      <c r="B48" s="258"/>
      <c r="C48" s="258"/>
      <c r="D48" s="258"/>
      <c r="E48" s="258"/>
      <c r="F48" s="258"/>
      <c r="G48" s="258"/>
      <c r="H48" s="258"/>
      <c r="I48" s="258"/>
      <c r="J48" s="258"/>
      <c r="K48" s="258"/>
      <c r="L48" s="258"/>
      <c r="M48" s="258"/>
      <c r="N48" s="258"/>
      <c r="O48" s="444"/>
      <c r="P48" s="444"/>
      <c r="Q48" s="444"/>
    </row>
    <row r="49" spans="1:18" ht="13.2" x14ac:dyDescent="0.25">
      <c r="A49" s="253"/>
      <c r="B49" s="253"/>
      <c r="C49" s="258"/>
      <c r="D49" s="258"/>
      <c r="E49" s="258"/>
      <c r="F49" s="258"/>
      <c r="G49" s="258"/>
      <c r="H49" s="258"/>
      <c r="I49" s="258"/>
      <c r="J49" s="258"/>
      <c r="K49" s="258"/>
      <c r="L49" s="258"/>
      <c r="M49" s="258"/>
      <c r="N49" s="258"/>
      <c r="O49" s="444"/>
      <c r="P49" s="444"/>
      <c r="Q49" s="444"/>
      <c r="R49" s="253"/>
    </row>
    <row r="50" spans="1:18" ht="15.6" x14ac:dyDescent="0.3">
      <c r="A50" s="605" t="s">
        <v>252</v>
      </c>
      <c r="B50" s="445" t="str">
        <f>Main!N22</f>
        <v>TMP6131DECR</v>
      </c>
      <c r="O50" s="689"/>
      <c r="P50" s="689"/>
      <c r="Q50" s="689"/>
    </row>
    <row r="51" spans="1:18" ht="15" x14ac:dyDescent="0.25">
      <c r="O51" s="689"/>
      <c r="P51" s="689"/>
      <c r="Q51" s="689"/>
    </row>
    <row r="52" spans="1:18" ht="16.2" thickBot="1" x14ac:dyDescent="0.35">
      <c r="A52" s="446"/>
      <c r="B52" s="446" t="s">
        <v>643</v>
      </c>
      <c r="C52" s="446"/>
      <c r="D52" s="446"/>
      <c r="E52" s="446"/>
      <c r="F52" s="446"/>
      <c r="G52" s="446"/>
      <c r="H52" s="446"/>
      <c r="I52" s="446"/>
      <c r="J52" s="446"/>
      <c r="K52" s="446"/>
      <c r="O52" s="689"/>
      <c r="P52" s="689"/>
      <c r="Q52" s="689"/>
    </row>
    <row r="53" spans="1:18" ht="16.2" thickBot="1" x14ac:dyDescent="0.35">
      <c r="A53" s="446" t="s">
        <v>644</v>
      </c>
      <c r="B53" s="447">
        <v>0.1</v>
      </c>
      <c r="C53" s="448" t="s">
        <v>645</v>
      </c>
      <c r="D53" s="446" t="s">
        <v>678</v>
      </c>
      <c r="E53" s="446"/>
      <c r="F53" s="446"/>
      <c r="G53" s="446"/>
      <c r="H53" s="446"/>
      <c r="I53" s="446"/>
      <c r="J53" s="446"/>
      <c r="K53" s="446"/>
      <c r="O53" s="689"/>
      <c r="P53" s="689"/>
      <c r="Q53" s="689"/>
    </row>
    <row r="54" spans="1:18" ht="15.6" x14ac:dyDescent="0.3">
      <c r="A54" s="446" t="s">
        <v>646</v>
      </c>
      <c r="B54" s="449">
        <f>B62</f>
        <v>22.713934338773338</v>
      </c>
      <c r="C54" s="446" t="s">
        <v>647</v>
      </c>
      <c r="D54" s="446" t="s">
        <v>648</v>
      </c>
      <c r="E54" s="446" t="s">
        <v>649</v>
      </c>
      <c r="F54" s="446"/>
      <c r="G54" s="446"/>
      <c r="H54" s="446"/>
      <c r="I54" s="446"/>
      <c r="J54" s="446"/>
      <c r="K54" s="446"/>
      <c r="O54" s="689"/>
      <c r="P54" s="689"/>
      <c r="Q54" s="689"/>
    </row>
    <row r="55" spans="1:18" ht="16.2" thickBot="1" x14ac:dyDescent="0.35">
      <c r="A55" s="446" t="s">
        <v>650</v>
      </c>
      <c r="B55" s="449">
        <f>B62</f>
        <v>22.713934338773338</v>
      </c>
      <c r="C55" s="446" t="s">
        <v>647</v>
      </c>
      <c r="D55" s="446" t="s">
        <v>648</v>
      </c>
      <c r="E55" s="446" t="s">
        <v>651</v>
      </c>
      <c r="F55" s="446"/>
      <c r="G55" s="446"/>
      <c r="H55" s="446"/>
      <c r="I55" s="446"/>
      <c r="J55" s="446"/>
      <c r="K55" s="446"/>
      <c r="O55" s="689"/>
      <c r="P55" s="689"/>
      <c r="Q55" s="689"/>
    </row>
    <row r="56" spans="1:18" ht="16.2" thickBot="1" x14ac:dyDescent="0.35">
      <c r="A56" s="690" t="s">
        <v>674</v>
      </c>
      <c r="B56" s="691">
        <v>1</v>
      </c>
      <c r="C56" s="690"/>
      <c r="D56" s="446" t="s">
        <v>677</v>
      </c>
      <c r="E56" s="446"/>
      <c r="F56" s="446"/>
      <c r="G56" s="446"/>
      <c r="H56" s="446"/>
      <c r="I56" s="446"/>
      <c r="J56" s="446"/>
      <c r="K56" s="446"/>
      <c r="O56" s="689"/>
      <c r="P56" s="689"/>
      <c r="Q56" s="689"/>
    </row>
    <row r="57" spans="1:18" ht="15.6" x14ac:dyDescent="0.3">
      <c r="A57" s="690" t="s">
        <v>675</v>
      </c>
      <c r="B57" s="690">
        <f>1/((1/B56)*(1/B53))</f>
        <v>0.1</v>
      </c>
      <c r="C57" s="690" t="s">
        <v>676</v>
      </c>
      <c r="D57" s="446"/>
      <c r="E57" s="446"/>
      <c r="F57" s="446"/>
      <c r="G57" s="446"/>
      <c r="H57" s="446"/>
      <c r="I57" s="446"/>
      <c r="J57" s="446"/>
      <c r="K57" s="446"/>
      <c r="O57" s="689"/>
      <c r="P57" s="689"/>
      <c r="Q57" s="689"/>
    </row>
    <row r="58" spans="1:18" ht="15.6" x14ac:dyDescent="0.3">
      <c r="A58" s="446"/>
      <c r="B58" s="446"/>
      <c r="C58" s="446"/>
      <c r="D58" s="446"/>
      <c r="E58" s="446"/>
      <c r="F58" s="446"/>
      <c r="G58" s="446"/>
      <c r="H58" s="446"/>
      <c r="I58" s="446"/>
      <c r="J58" s="446"/>
      <c r="K58" s="446"/>
      <c r="O58" s="689"/>
      <c r="P58" s="689"/>
      <c r="Q58" s="689"/>
    </row>
    <row r="59" spans="1:18" ht="15.6" thickBot="1" x14ac:dyDescent="0.3">
      <c r="O59" s="689"/>
      <c r="P59" s="689"/>
      <c r="Q59" s="689"/>
    </row>
    <row r="60" spans="1:18" ht="15" x14ac:dyDescent="0.25">
      <c r="A60" s="692"/>
      <c r="B60" s="692" t="s">
        <v>652</v>
      </c>
      <c r="C60" s="692" t="s">
        <v>653</v>
      </c>
      <c r="O60" s="689"/>
      <c r="P60" s="689"/>
      <c r="Q60" s="689"/>
    </row>
    <row r="61" spans="1:18" ht="15.6" thickBot="1" x14ac:dyDescent="0.3">
      <c r="A61" s="693" t="s">
        <v>654</v>
      </c>
      <c r="B61" s="693" t="s">
        <v>655</v>
      </c>
      <c r="C61" s="693" t="s">
        <v>656</v>
      </c>
      <c r="O61" s="689"/>
      <c r="P61" s="689"/>
      <c r="Q61" s="689"/>
    </row>
    <row r="62" spans="1:18" ht="15" x14ac:dyDescent="0.25">
      <c r="A62" s="571">
        <v>1</v>
      </c>
      <c r="B62" s="694">
        <v>22.713934338773338</v>
      </c>
      <c r="C62" s="695">
        <f>$B$55-($B$53*($B$55-B62))</f>
        <v>22.713934338773338</v>
      </c>
      <c r="O62" s="689"/>
      <c r="P62" s="689"/>
      <c r="Q62" s="689"/>
    </row>
    <row r="63" spans="1:18" ht="15" x14ac:dyDescent="0.25">
      <c r="A63" s="571">
        <v>2</v>
      </c>
      <c r="B63" s="696">
        <v>21.796071620559228</v>
      </c>
      <c r="C63" s="695">
        <f>$C62-($B$53*($C62-B63))</f>
        <v>22.622148066951926</v>
      </c>
      <c r="O63" s="689"/>
      <c r="P63" s="689"/>
      <c r="Q63" s="689"/>
    </row>
    <row r="64" spans="1:18" ht="15" x14ac:dyDescent="0.25">
      <c r="A64" s="571">
        <v>3</v>
      </c>
      <c r="B64" s="696">
        <v>22.369754046985104</v>
      </c>
      <c r="C64" s="695">
        <f t="shared" ref="C64:C127" si="0">$C63-($B$53*($C63-B64))</f>
        <v>22.596908664955244</v>
      </c>
      <c r="O64" s="689"/>
      <c r="P64" s="689"/>
      <c r="Q64" s="689"/>
    </row>
    <row r="65" spans="1:17" ht="15" x14ac:dyDescent="0.25">
      <c r="A65" s="571">
        <v>4</v>
      </c>
      <c r="B65" s="696">
        <v>22.637435324550875</v>
      </c>
      <c r="C65" s="695">
        <f t="shared" si="0"/>
        <v>22.600961330914807</v>
      </c>
      <c r="O65" s="689"/>
      <c r="P65" s="689"/>
      <c r="Q65" s="689"/>
    </row>
    <row r="66" spans="1:17" ht="15" x14ac:dyDescent="0.25">
      <c r="A66" s="571">
        <v>5</v>
      </c>
      <c r="B66" s="696">
        <v>22.369754046985104</v>
      </c>
      <c r="C66" s="695">
        <f t="shared" si="0"/>
        <v>22.577840602521835</v>
      </c>
      <c r="O66" s="689"/>
      <c r="P66" s="689"/>
      <c r="Q66" s="689"/>
    </row>
    <row r="67" spans="1:17" ht="15" x14ac:dyDescent="0.25">
      <c r="A67" s="571">
        <v>6</v>
      </c>
      <c r="B67" s="696">
        <v>22.675683791491206</v>
      </c>
      <c r="C67" s="695">
        <f t="shared" si="0"/>
        <v>22.587624921418772</v>
      </c>
      <c r="O67" s="689"/>
      <c r="P67" s="689"/>
      <c r="Q67" s="689"/>
    </row>
    <row r="68" spans="1:17" ht="15" x14ac:dyDescent="0.25">
      <c r="A68" s="571">
        <v>7</v>
      </c>
      <c r="B68" s="696">
        <v>22.637435324550875</v>
      </c>
      <c r="C68" s="695">
        <f t="shared" si="0"/>
        <v>22.592605961731984</v>
      </c>
      <c r="O68" s="689"/>
      <c r="P68" s="689"/>
      <c r="Q68" s="689"/>
    </row>
    <row r="69" spans="1:17" ht="15" x14ac:dyDescent="0.25">
      <c r="A69" s="571">
        <v>8</v>
      </c>
      <c r="B69" s="696">
        <v>22.637435324550875</v>
      </c>
      <c r="C69" s="695">
        <f t="shared" si="0"/>
        <v>22.597088898013872</v>
      </c>
      <c r="O69" s="689"/>
      <c r="P69" s="689"/>
      <c r="Q69" s="689"/>
    </row>
    <row r="70" spans="1:17" ht="15" x14ac:dyDescent="0.25">
      <c r="A70" s="571">
        <v>9</v>
      </c>
      <c r="B70" s="696">
        <v>22.560944619391517</v>
      </c>
      <c r="C70" s="695">
        <f t="shared" si="0"/>
        <v>22.593474470151637</v>
      </c>
      <c r="O70" s="689"/>
      <c r="P70" s="689"/>
      <c r="Q70" s="689"/>
    </row>
    <row r="71" spans="1:17" ht="15" x14ac:dyDescent="0.25">
      <c r="A71" s="571">
        <v>10</v>
      </c>
      <c r="B71" s="696">
        <v>22.560944619391517</v>
      </c>
      <c r="C71" s="695">
        <f t="shared" si="0"/>
        <v>22.590221485075624</v>
      </c>
      <c r="Q71" s="689"/>
    </row>
    <row r="72" spans="1:17" ht="15" x14ac:dyDescent="0.25">
      <c r="A72" s="571">
        <v>11</v>
      </c>
      <c r="B72" s="696">
        <v>22.637435324550875</v>
      </c>
      <c r="C72" s="695">
        <f t="shared" si="0"/>
        <v>22.59494286902315</v>
      </c>
      <c r="Q72" s="689"/>
    </row>
    <row r="73" spans="1:17" ht="15" x14ac:dyDescent="0.25">
      <c r="A73" s="571">
        <v>12</v>
      </c>
      <c r="B73" s="696">
        <v>22.599188934876434</v>
      </c>
      <c r="C73" s="695">
        <f t="shared" si="0"/>
        <v>22.595367475608477</v>
      </c>
      <c r="Q73" s="689"/>
    </row>
    <row r="74" spans="1:17" ht="15" x14ac:dyDescent="0.25">
      <c r="A74" s="571">
        <v>13</v>
      </c>
      <c r="B74" s="696">
        <v>22.752396005966471</v>
      </c>
      <c r="C74" s="695">
        <f t="shared" si="0"/>
        <v>22.611070328644274</v>
      </c>
      <c r="Q74" s="689"/>
    </row>
    <row r="75" spans="1:17" ht="15" x14ac:dyDescent="0.25">
      <c r="A75" s="571">
        <v>14</v>
      </c>
      <c r="B75" s="696">
        <v>22.637435324550875</v>
      </c>
      <c r="C75" s="695">
        <f t="shared" si="0"/>
        <v>22.613706828234935</v>
      </c>
      <c r="Q75" s="689"/>
    </row>
    <row r="76" spans="1:17" ht="15" x14ac:dyDescent="0.25">
      <c r="A76" s="571">
        <v>15</v>
      </c>
      <c r="B76" s="696">
        <v>22.675683791491206</v>
      </c>
      <c r="C76" s="695">
        <f t="shared" si="0"/>
        <v>22.619904524560564</v>
      </c>
      <c r="O76" s="639"/>
      <c r="P76" s="639"/>
      <c r="Q76" s="689"/>
    </row>
    <row r="77" spans="1:17" ht="15" x14ac:dyDescent="0.25">
      <c r="A77" s="571">
        <v>16</v>
      </c>
      <c r="B77" s="696">
        <v>21.98710906814436</v>
      </c>
      <c r="C77" s="695">
        <f t="shared" si="0"/>
        <v>22.556624978918943</v>
      </c>
      <c r="O77" s="639"/>
      <c r="P77" s="639"/>
      <c r="Q77" s="689"/>
    </row>
    <row r="78" spans="1:17" ht="15" x14ac:dyDescent="0.25">
      <c r="A78" s="571">
        <v>17</v>
      </c>
      <c r="B78" s="696">
        <v>22.407988037742921</v>
      </c>
      <c r="C78" s="695">
        <f t="shared" si="0"/>
        <v>22.541761284801343</v>
      </c>
      <c r="O78" s="639"/>
      <c r="P78" s="639"/>
      <c r="Q78" s="689"/>
    </row>
    <row r="79" spans="1:17" ht="15" x14ac:dyDescent="0.25">
      <c r="A79" s="571">
        <v>18</v>
      </c>
      <c r="B79" s="696">
        <v>22.752396005966471</v>
      </c>
      <c r="C79" s="695">
        <f t="shared" si="0"/>
        <v>22.562824756917855</v>
      </c>
      <c r="P79" s="639"/>
      <c r="Q79" s="689"/>
    </row>
    <row r="80" spans="1:17" ht="15" x14ac:dyDescent="0.25">
      <c r="A80" s="571">
        <v>19</v>
      </c>
      <c r="B80" s="696">
        <v>22.637435324550875</v>
      </c>
      <c r="C80" s="695">
        <f t="shared" si="0"/>
        <v>22.570285813681156</v>
      </c>
      <c r="P80" s="639"/>
      <c r="Q80" s="689"/>
    </row>
    <row r="81" spans="1:19" ht="15" x14ac:dyDescent="0.25">
      <c r="A81" s="571">
        <v>20</v>
      </c>
      <c r="B81" s="696">
        <v>22.675683791491206</v>
      </c>
      <c r="C81" s="695">
        <f t="shared" si="0"/>
        <v>22.58082561146216</v>
      </c>
      <c r="O81" s="689"/>
      <c r="P81" s="689"/>
      <c r="Q81" s="689"/>
    </row>
    <row r="82" spans="1:19" ht="15" x14ac:dyDescent="0.25">
      <c r="A82" s="571">
        <v>21</v>
      </c>
      <c r="B82" s="696">
        <v>22.752396005966471</v>
      </c>
      <c r="C82" s="695">
        <f t="shared" si="0"/>
        <v>22.597982650912591</v>
      </c>
      <c r="O82" s="689"/>
      <c r="P82" s="689"/>
      <c r="Q82" s="689"/>
    </row>
    <row r="83" spans="1:19" ht="15" x14ac:dyDescent="0.25">
      <c r="A83" s="571">
        <v>22</v>
      </c>
      <c r="B83" s="696">
        <v>22.560944619391517</v>
      </c>
      <c r="C83" s="695">
        <f t="shared" si="0"/>
        <v>22.594278847760485</v>
      </c>
      <c r="O83" s="689"/>
      <c r="P83" s="689"/>
      <c r="Q83" s="689"/>
    </row>
    <row r="84" spans="1:19" ht="15" x14ac:dyDescent="0.25">
      <c r="A84" s="571">
        <v>23</v>
      </c>
      <c r="B84" s="696">
        <v>22.713934338773338</v>
      </c>
      <c r="C84" s="695">
        <f t="shared" si="0"/>
        <v>22.606244396861769</v>
      </c>
      <c r="O84" s="689"/>
      <c r="P84" s="689"/>
      <c r="Q84" s="689"/>
    </row>
    <row r="85" spans="1:19" ht="15" x14ac:dyDescent="0.25">
      <c r="A85" s="571">
        <v>24</v>
      </c>
      <c r="B85" s="696">
        <v>22.675683791491206</v>
      </c>
      <c r="C85" s="695">
        <f t="shared" si="0"/>
        <v>22.613188336324711</v>
      </c>
      <c r="O85" s="689"/>
      <c r="P85" s="689"/>
      <c r="Q85" s="689"/>
    </row>
    <row r="86" spans="1:19" ht="15" x14ac:dyDescent="0.25">
      <c r="A86" s="571">
        <v>25</v>
      </c>
      <c r="B86" s="696">
        <v>22.752396005966471</v>
      </c>
      <c r="C86" s="695">
        <f t="shared" si="0"/>
        <v>22.627109103288888</v>
      </c>
      <c r="O86" s="689"/>
      <c r="P86" s="689"/>
      <c r="Q86" s="689"/>
    </row>
    <row r="87" spans="1:19" ht="15" x14ac:dyDescent="0.25">
      <c r="A87" s="571">
        <v>26</v>
      </c>
      <c r="B87" s="696">
        <v>22.752396005966471</v>
      </c>
      <c r="C87" s="695">
        <f t="shared" si="0"/>
        <v>22.639637793556645</v>
      </c>
      <c r="O87" s="689"/>
      <c r="P87" s="689"/>
      <c r="Q87" s="689"/>
    </row>
    <row r="88" spans="1:19" ht="15" x14ac:dyDescent="0.25">
      <c r="A88" s="571">
        <v>27</v>
      </c>
      <c r="B88" s="696">
        <v>22.675683791491206</v>
      </c>
      <c r="C88" s="695">
        <f t="shared" si="0"/>
        <v>22.6432423933501</v>
      </c>
      <c r="O88" s="689"/>
      <c r="P88" s="689"/>
      <c r="Q88" s="689"/>
    </row>
    <row r="89" spans="1:19" ht="15" x14ac:dyDescent="0.25">
      <c r="A89" s="571">
        <v>28</v>
      </c>
      <c r="B89" s="696">
        <v>22.637435324550875</v>
      </c>
      <c r="C89" s="695">
        <f t="shared" si="0"/>
        <v>22.642661686470177</v>
      </c>
      <c r="O89" s="689"/>
      <c r="P89" s="689"/>
      <c r="Q89" s="689"/>
    </row>
    <row r="90" spans="1:19" ht="15" x14ac:dyDescent="0.25">
      <c r="A90" s="571">
        <v>29</v>
      </c>
      <c r="B90" s="696">
        <v>22.599188934876434</v>
      </c>
      <c r="C90" s="695">
        <f t="shared" si="0"/>
        <v>22.638314411310802</v>
      </c>
      <c r="O90" s="178"/>
      <c r="P90" s="178"/>
      <c r="Q90" s="178"/>
      <c r="R90" s="178"/>
      <c r="S90" s="450"/>
    </row>
    <row r="91" spans="1:19" ht="15" x14ac:dyDescent="0.25">
      <c r="A91" s="571">
        <v>30</v>
      </c>
      <c r="B91" s="696">
        <v>22.560944619391517</v>
      </c>
      <c r="C91" s="695">
        <f t="shared" si="0"/>
        <v>22.630577432118873</v>
      </c>
      <c r="O91" s="178"/>
      <c r="P91" s="178"/>
      <c r="Q91" s="178"/>
      <c r="R91" s="178"/>
      <c r="S91" s="450"/>
    </row>
    <row r="92" spans="1:19" ht="15" x14ac:dyDescent="0.25">
      <c r="A92" s="571">
        <v>31</v>
      </c>
      <c r="B92" s="696">
        <v>22.637435324550875</v>
      </c>
      <c r="C92" s="695">
        <f t="shared" si="0"/>
        <v>22.631263221362072</v>
      </c>
      <c r="O92" s="689"/>
      <c r="P92" s="689"/>
      <c r="Q92" s="689"/>
    </row>
    <row r="93" spans="1:19" ht="15" x14ac:dyDescent="0.25">
      <c r="A93" s="571">
        <v>32</v>
      </c>
      <c r="B93" s="696">
        <v>22.637435324550875</v>
      </c>
      <c r="C93" s="695">
        <f t="shared" si="0"/>
        <v>22.631880431680951</v>
      </c>
    </row>
    <row r="94" spans="1:19" ht="15" x14ac:dyDescent="0.25">
      <c r="A94" s="571">
        <v>33</v>
      </c>
      <c r="B94" s="696">
        <v>22.599188934876434</v>
      </c>
      <c r="C94" s="695">
        <f t="shared" si="0"/>
        <v>22.628611282000499</v>
      </c>
    </row>
    <row r="95" spans="1:19" ht="16.2" thickBot="1" x14ac:dyDescent="0.35">
      <c r="A95" s="571">
        <v>34</v>
      </c>
      <c r="B95" s="696">
        <v>22.560944619391517</v>
      </c>
      <c r="C95" s="695">
        <f t="shared" si="0"/>
        <v>22.621844615739601</v>
      </c>
      <c r="E95" s="451" t="s">
        <v>116</v>
      </c>
      <c r="F95" s="689"/>
      <c r="G95" s="689"/>
      <c r="H95" s="451" t="s">
        <v>236</v>
      </c>
      <c r="I95" s="689"/>
      <c r="J95" s="689"/>
      <c r="K95" s="689"/>
      <c r="L95" s="689"/>
      <c r="M95" s="689"/>
      <c r="N95" s="689"/>
    </row>
    <row r="96" spans="1:19" ht="15" x14ac:dyDescent="0.25">
      <c r="A96" s="571">
        <v>35</v>
      </c>
      <c r="B96" s="696">
        <v>22.675683791491206</v>
      </c>
      <c r="C96" s="695">
        <f t="shared" si="0"/>
        <v>22.62722853331476</v>
      </c>
      <c r="E96" s="697"/>
      <c r="F96" s="402"/>
      <c r="G96" s="402"/>
      <c r="H96" s="402"/>
      <c r="I96" s="402"/>
      <c r="J96" s="402"/>
      <c r="K96" s="402"/>
      <c r="L96" s="402"/>
      <c r="M96" s="402"/>
      <c r="N96" s="698"/>
    </row>
    <row r="97" spans="1:14" ht="15.6" x14ac:dyDescent="0.3">
      <c r="A97" s="571">
        <v>36</v>
      </c>
      <c r="B97" s="696">
        <v>22.637435324550875</v>
      </c>
      <c r="C97" s="695">
        <f t="shared" si="0"/>
        <v>22.628249212438373</v>
      </c>
      <c r="E97" s="699" t="s">
        <v>657</v>
      </c>
      <c r="F97" s="700"/>
      <c r="G97" s="700"/>
      <c r="H97" s="700"/>
      <c r="I97" s="700"/>
      <c r="J97" s="700"/>
      <c r="K97" s="700"/>
      <c r="L97" s="701"/>
      <c r="M97" s="701"/>
      <c r="N97" s="702"/>
    </row>
    <row r="98" spans="1:14" ht="15.6" x14ac:dyDescent="0.3">
      <c r="A98" s="571">
        <v>37</v>
      </c>
      <c r="B98" s="696">
        <v>22.675683791491206</v>
      </c>
      <c r="C98" s="695">
        <f t="shared" si="0"/>
        <v>22.632992670343658</v>
      </c>
      <c r="E98" s="699" t="s">
        <v>140</v>
      </c>
      <c r="F98" s="700"/>
      <c r="G98" s="700"/>
      <c r="H98" s="700"/>
      <c r="I98" s="700"/>
      <c r="J98" s="700"/>
      <c r="K98" s="700"/>
      <c r="L98" s="701"/>
      <c r="M98" s="701"/>
      <c r="N98" s="702"/>
    </row>
    <row r="99" spans="1:14" ht="15.6" x14ac:dyDescent="0.3">
      <c r="A99" s="571">
        <v>38</v>
      </c>
      <c r="B99" s="696">
        <v>22.981955782375604</v>
      </c>
      <c r="C99" s="695">
        <f t="shared" si="0"/>
        <v>22.667888981546852</v>
      </c>
      <c r="E99" s="703"/>
      <c r="F99" s="704"/>
      <c r="G99" s="704"/>
      <c r="H99" s="704"/>
      <c r="I99" s="704"/>
      <c r="J99" s="704"/>
      <c r="K99" s="704"/>
      <c r="L99" s="405"/>
      <c r="M99" s="405"/>
      <c r="N99" s="705"/>
    </row>
    <row r="100" spans="1:14" ht="15.6" x14ac:dyDescent="0.3">
      <c r="A100" s="571">
        <v>39</v>
      </c>
      <c r="B100" s="696">
        <v>23.02022309435311</v>
      </c>
      <c r="C100" s="695">
        <f t="shared" si="0"/>
        <v>22.703122392827478</v>
      </c>
      <c r="E100" s="706" t="s">
        <v>658</v>
      </c>
      <c r="F100" s="707"/>
      <c r="G100" s="707"/>
      <c r="H100" s="707"/>
      <c r="I100" s="707"/>
      <c r="J100" s="707"/>
      <c r="K100" s="707"/>
      <c r="L100" s="595"/>
      <c r="M100" s="595"/>
      <c r="N100" s="708"/>
    </row>
    <row r="101" spans="1:14" ht="15.6" x14ac:dyDescent="0.3">
      <c r="A101" s="571">
        <v>40</v>
      </c>
      <c r="B101" s="696">
        <v>22.828907552718515</v>
      </c>
      <c r="C101" s="695">
        <f t="shared" si="0"/>
        <v>22.715700908816583</v>
      </c>
      <c r="E101" s="703"/>
      <c r="F101" s="704"/>
      <c r="G101" s="704"/>
      <c r="H101" s="704"/>
      <c r="I101" s="704"/>
      <c r="J101" s="704"/>
      <c r="K101" s="704"/>
      <c r="L101" s="405"/>
      <c r="M101" s="405"/>
      <c r="N101" s="705"/>
    </row>
    <row r="102" spans="1:14" ht="15.6" x14ac:dyDescent="0.3">
      <c r="A102" s="571">
        <v>41</v>
      </c>
      <c r="B102" s="696">
        <v>22.675683791491206</v>
      </c>
      <c r="C102" s="695">
        <f t="shared" si="0"/>
        <v>22.711699197084044</v>
      </c>
      <c r="E102" s="703" t="s">
        <v>659</v>
      </c>
      <c r="F102" s="704" t="s">
        <v>660</v>
      </c>
      <c r="G102" s="704"/>
      <c r="H102" s="704"/>
      <c r="I102" s="704"/>
      <c r="J102" s="704"/>
      <c r="K102" s="704"/>
      <c r="L102" s="405"/>
      <c r="M102" s="405"/>
      <c r="N102" s="705"/>
    </row>
    <row r="103" spans="1:14" ht="15.6" x14ac:dyDescent="0.3">
      <c r="A103" s="571">
        <v>42</v>
      </c>
      <c r="B103" s="696">
        <v>22.331313199878746</v>
      </c>
      <c r="C103" s="695">
        <f t="shared" si="0"/>
        <v>22.673660597363515</v>
      </c>
      <c r="E103" s="703" t="s">
        <v>661</v>
      </c>
      <c r="F103" s="704" t="s">
        <v>662</v>
      </c>
      <c r="G103" s="704"/>
      <c r="H103" s="704"/>
      <c r="I103" s="704"/>
      <c r="J103" s="704"/>
      <c r="K103" s="704"/>
      <c r="L103" s="405"/>
      <c r="M103" s="405"/>
      <c r="N103" s="705"/>
    </row>
    <row r="104" spans="1:14" ht="15.6" x14ac:dyDescent="0.3">
      <c r="A104" s="571">
        <v>43</v>
      </c>
      <c r="B104" s="696">
        <v>22.867166463515883</v>
      </c>
      <c r="C104" s="695">
        <f t="shared" si="0"/>
        <v>22.693011183978751</v>
      </c>
      <c r="E104" s="703" t="s">
        <v>663</v>
      </c>
      <c r="F104" s="704" t="s">
        <v>664</v>
      </c>
      <c r="G104" s="704"/>
      <c r="H104" s="704"/>
      <c r="I104" s="704"/>
      <c r="J104" s="704"/>
      <c r="K104" s="704"/>
      <c r="L104" s="405"/>
      <c r="M104" s="405"/>
      <c r="N104" s="705"/>
    </row>
    <row r="105" spans="1:14" ht="15.6" x14ac:dyDescent="0.3">
      <c r="A105" s="571">
        <v>44</v>
      </c>
      <c r="B105" s="696">
        <v>22.675683791491206</v>
      </c>
      <c r="C105" s="695">
        <f t="shared" si="0"/>
        <v>22.691278444729996</v>
      </c>
      <c r="E105" s="703"/>
      <c r="F105" s="704"/>
      <c r="G105" s="704"/>
      <c r="H105" s="704"/>
      <c r="I105" s="704"/>
      <c r="J105" s="704"/>
      <c r="K105" s="704"/>
      <c r="L105" s="405"/>
      <c r="M105" s="405"/>
      <c r="N105" s="705"/>
    </row>
    <row r="106" spans="1:14" ht="15.6" x14ac:dyDescent="0.3">
      <c r="A106" s="571">
        <v>45</v>
      </c>
      <c r="B106" s="696">
        <v>22.599188934876434</v>
      </c>
      <c r="C106" s="695">
        <f t="shared" si="0"/>
        <v>22.682069493744638</v>
      </c>
      <c r="E106" s="703" t="s">
        <v>665</v>
      </c>
      <c r="F106" s="704"/>
      <c r="G106" s="704"/>
      <c r="H106" s="704"/>
      <c r="I106" s="704"/>
      <c r="J106" s="704"/>
      <c r="K106" s="704"/>
      <c r="L106" s="405"/>
      <c r="M106" s="405"/>
      <c r="N106" s="705"/>
    </row>
    <row r="107" spans="1:14" ht="15.6" x14ac:dyDescent="0.3">
      <c r="A107" s="571">
        <v>46</v>
      </c>
      <c r="B107" s="696">
        <v>22.637435324550875</v>
      </c>
      <c r="C107" s="695">
        <f t="shared" si="0"/>
        <v>22.677606076825263</v>
      </c>
      <c r="E107" s="703" t="s">
        <v>666</v>
      </c>
      <c r="F107" s="704"/>
      <c r="G107" s="704"/>
      <c r="H107" s="704"/>
      <c r="I107" s="704"/>
      <c r="J107" s="704"/>
      <c r="K107" s="704"/>
      <c r="L107" s="405"/>
      <c r="M107" s="405"/>
      <c r="N107" s="705"/>
    </row>
    <row r="108" spans="1:14" ht="15.6" x14ac:dyDescent="0.3">
      <c r="A108" s="571">
        <v>47</v>
      </c>
      <c r="B108" s="696">
        <v>23.173522615221241</v>
      </c>
      <c r="C108" s="695">
        <f t="shared" si="0"/>
        <v>22.727197730664862</v>
      </c>
      <c r="E108" s="703"/>
      <c r="F108" s="704"/>
      <c r="G108" s="704"/>
      <c r="H108" s="704"/>
      <c r="I108" s="704"/>
      <c r="J108" s="704"/>
      <c r="K108" s="704"/>
      <c r="L108" s="405"/>
      <c r="M108" s="405"/>
      <c r="N108" s="705"/>
    </row>
    <row r="109" spans="1:14" ht="15.6" x14ac:dyDescent="0.3">
      <c r="A109" s="571">
        <v>48</v>
      </c>
      <c r="B109" s="696">
        <v>23.173522615221241</v>
      </c>
      <c r="C109" s="695">
        <f t="shared" si="0"/>
        <v>22.771830219120499</v>
      </c>
      <c r="E109" s="703"/>
      <c r="F109" s="704"/>
      <c r="G109" s="704"/>
      <c r="H109" s="704"/>
      <c r="I109" s="704"/>
      <c r="J109" s="704"/>
      <c r="K109" s="704"/>
      <c r="L109" s="405"/>
      <c r="M109" s="405"/>
      <c r="N109" s="705"/>
    </row>
    <row r="110" spans="1:14" ht="15" x14ac:dyDescent="0.25">
      <c r="A110" s="571">
        <v>49</v>
      </c>
      <c r="B110" s="696">
        <v>22.713934338773338</v>
      </c>
      <c r="C110" s="695">
        <f t="shared" si="0"/>
        <v>22.766040631085783</v>
      </c>
      <c r="E110" s="709"/>
      <c r="F110" s="710"/>
      <c r="G110" s="710"/>
      <c r="H110" s="710"/>
      <c r="I110" s="710"/>
      <c r="J110" s="710"/>
      <c r="K110" s="710"/>
      <c r="L110" s="710"/>
      <c r="M110" s="710"/>
      <c r="N110" s="711"/>
    </row>
    <row r="111" spans="1:14" ht="15" x14ac:dyDescent="0.25">
      <c r="A111" s="571">
        <v>50</v>
      </c>
      <c r="B111" s="696">
        <v>22.675683791491206</v>
      </c>
      <c r="C111" s="695">
        <f t="shared" si="0"/>
        <v>22.757004947126326</v>
      </c>
    </row>
    <row r="112" spans="1:14" ht="15" x14ac:dyDescent="0.25">
      <c r="A112" s="571">
        <v>51</v>
      </c>
      <c r="B112" s="696">
        <v>22.599188934876434</v>
      </c>
      <c r="C112" s="695">
        <f t="shared" si="0"/>
        <v>22.741223345901336</v>
      </c>
    </row>
    <row r="113" spans="1:3" ht="15" x14ac:dyDescent="0.25">
      <c r="A113" s="571">
        <v>52</v>
      </c>
      <c r="B113" s="696">
        <v>22.599188934876434</v>
      </c>
      <c r="C113" s="695">
        <f t="shared" si="0"/>
        <v>22.727019904798844</v>
      </c>
    </row>
    <row r="114" spans="1:3" ht="15" x14ac:dyDescent="0.25">
      <c r="A114" s="571">
        <v>53</v>
      </c>
      <c r="B114" s="696">
        <v>22.484462198673423</v>
      </c>
      <c r="C114" s="695">
        <f t="shared" si="0"/>
        <v>22.702764134186303</v>
      </c>
    </row>
    <row r="115" spans="1:3" ht="15" x14ac:dyDescent="0.25">
      <c r="A115" s="571">
        <v>54</v>
      </c>
      <c r="B115" s="696">
        <v>22.599188934876434</v>
      </c>
      <c r="C115" s="695">
        <f t="shared" si="0"/>
        <v>22.692406614255315</v>
      </c>
    </row>
    <row r="116" spans="1:3" ht="15" x14ac:dyDescent="0.25">
      <c r="A116" s="571">
        <v>55</v>
      </c>
      <c r="B116" s="696">
        <v>22.675683791491206</v>
      </c>
      <c r="C116" s="695">
        <f t="shared" si="0"/>
        <v>22.690734331978906</v>
      </c>
    </row>
    <row r="117" spans="1:3" ht="15" x14ac:dyDescent="0.25">
      <c r="A117" s="571">
        <v>56</v>
      </c>
      <c r="B117" s="696">
        <v>22.446224087277283</v>
      </c>
      <c r="C117" s="695">
        <f t="shared" si="0"/>
        <v>22.666283307508742</v>
      </c>
    </row>
    <row r="118" spans="1:3" ht="15" x14ac:dyDescent="0.25">
      <c r="A118" s="571">
        <v>57</v>
      </c>
      <c r="B118" s="696">
        <v>22.560944619391517</v>
      </c>
      <c r="C118" s="695">
        <f t="shared" si="0"/>
        <v>22.655749438697018</v>
      </c>
    </row>
    <row r="119" spans="1:3" ht="15" x14ac:dyDescent="0.25">
      <c r="A119" s="571">
        <v>58</v>
      </c>
      <c r="B119" s="696">
        <v>23.364933346891444</v>
      </c>
      <c r="C119" s="695">
        <f t="shared" si="0"/>
        <v>22.726667829516462</v>
      </c>
    </row>
    <row r="120" spans="1:3" ht="15" x14ac:dyDescent="0.25">
      <c r="A120" s="571">
        <v>59</v>
      </c>
      <c r="B120" s="696">
        <v>22.790650734557044</v>
      </c>
      <c r="C120" s="695">
        <f t="shared" si="0"/>
        <v>22.733066120020521</v>
      </c>
    </row>
    <row r="121" spans="1:3" ht="15" x14ac:dyDescent="0.25">
      <c r="A121" s="571">
        <v>60</v>
      </c>
      <c r="B121" s="696">
        <v>22.752396005966471</v>
      </c>
      <c r="C121" s="695">
        <f t="shared" si="0"/>
        <v>22.734999108615117</v>
      </c>
    </row>
    <row r="122" spans="1:3" ht="15" x14ac:dyDescent="0.25">
      <c r="A122" s="571">
        <v>61</v>
      </c>
      <c r="B122" s="696">
        <v>22.599188934876434</v>
      </c>
      <c r="C122" s="695">
        <f t="shared" si="0"/>
        <v>22.721418091241247</v>
      </c>
    </row>
    <row r="123" spans="1:3" ht="15" x14ac:dyDescent="0.25">
      <c r="A123" s="571">
        <v>62</v>
      </c>
      <c r="B123" s="696">
        <v>22.560944619391517</v>
      </c>
      <c r="C123" s="695">
        <f t="shared" si="0"/>
        <v>22.705370744056275</v>
      </c>
    </row>
    <row r="124" spans="1:3" ht="15" x14ac:dyDescent="0.25">
      <c r="A124" s="571">
        <v>63</v>
      </c>
      <c r="B124" s="696">
        <v>22.637435324550875</v>
      </c>
      <c r="C124" s="695">
        <f t="shared" si="0"/>
        <v>22.698577202105735</v>
      </c>
    </row>
    <row r="125" spans="1:3" ht="15" x14ac:dyDescent="0.25">
      <c r="A125" s="571">
        <v>64</v>
      </c>
      <c r="B125" s="696">
        <v>22.637435324550875</v>
      </c>
      <c r="C125" s="695">
        <f t="shared" si="0"/>
        <v>22.692463014350249</v>
      </c>
    </row>
    <row r="126" spans="1:3" ht="15" x14ac:dyDescent="0.25">
      <c r="A126" s="571">
        <v>65</v>
      </c>
      <c r="B126" s="696">
        <v>22.867166463515883</v>
      </c>
      <c r="C126" s="695">
        <f t="shared" si="0"/>
        <v>22.709933359266813</v>
      </c>
    </row>
    <row r="127" spans="1:3" ht="15" x14ac:dyDescent="0.25">
      <c r="A127" s="571">
        <v>66</v>
      </c>
      <c r="B127" s="696">
        <v>22.407988037742921</v>
      </c>
      <c r="C127" s="695">
        <f t="shared" si="0"/>
        <v>22.679738827114424</v>
      </c>
    </row>
    <row r="128" spans="1:3" ht="15" x14ac:dyDescent="0.25">
      <c r="A128" s="571">
        <v>67</v>
      </c>
      <c r="B128" s="696">
        <v>22.675683791491206</v>
      </c>
      <c r="C128" s="695">
        <f t="shared" ref="C128:C191" si="1">$C127-($B$53*($C127-B128))</f>
        <v>22.6793333235521</v>
      </c>
    </row>
    <row r="129" spans="1:3" ht="15" x14ac:dyDescent="0.25">
      <c r="A129" s="571">
        <v>68</v>
      </c>
      <c r="B129" s="696">
        <v>22.752396005966471</v>
      </c>
      <c r="C129" s="695">
        <f t="shared" si="1"/>
        <v>22.686639591793536</v>
      </c>
    </row>
    <row r="130" spans="1:3" ht="15" x14ac:dyDescent="0.25">
      <c r="A130" s="571">
        <v>69</v>
      </c>
      <c r="B130" s="696">
        <v>22.675683791491206</v>
      </c>
      <c r="C130" s="695">
        <f t="shared" si="1"/>
        <v>22.685544011763305</v>
      </c>
    </row>
    <row r="131" spans="1:3" ht="15" x14ac:dyDescent="0.25">
      <c r="A131" s="571">
        <v>70</v>
      </c>
      <c r="B131" s="696">
        <v>22.637435324550875</v>
      </c>
      <c r="C131" s="695">
        <f t="shared" si="1"/>
        <v>22.680733143042062</v>
      </c>
    </row>
    <row r="132" spans="1:3" ht="15" x14ac:dyDescent="0.25">
      <c r="A132" s="571">
        <v>71</v>
      </c>
      <c r="B132" s="696">
        <v>22.675683791491206</v>
      </c>
      <c r="C132" s="695">
        <f t="shared" si="1"/>
        <v>22.680228207886977</v>
      </c>
    </row>
    <row r="133" spans="1:3" ht="15" x14ac:dyDescent="0.25">
      <c r="A133" s="571">
        <v>72</v>
      </c>
      <c r="B133" s="696">
        <v>22.560944619391517</v>
      </c>
      <c r="C133" s="695">
        <f t="shared" si="1"/>
        <v>22.668299849037432</v>
      </c>
    </row>
    <row r="134" spans="1:3" ht="15" x14ac:dyDescent="0.25">
      <c r="A134" s="571">
        <v>73</v>
      </c>
      <c r="B134" s="696">
        <v>22.637435324550875</v>
      </c>
      <c r="C134" s="695">
        <f t="shared" si="1"/>
        <v>22.665213396588776</v>
      </c>
    </row>
    <row r="135" spans="1:3" ht="15" x14ac:dyDescent="0.25">
      <c r="A135" s="571">
        <v>74</v>
      </c>
      <c r="B135" s="696">
        <v>22.867166463515883</v>
      </c>
      <c r="C135" s="695">
        <f t="shared" si="1"/>
        <v>22.685408703281485</v>
      </c>
    </row>
    <row r="136" spans="1:3" ht="15" x14ac:dyDescent="0.25">
      <c r="A136" s="571">
        <v>75</v>
      </c>
      <c r="B136" s="696">
        <v>22.637435324550875</v>
      </c>
      <c r="C136" s="695">
        <f t="shared" si="1"/>
        <v>22.680611365408424</v>
      </c>
    </row>
    <row r="137" spans="1:3" ht="15" x14ac:dyDescent="0.25">
      <c r="A137" s="571">
        <v>76</v>
      </c>
      <c r="B137" s="696">
        <v>22.713934338773338</v>
      </c>
      <c r="C137" s="695">
        <f t="shared" si="1"/>
        <v>22.683943662744916</v>
      </c>
    </row>
    <row r="138" spans="1:3" ht="15" x14ac:dyDescent="0.25">
      <c r="A138" s="571">
        <v>77</v>
      </c>
      <c r="B138" s="696">
        <v>22.713934338773338</v>
      </c>
      <c r="C138" s="695">
        <f t="shared" si="1"/>
        <v>22.686942730347759</v>
      </c>
    </row>
    <row r="139" spans="1:3" ht="15" x14ac:dyDescent="0.25">
      <c r="A139" s="571">
        <v>78</v>
      </c>
      <c r="B139" s="696">
        <v>22.446224087277283</v>
      </c>
      <c r="C139" s="695">
        <f t="shared" si="1"/>
        <v>22.662870866040713</v>
      </c>
    </row>
    <row r="140" spans="1:3" ht="15" x14ac:dyDescent="0.25">
      <c r="A140" s="571">
        <v>79</v>
      </c>
      <c r="B140" s="696">
        <v>22.599188934876434</v>
      </c>
      <c r="C140" s="695">
        <f t="shared" si="1"/>
        <v>22.656502672924283</v>
      </c>
    </row>
    <row r="141" spans="1:3" ht="15" x14ac:dyDescent="0.25">
      <c r="A141" s="571">
        <v>80</v>
      </c>
      <c r="B141" s="696">
        <v>22.713934338773338</v>
      </c>
      <c r="C141" s="695">
        <f t="shared" si="1"/>
        <v>22.66224583950919</v>
      </c>
    </row>
    <row r="142" spans="1:3" ht="15" x14ac:dyDescent="0.25">
      <c r="A142" s="571">
        <v>81</v>
      </c>
      <c r="B142" s="696">
        <v>22.637435324550875</v>
      </c>
      <c r="C142" s="695">
        <f t="shared" si="1"/>
        <v>22.659764788013359</v>
      </c>
    </row>
    <row r="143" spans="1:3" ht="15" x14ac:dyDescent="0.25">
      <c r="A143" s="571">
        <v>82</v>
      </c>
      <c r="B143" s="696">
        <v>22.675683791491206</v>
      </c>
      <c r="C143" s="695">
        <f t="shared" si="1"/>
        <v>22.661356688361142</v>
      </c>
    </row>
    <row r="144" spans="1:3" ht="15" x14ac:dyDescent="0.25">
      <c r="A144" s="571">
        <v>83</v>
      </c>
      <c r="B144" s="696">
        <v>23.173522615221241</v>
      </c>
      <c r="C144" s="695">
        <f t="shared" si="1"/>
        <v>22.712573281047153</v>
      </c>
    </row>
    <row r="145" spans="1:3" ht="15" x14ac:dyDescent="0.25">
      <c r="A145" s="571">
        <v>84</v>
      </c>
      <c r="B145" s="696">
        <v>23.288362669357735</v>
      </c>
      <c r="C145" s="695">
        <f t="shared" si="1"/>
        <v>22.770152219878209</v>
      </c>
    </row>
    <row r="146" spans="1:3" ht="15" x14ac:dyDescent="0.25">
      <c r="A146" s="571">
        <v>85</v>
      </c>
      <c r="B146" s="696">
        <v>22.522702375017484</v>
      </c>
      <c r="C146" s="695">
        <f t="shared" si="1"/>
        <v>22.745407235392136</v>
      </c>
    </row>
    <row r="147" spans="1:3" ht="15" x14ac:dyDescent="0.25">
      <c r="A147" s="571">
        <v>86</v>
      </c>
      <c r="B147" s="696">
        <v>22.637435324550875</v>
      </c>
      <c r="C147" s="695">
        <f t="shared" si="1"/>
        <v>22.73461004430801</v>
      </c>
    </row>
    <row r="148" spans="1:3" ht="15" x14ac:dyDescent="0.25">
      <c r="A148" s="571">
        <v>87</v>
      </c>
      <c r="B148" s="696">
        <v>22.293083328613516</v>
      </c>
      <c r="C148" s="695">
        <f t="shared" si="1"/>
        <v>22.69045737273856</v>
      </c>
    </row>
    <row r="149" spans="1:3" ht="15" x14ac:dyDescent="0.25">
      <c r="A149" s="571">
        <v>88</v>
      </c>
      <c r="B149" s="696">
        <v>22.599188934876434</v>
      </c>
      <c r="C149" s="695">
        <f t="shared" si="1"/>
        <v>22.681330528952348</v>
      </c>
    </row>
    <row r="150" spans="1:3" ht="15" x14ac:dyDescent="0.25">
      <c r="A150" s="571">
        <v>89</v>
      </c>
      <c r="B150" s="696">
        <v>22.637435324550875</v>
      </c>
      <c r="C150" s="695">
        <f t="shared" si="1"/>
        <v>22.676941008512202</v>
      </c>
    </row>
    <row r="151" spans="1:3" ht="15" x14ac:dyDescent="0.25">
      <c r="A151" s="571">
        <v>90</v>
      </c>
      <c r="B151" s="696">
        <v>22.637435324550875</v>
      </c>
      <c r="C151" s="695">
        <f t="shared" si="1"/>
        <v>22.67299044011607</v>
      </c>
    </row>
    <row r="152" spans="1:3" ht="15" x14ac:dyDescent="0.25">
      <c r="A152" s="571">
        <v>91</v>
      </c>
      <c r="B152" s="696">
        <v>22.713934338773338</v>
      </c>
      <c r="C152" s="695">
        <f t="shared" si="1"/>
        <v>22.677084829981798</v>
      </c>
    </row>
    <row r="153" spans="1:3" ht="15" x14ac:dyDescent="0.25">
      <c r="A153" s="571">
        <v>92</v>
      </c>
      <c r="B153" s="696">
        <v>22.675683791491206</v>
      </c>
      <c r="C153" s="695">
        <f t="shared" si="1"/>
        <v>22.676944726132739</v>
      </c>
    </row>
    <row r="154" spans="1:3" ht="15" x14ac:dyDescent="0.25">
      <c r="A154" s="571">
        <v>93</v>
      </c>
      <c r="B154" s="696">
        <v>22.637435324550875</v>
      </c>
      <c r="C154" s="695">
        <f t="shared" si="1"/>
        <v>22.672993785974551</v>
      </c>
    </row>
    <row r="155" spans="1:3" ht="15" x14ac:dyDescent="0.25">
      <c r="A155" s="571">
        <v>94</v>
      </c>
      <c r="B155" s="696">
        <v>22.637435324550875</v>
      </c>
      <c r="C155" s="695">
        <f t="shared" si="1"/>
        <v>22.669437939832182</v>
      </c>
    </row>
    <row r="156" spans="1:3" ht="15" x14ac:dyDescent="0.25">
      <c r="A156" s="571">
        <v>95</v>
      </c>
      <c r="B156" s="696">
        <v>22.599188934876434</v>
      </c>
      <c r="C156" s="695">
        <f t="shared" si="1"/>
        <v>22.662413039336606</v>
      </c>
    </row>
    <row r="157" spans="1:3" ht="15" x14ac:dyDescent="0.25">
      <c r="A157" s="571">
        <v>96</v>
      </c>
      <c r="B157" s="696">
        <v>22.867166463515883</v>
      </c>
      <c r="C157" s="695">
        <f t="shared" si="1"/>
        <v>22.682888381754534</v>
      </c>
    </row>
    <row r="158" spans="1:3" ht="15" x14ac:dyDescent="0.25">
      <c r="A158" s="571">
        <v>97</v>
      </c>
      <c r="B158" s="696">
        <v>22.713934338773338</v>
      </c>
      <c r="C158" s="695">
        <f t="shared" si="1"/>
        <v>22.685992977456415</v>
      </c>
    </row>
    <row r="159" spans="1:3" ht="15" x14ac:dyDescent="0.25">
      <c r="A159" s="571">
        <v>98</v>
      </c>
      <c r="B159" s="696">
        <v>22.675683791491206</v>
      </c>
      <c r="C159" s="695">
        <f t="shared" si="1"/>
        <v>22.684962058859895</v>
      </c>
    </row>
    <row r="160" spans="1:3" ht="15" x14ac:dyDescent="0.25">
      <c r="A160" s="571">
        <v>99</v>
      </c>
      <c r="B160" s="696">
        <v>22.713934338773338</v>
      </c>
      <c r="C160" s="695">
        <f t="shared" si="1"/>
        <v>22.687859286851239</v>
      </c>
    </row>
    <row r="161" spans="1:3" ht="15" x14ac:dyDescent="0.25">
      <c r="A161" s="571">
        <v>100</v>
      </c>
      <c r="B161" s="696">
        <v>22.675683791491206</v>
      </c>
      <c r="C161" s="695">
        <f t="shared" si="1"/>
        <v>22.686641737315234</v>
      </c>
    </row>
    <row r="162" spans="1:3" ht="15" x14ac:dyDescent="0.25">
      <c r="A162" s="571">
        <v>101</v>
      </c>
      <c r="B162" s="696">
        <v>22.752396005966471</v>
      </c>
      <c r="C162" s="695">
        <f t="shared" si="1"/>
        <v>22.693217164180357</v>
      </c>
    </row>
    <row r="163" spans="1:3" ht="15" x14ac:dyDescent="0.25">
      <c r="A163" s="571">
        <v>102</v>
      </c>
      <c r="B163" s="696">
        <v>22.637435324550875</v>
      </c>
      <c r="C163" s="695">
        <f t="shared" si="1"/>
        <v>22.687638980217407</v>
      </c>
    </row>
    <row r="164" spans="1:3" ht="15" x14ac:dyDescent="0.25">
      <c r="A164" s="571">
        <v>103</v>
      </c>
      <c r="B164" s="696">
        <v>22.675683791491206</v>
      </c>
      <c r="C164" s="695">
        <f t="shared" si="1"/>
        <v>22.686443461344787</v>
      </c>
    </row>
    <row r="165" spans="1:3" ht="15" x14ac:dyDescent="0.25">
      <c r="A165" s="571">
        <v>104</v>
      </c>
      <c r="B165" s="696">
        <v>22.637435324550875</v>
      </c>
      <c r="C165" s="695">
        <f t="shared" si="1"/>
        <v>22.681542647665395</v>
      </c>
    </row>
    <row r="166" spans="1:3" ht="15" x14ac:dyDescent="0.25">
      <c r="A166" s="571">
        <v>105</v>
      </c>
      <c r="B166" s="696">
        <v>22.637435324550875</v>
      </c>
      <c r="C166" s="695">
        <f t="shared" si="1"/>
        <v>22.677131915353943</v>
      </c>
    </row>
    <row r="167" spans="1:3" ht="15" x14ac:dyDescent="0.25">
      <c r="A167" s="571">
        <v>106</v>
      </c>
      <c r="B167" s="696">
        <v>22.675683791491206</v>
      </c>
      <c r="C167" s="695">
        <f t="shared" si="1"/>
        <v>22.676987102967669</v>
      </c>
    </row>
    <row r="168" spans="1:3" ht="15" x14ac:dyDescent="0.25">
      <c r="A168" s="571">
        <v>107</v>
      </c>
      <c r="B168" s="696">
        <v>22.752396005966471</v>
      </c>
      <c r="C168" s="695">
        <f t="shared" si="1"/>
        <v>22.684527993267547</v>
      </c>
    </row>
    <row r="169" spans="1:3" ht="15" x14ac:dyDescent="0.25">
      <c r="A169" s="571">
        <v>108</v>
      </c>
      <c r="B169" s="696">
        <v>22.637435324550875</v>
      </c>
      <c r="C169" s="695">
        <f t="shared" si="1"/>
        <v>22.679818726395879</v>
      </c>
    </row>
    <row r="170" spans="1:3" ht="15" x14ac:dyDescent="0.25">
      <c r="A170" s="571">
        <v>109</v>
      </c>
      <c r="B170" s="696">
        <v>22.828907552718515</v>
      </c>
      <c r="C170" s="695">
        <f t="shared" si="1"/>
        <v>22.694727609028142</v>
      </c>
    </row>
    <row r="171" spans="1:3" ht="15" x14ac:dyDescent="0.25">
      <c r="A171" s="571">
        <v>110</v>
      </c>
      <c r="B171" s="696">
        <v>23.403221887214254</v>
      </c>
      <c r="C171" s="695">
        <f t="shared" si="1"/>
        <v>22.765577036846754</v>
      </c>
    </row>
    <row r="172" spans="1:3" ht="15" x14ac:dyDescent="0.25">
      <c r="A172" s="571">
        <v>111</v>
      </c>
      <c r="B172" s="696">
        <v>22.599188934876434</v>
      </c>
      <c r="C172" s="695">
        <f t="shared" si="1"/>
        <v>22.74893822664972</v>
      </c>
    </row>
    <row r="173" spans="1:3" ht="15" x14ac:dyDescent="0.25">
      <c r="A173" s="571">
        <v>112</v>
      </c>
      <c r="B173" s="696">
        <v>22.599188934876434</v>
      </c>
      <c r="C173" s="695">
        <f t="shared" si="1"/>
        <v>22.733963297472393</v>
      </c>
    </row>
    <row r="174" spans="1:3" ht="15" x14ac:dyDescent="0.25">
      <c r="A174" s="571">
        <v>113</v>
      </c>
      <c r="B174" s="696">
        <v>22.101964652680959</v>
      </c>
      <c r="C174" s="695">
        <f t="shared" si="1"/>
        <v>22.670763432993247</v>
      </c>
    </row>
    <row r="175" spans="1:3" ht="15" x14ac:dyDescent="0.25">
      <c r="A175" s="571">
        <v>114</v>
      </c>
      <c r="B175" s="696">
        <v>22.560944619391517</v>
      </c>
      <c r="C175" s="695">
        <f t="shared" si="1"/>
        <v>22.659781551633074</v>
      </c>
    </row>
    <row r="176" spans="1:3" ht="15" x14ac:dyDescent="0.25">
      <c r="A176" s="571">
        <v>115</v>
      </c>
      <c r="B176" s="696">
        <v>22.675683791491206</v>
      </c>
      <c r="C176" s="695">
        <f t="shared" si="1"/>
        <v>22.661371775618889</v>
      </c>
    </row>
    <row r="177" spans="1:3" ht="15" x14ac:dyDescent="0.25">
      <c r="A177" s="571">
        <v>116</v>
      </c>
      <c r="B177" s="696">
        <v>22.369754046985104</v>
      </c>
      <c r="C177" s="695">
        <f t="shared" si="1"/>
        <v>22.63221000275551</v>
      </c>
    </row>
    <row r="178" spans="1:3" ht="15" x14ac:dyDescent="0.25">
      <c r="A178" s="571">
        <v>117</v>
      </c>
      <c r="B178" s="696">
        <v>22.790650734557044</v>
      </c>
      <c r="C178" s="695">
        <f t="shared" si="1"/>
        <v>22.648054075935665</v>
      </c>
    </row>
    <row r="179" spans="1:3" ht="15" x14ac:dyDescent="0.25">
      <c r="A179" s="571">
        <v>118</v>
      </c>
      <c r="B179" s="696">
        <v>22.675683791491206</v>
      </c>
      <c r="C179" s="695">
        <f t="shared" si="1"/>
        <v>22.65081704749122</v>
      </c>
    </row>
    <row r="180" spans="1:3" ht="15" x14ac:dyDescent="0.25">
      <c r="A180" s="571">
        <v>119</v>
      </c>
      <c r="B180" s="696">
        <v>22.560944619391517</v>
      </c>
      <c r="C180" s="695">
        <f t="shared" si="1"/>
        <v>22.641829804681251</v>
      </c>
    </row>
    <row r="181" spans="1:3" ht="15" x14ac:dyDescent="0.25">
      <c r="A181" s="571">
        <v>120</v>
      </c>
      <c r="B181" s="696">
        <v>22.637435324550875</v>
      </c>
      <c r="C181" s="695">
        <f t="shared" si="1"/>
        <v>22.641390356668214</v>
      </c>
    </row>
    <row r="182" spans="1:3" ht="15" x14ac:dyDescent="0.25">
      <c r="A182" s="571">
        <v>121</v>
      </c>
      <c r="B182" s="696">
        <v>22.675683791491206</v>
      </c>
      <c r="C182" s="695">
        <f t="shared" si="1"/>
        <v>22.644819700150514</v>
      </c>
    </row>
    <row r="183" spans="1:3" ht="15" x14ac:dyDescent="0.25">
      <c r="A183" s="571">
        <v>122</v>
      </c>
      <c r="B183" s="696">
        <v>22.522702375017484</v>
      </c>
      <c r="C183" s="695">
        <f t="shared" si="1"/>
        <v>22.63260796763721</v>
      </c>
    </row>
    <row r="184" spans="1:3" ht="15" x14ac:dyDescent="0.25">
      <c r="A184" s="571">
        <v>123</v>
      </c>
      <c r="B184" s="696">
        <v>22.675683791491206</v>
      </c>
      <c r="C184" s="695">
        <f t="shared" si="1"/>
        <v>22.636915550022611</v>
      </c>
    </row>
    <row r="185" spans="1:3" ht="15" x14ac:dyDescent="0.25">
      <c r="A185" s="571">
        <v>124</v>
      </c>
      <c r="B185" s="696">
        <v>22.599188934876434</v>
      </c>
      <c r="C185" s="695">
        <f t="shared" si="1"/>
        <v>22.633142888507994</v>
      </c>
    </row>
    <row r="186" spans="1:3" ht="15" x14ac:dyDescent="0.25">
      <c r="A186" s="571">
        <v>125</v>
      </c>
      <c r="B186" s="696">
        <v>22.599188934876434</v>
      </c>
      <c r="C186" s="695">
        <f t="shared" si="1"/>
        <v>22.629747493144837</v>
      </c>
    </row>
    <row r="187" spans="1:3" ht="15" x14ac:dyDescent="0.25">
      <c r="A187" s="571">
        <v>126</v>
      </c>
      <c r="B187" s="696">
        <v>22.905427470017326</v>
      </c>
      <c r="C187" s="695">
        <f t="shared" si="1"/>
        <v>22.657315490832087</v>
      </c>
    </row>
    <row r="188" spans="1:3" ht="15" x14ac:dyDescent="0.25">
      <c r="A188" s="571">
        <v>127</v>
      </c>
      <c r="B188" s="696">
        <v>22.637435324550875</v>
      </c>
      <c r="C188" s="695">
        <f t="shared" si="1"/>
        <v>22.655327474203965</v>
      </c>
    </row>
    <row r="189" spans="1:3" ht="15" x14ac:dyDescent="0.25">
      <c r="A189" s="571">
        <v>128</v>
      </c>
      <c r="B189" s="696">
        <v>22.599188934876434</v>
      </c>
      <c r="C189" s="695">
        <f t="shared" si="1"/>
        <v>22.649713620271211</v>
      </c>
    </row>
    <row r="190" spans="1:3" ht="15" x14ac:dyDescent="0.25">
      <c r="A190" s="571">
        <v>129</v>
      </c>
      <c r="B190" s="696">
        <v>22.446224087277283</v>
      </c>
      <c r="C190" s="695">
        <f t="shared" si="1"/>
        <v>22.629364666971817</v>
      </c>
    </row>
    <row r="191" spans="1:3" ht="15" x14ac:dyDescent="0.25">
      <c r="A191" s="571">
        <v>130</v>
      </c>
      <c r="B191" s="696">
        <v>22.675683791491206</v>
      </c>
      <c r="C191" s="695">
        <f t="shared" si="1"/>
        <v>22.633996579423755</v>
      </c>
    </row>
    <row r="192" spans="1:3" ht="15" x14ac:dyDescent="0.25">
      <c r="A192" s="571">
        <v>131</v>
      </c>
      <c r="B192" s="696">
        <v>22.599188934876434</v>
      </c>
      <c r="C192" s="695">
        <f t="shared" ref="C192:C241" si="2">$C191-($B$53*($C191-B192))</f>
        <v>22.630515814969023</v>
      </c>
    </row>
    <row r="193" spans="1:3" ht="15" x14ac:dyDescent="0.25">
      <c r="A193" s="571">
        <v>132</v>
      </c>
      <c r="B193" s="696">
        <v>22.752396005966471</v>
      </c>
      <c r="C193" s="695">
        <f t="shared" si="2"/>
        <v>22.642703834068769</v>
      </c>
    </row>
    <row r="194" spans="1:3" ht="15" x14ac:dyDescent="0.25">
      <c r="A194" s="571">
        <v>133</v>
      </c>
      <c r="B194" s="696">
        <v>22.599188934876434</v>
      </c>
      <c r="C194" s="695">
        <f t="shared" si="2"/>
        <v>22.638352344149535</v>
      </c>
    </row>
    <row r="195" spans="1:3" ht="15" x14ac:dyDescent="0.25">
      <c r="A195" s="571">
        <v>134</v>
      </c>
      <c r="B195" s="696">
        <v>22.446224087277283</v>
      </c>
      <c r="C195" s="695">
        <f t="shared" si="2"/>
        <v>22.619139518462308</v>
      </c>
    </row>
    <row r="196" spans="1:3" ht="15" x14ac:dyDescent="0.25">
      <c r="A196" s="571">
        <v>135</v>
      </c>
      <c r="B196" s="696">
        <v>22.599188934876434</v>
      </c>
      <c r="C196" s="695">
        <f t="shared" si="2"/>
        <v>22.61714446010372</v>
      </c>
    </row>
    <row r="197" spans="1:3" ht="15" x14ac:dyDescent="0.25">
      <c r="A197" s="571">
        <v>136</v>
      </c>
      <c r="B197" s="696">
        <v>22.790650734557044</v>
      </c>
      <c r="C197" s="695">
        <f t="shared" si="2"/>
        <v>22.634495087549052</v>
      </c>
    </row>
    <row r="198" spans="1:3" ht="15" x14ac:dyDescent="0.25">
      <c r="A198" s="571">
        <v>137</v>
      </c>
      <c r="B198" s="696">
        <v>22.599188934876434</v>
      </c>
      <c r="C198" s="695">
        <f t="shared" si="2"/>
        <v>22.630964472281789</v>
      </c>
    </row>
    <row r="199" spans="1:3" ht="15" x14ac:dyDescent="0.25">
      <c r="A199" s="571">
        <v>138</v>
      </c>
      <c r="B199" s="696">
        <v>22.752396005966471</v>
      </c>
      <c r="C199" s="695">
        <f t="shared" si="2"/>
        <v>22.643107625650259</v>
      </c>
    </row>
    <row r="200" spans="1:3" ht="15" x14ac:dyDescent="0.25">
      <c r="A200" s="571">
        <v>139</v>
      </c>
      <c r="B200" s="696">
        <v>22.675683791491206</v>
      </c>
      <c r="C200" s="695">
        <f t="shared" si="2"/>
        <v>22.646365242234353</v>
      </c>
    </row>
    <row r="201" spans="1:3" ht="15" x14ac:dyDescent="0.25">
      <c r="A201" s="571">
        <v>140</v>
      </c>
      <c r="B201" s="696">
        <v>22.599188934876434</v>
      </c>
      <c r="C201" s="695">
        <f t="shared" si="2"/>
        <v>22.641647611498563</v>
      </c>
    </row>
    <row r="202" spans="1:3" ht="15" x14ac:dyDescent="0.25">
      <c r="A202" s="571">
        <v>141</v>
      </c>
      <c r="B202" s="696">
        <v>22.522702375017484</v>
      </c>
      <c r="C202" s="695">
        <f t="shared" si="2"/>
        <v>22.629753087850453</v>
      </c>
    </row>
    <row r="203" spans="1:3" ht="15" x14ac:dyDescent="0.25">
      <c r="A203" s="571">
        <v>142</v>
      </c>
      <c r="B203" s="696">
        <v>22.369754046985104</v>
      </c>
      <c r="C203" s="695">
        <f t="shared" si="2"/>
        <v>22.603753183763917</v>
      </c>
    </row>
    <row r="204" spans="1:3" ht="15" x14ac:dyDescent="0.25">
      <c r="A204" s="571">
        <v>143</v>
      </c>
      <c r="B204" s="696">
        <v>22.713934338773338</v>
      </c>
      <c r="C204" s="695">
        <f t="shared" si="2"/>
        <v>22.614771299264859</v>
      </c>
    </row>
    <row r="205" spans="1:3" ht="15" x14ac:dyDescent="0.25">
      <c r="A205" s="571">
        <v>144</v>
      </c>
      <c r="B205" s="696">
        <v>22.675683791491206</v>
      </c>
      <c r="C205" s="695">
        <f t="shared" si="2"/>
        <v>22.620862548487494</v>
      </c>
    </row>
    <row r="206" spans="1:3" ht="15" x14ac:dyDescent="0.25">
      <c r="A206" s="571">
        <v>145</v>
      </c>
      <c r="B206" s="696">
        <v>22.522702375017484</v>
      </c>
      <c r="C206" s="695">
        <f t="shared" si="2"/>
        <v>22.611046531140495</v>
      </c>
    </row>
    <row r="207" spans="1:3" ht="15" x14ac:dyDescent="0.25">
      <c r="A207" s="571">
        <v>146</v>
      </c>
      <c r="B207" s="696">
        <v>22.599188934876434</v>
      </c>
      <c r="C207" s="695">
        <f t="shared" si="2"/>
        <v>22.609860771514089</v>
      </c>
    </row>
    <row r="208" spans="1:3" ht="15" x14ac:dyDescent="0.25">
      <c r="A208" s="571">
        <v>147</v>
      </c>
      <c r="B208" s="696">
        <v>22.713934338773338</v>
      </c>
      <c r="C208" s="695">
        <f t="shared" si="2"/>
        <v>22.620268128240014</v>
      </c>
    </row>
    <row r="209" spans="1:3" ht="15" x14ac:dyDescent="0.25">
      <c r="A209" s="571">
        <v>148</v>
      </c>
      <c r="B209" s="696">
        <v>22.675683791491206</v>
      </c>
      <c r="C209" s="695">
        <f t="shared" si="2"/>
        <v>22.625809694565135</v>
      </c>
    </row>
    <row r="210" spans="1:3" ht="15" x14ac:dyDescent="0.25">
      <c r="A210" s="571">
        <v>149</v>
      </c>
      <c r="B210" s="696">
        <v>22.407988037742921</v>
      </c>
      <c r="C210" s="695">
        <f t="shared" si="2"/>
        <v>22.604027528882913</v>
      </c>
    </row>
    <row r="211" spans="1:3" ht="15" x14ac:dyDescent="0.25">
      <c r="A211" s="571">
        <v>150</v>
      </c>
      <c r="B211" s="696">
        <v>22.637435324550875</v>
      </c>
      <c r="C211" s="695">
        <f t="shared" si="2"/>
        <v>22.607368308449708</v>
      </c>
    </row>
    <row r="212" spans="1:3" ht="15" x14ac:dyDescent="0.25">
      <c r="A212" s="571">
        <v>151</v>
      </c>
      <c r="B212" s="696">
        <v>22.675683791491206</v>
      </c>
      <c r="C212" s="695">
        <f t="shared" si="2"/>
        <v>22.614199856753856</v>
      </c>
    </row>
    <row r="213" spans="1:3" ht="15" x14ac:dyDescent="0.25">
      <c r="A213" s="571">
        <v>152</v>
      </c>
      <c r="B213" s="696">
        <v>22.369754046985104</v>
      </c>
      <c r="C213" s="695">
        <f t="shared" si="2"/>
        <v>22.58975527577698</v>
      </c>
    </row>
    <row r="214" spans="1:3" ht="15" x14ac:dyDescent="0.25">
      <c r="A214" s="571">
        <v>153</v>
      </c>
      <c r="B214" s="696">
        <v>22.560944619391517</v>
      </c>
      <c r="C214" s="695">
        <f t="shared" si="2"/>
        <v>22.586874210138433</v>
      </c>
    </row>
    <row r="215" spans="1:3" ht="15" x14ac:dyDescent="0.25">
      <c r="A215" s="571">
        <v>154</v>
      </c>
      <c r="B215" s="696">
        <v>22.560944619391517</v>
      </c>
      <c r="C215" s="695">
        <f t="shared" si="2"/>
        <v>22.584281251063743</v>
      </c>
    </row>
    <row r="216" spans="1:3" ht="15" x14ac:dyDescent="0.25">
      <c r="A216" s="571">
        <v>155</v>
      </c>
      <c r="B216" s="696">
        <v>22.101964652680959</v>
      </c>
      <c r="C216" s="695">
        <f t="shared" si="2"/>
        <v>22.536049591225463</v>
      </c>
    </row>
    <row r="217" spans="1:3" ht="15" x14ac:dyDescent="0.25">
      <c r="A217" s="571">
        <v>156</v>
      </c>
      <c r="B217" s="696">
        <v>22.140184307473515</v>
      </c>
      <c r="C217" s="695">
        <f t="shared" si="2"/>
        <v>22.496463062850268</v>
      </c>
    </row>
    <row r="218" spans="1:3" ht="15" x14ac:dyDescent="0.25">
      <c r="A218" s="571">
        <v>157</v>
      </c>
      <c r="B218" s="696">
        <v>22.407988037742921</v>
      </c>
      <c r="C218" s="695">
        <f t="shared" si="2"/>
        <v>22.487615560339535</v>
      </c>
    </row>
    <row r="219" spans="1:3" ht="15" x14ac:dyDescent="0.25">
      <c r="A219" s="571">
        <v>158</v>
      </c>
      <c r="B219" s="696">
        <v>22.943690575283522</v>
      </c>
      <c r="C219" s="695">
        <f t="shared" si="2"/>
        <v>22.533223061833933</v>
      </c>
    </row>
    <row r="220" spans="1:3" ht="15" x14ac:dyDescent="0.25">
      <c r="A220" s="571">
        <v>159</v>
      </c>
      <c r="B220" s="696">
        <v>22.369754046985104</v>
      </c>
      <c r="C220" s="695">
        <f t="shared" si="2"/>
        <v>22.516876160349049</v>
      </c>
    </row>
    <row r="221" spans="1:3" ht="15" x14ac:dyDescent="0.25">
      <c r="A221" s="571">
        <v>160</v>
      </c>
      <c r="B221" s="712">
        <v>22.637435324550875</v>
      </c>
      <c r="C221" s="695">
        <f t="shared" si="2"/>
        <v>22.52893207676923</v>
      </c>
    </row>
    <row r="222" spans="1:3" ht="15" x14ac:dyDescent="0.25">
      <c r="A222" s="571">
        <v>161</v>
      </c>
      <c r="B222" s="713">
        <v>23.326646941952145</v>
      </c>
      <c r="C222" s="695">
        <f t="shared" si="2"/>
        <v>22.60870356328752</v>
      </c>
    </row>
    <row r="223" spans="1:3" ht="15" x14ac:dyDescent="0.25">
      <c r="A223" s="571">
        <v>162</v>
      </c>
      <c r="B223" s="696">
        <v>22.560944619391517</v>
      </c>
      <c r="C223" s="695">
        <f t="shared" si="2"/>
        <v>22.603927668897921</v>
      </c>
    </row>
    <row r="224" spans="1:3" ht="15" x14ac:dyDescent="0.25">
      <c r="A224" s="571">
        <v>163</v>
      </c>
      <c r="B224" s="696">
        <v>22.560944619391517</v>
      </c>
      <c r="C224" s="695">
        <f t="shared" si="2"/>
        <v>22.59962936394728</v>
      </c>
    </row>
    <row r="225" spans="1:3" ht="15" x14ac:dyDescent="0.25">
      <c r="A225" s="571">
        <v>164</v>
      </c>
      <c r="B225" s="696">
        <v>22.369754046985104</v>
      </c>
      <c r="C225" s="695">
        <f t="shared" si="2"/>
        <v>22.576641832251063</v>
      </c>
    </row>
    <row r="226" spans="1:3" ht="15" x14ac:dyDescent="0.25">
      <c r="A226" s="571">
        <v>165</v>
      </c>
      <c r="B226" s="696">
        <v>22.599188934876434</v>
      </c>
      <c r="C226" s="695">
        <f t="shared" si="2"/>
        <v>22.578896542513601</v>
      </c>
    </row>
    <row r="227" spans="1:3" ht="15" x14ac:dyDescent="0.25">
      <c r="A227" s="571">
        <v>166</v>
      </c>
      <c r="B227" s="696">
        <v>22.675683791491206</v>
      </c>
      <c r="C227" s="695">
        <f t="shared" si="2"/>
        <v>22.588575267411361</v>
      </c>
    </row>
    <row r="228" spans="1:3" ht="15" x14ac:dyDescent="0.25">
      <c r="A228" s="571">
        <v>167</v>
      </c>
      <c r="B228" s="696">
        <v>22.446224087277283</v>
      </c>
      <c r="C228" s="695">
        <f t="shared" si="2"/>
        <v>22.574340149397955</v>
      </c>
    </row>
    <row r="229" spans="1:3" ht="15" x14ac:dyDescent="0.25">
      <c r="A229" s="571">
        <v>168</v>
      </c>
      <c r="B229" s="696">
        <v>22.446224087277283</v>
      </c>
      <c r="C229" s="695">
        <f t="shared" si="2"/>
        <v>22.561528543185887</v>
      </c>
    </row>
    <row r="230" spans="1:3" ht="15" x14ac:dyDescent="0.25">
      <c r="A230" s="571">
        <v>169</v>
      </c>
      <c r="B230" s="696">
        <v>22.560944619391517</v>
      </c>
      <c r="C230" s="695">
        <f t="shared" si="2"/>
        <v>22.56147015080645</v>
      </c>
    </row>
    <row r="231" spans="1:3" ht="15" x14ac:dyDescent="0.25">
      <c r="A231" s="571">
        <v>170</v>
      </c>
      <c r="B231" s="696">
        <v>22.790650734557044</v>
      </c>
      <c r="C231" s="695">
        <f t="shared" si="2"/>
        <v>22.584388209181508</v>
      </c>
    </row>
    <row r="232" spans="1:3" ht="15" x14ac:dyDescent="0.25">
      <c r="A232" s="571">
        <v>171</v>
      </c>
      <c r="B232" s="696">
        <v>22.560944619391517</v>
      </c>
      <c r="C232" s="695">
        <f t="shared" si="2"/>
        <v>22.58204385020251</v>
      </c>
    </row>
    <row r="233" spans="1:3" ht="15" x14ac:dyDescent="0.25">
      <c r="A233" s="571">
        <v>172</v>
      </c>
      <c r="B233" s="696">
        <v>22.560944619391517</v>
      </c>
      <c r="C233" s="695">
        <f t="shared" si="2"/>
        <v>22.579933927121409</v>
      </c>
    </row>
    <row r="234" spans="1:3" ht="15" x14ac:dyDescent="0.25">
      <c r="A234" s="571">
        <v>173</v>
      </c>
      <c r="B234" s="696">
        <v>22.560944619391517</v>
      </c>
      <c r="C234" s="695">
        <f t="shared" si="2"/>
        <v>22.578034996348421</v>
      </c>
    </row>
    <row r="235" spans="1:3" ht="15" x14ac:dyDescent="0.25">
      <c r="A235" s="571">
        <v>174</v>
      </c>
      <c r="B235" s="696">
        <v>22.446224087277283</v>
      </c>
      <c r="C235" s="695">
        <f t="shared" si="2"/>
        <v>22.564853905441307</v>
      </c>
    </row>
    <row r="236" spans="1:3" ht="15" x14ac:dyDescent="0.25">
      <c r="A236" s="571">
        <v>175</v>
      </c>
      <c r="B236" s="696">
        <v>22.675683791491206</v>
      </c>
      <c r="C236" s="695">
        <f t="shared" si="2"/>
        <v>22.575936894046297</v>
      </c>
    </row>
    <row r="237" spans="1:3" ht="15" x14ac:dyDescent="0.25">
      <c r="A237" s="571">
        <v>176</v>
      </c>
      <c r="B237" s="696">
        <v>22.599188934876434</v>
      </c>
      <c r="C237" s="695">
        <f t="shared" si="2"/>
        <v>22.578262098129311</v>
      </c>
    </row>
    <row r="238" spans="1:3" ht="15" x14ac:dyDescent="0.25">
      <c r="A238" s="571">
        <v>177</v>
      </c>
      <c r="B238" s="696">
        <v>22.522702375017484</v>
      </c>
      <c r="C238" s="695">
        <f t="shared" si="2"/>
        <v>22.572706125818129</v>
      </c>
    </row>
    <row r="239" spans="1:3" ht="15" x14ac:dyDescent="0.25">
      <c r="A239" s="571">
        <v>178</v>
      </c>
      <c r="B239" s="696">
        <v>22.407988037742921</v>
      </c>
      <c r="C239" s="695">
        <f t="shared" si="2"/>
        <v>22.55623431701061</v>
      </c>
    </row>
    <row r="240" spans="1:3" ht="15" x14ac:dyDescent="0.25">
      <c r="A240" s="571">
        <v>179</v>
      </c>
      <c r="B240" s="696">
        <v>22.407988037742921</v>
      </c>
      <c r="C240" s="695">
        <f t="shared" si="2"/>
        <v>22.541409689083842</v>
      </c>
    </row>
    <row r="241" spans="1:3" ht="15.6" thickBot="1" x14ac:dyDescent="0.3">
      <c r="A241" s="571">
        <v>180</v>
      </c>
      <c r="B241" s="714">
        <v>22.713934338773338</v>
      </c>
      <c r="C241" s="695">
        <f t="shared" si="2"/>
        <v>22.55866215405279</v>
      </c>
    </row>
    <row r="242" spans="1:3" ht="15" x14ac:dyDescent="0.25">
      <c r="A242" s="405"/>
      <c r="B242" s="597"/>
      <c r="C242" s="597"/>
    </row>
    <row r="243" spans="1:3" ht="15" x14ac:dyDescent="0.25">
      <c r="A243" s="405"/>
      <c r="B243" s="597"/>
      <c r="C243" s="597"/>
    </row>
    <row r="244" spans="1:3" ht="15" x14ac:dyDescent="0.25">
      <c r="A244" s="405"/>
      <c r="B244" s="597"/>
      <c r="C244" s="597"/>
    </row>
    <row r="245" spans="1:3" ht="15" x14ac:dyDescent="0.25">
      <c r="B245" s="715"/>
      <c r="C245" s="715"/>
    </row>
    <row r="246" spans="1:3" ht="13.2" hidden="1" customHeight="1" x14ac:dyDescent="0.25">
      <c r="B246" s="715">
        <v>22.560944619391517</v>
      </c>
      <c r="C246" s="715"/>
    </row>
    <row r="247" spans="1:3" ht="13.2" hidden="1" customHeight="1" x14ac:dyDescent="0.25">
      <c r="B247" s="715">
        <v>22.560944619391517</v>
      </c>
      <c r="C247" s="715"/>
    </row>
    <row r="248" spans="1:3" ht="13.2" hidden="1" customHeight="1" x14ac:dyDescent="0.25">
      <c r="B248" s="715">
        <v>22.369754046985104</v>
      </c>
      <c r="C248" s="715"/>
    </row>
    <row r="249" spans="1:3" ht="13.2" hidden="1" customHeight="1" x14ac:dyDescent="0.25">
      <c r="B249" s="715">
        <v>22.599188934876434</v>
      </c>
      <c r="C249" s="715"/>
    </row>
    <row r="250" spans="1:3" ht="13.2" hidden="1" customHeight="1" x14ac:dyDescent="0.25">
      <c r="B250" s="715">
        <v>22.675683791491206</v>
      </c>
      <c r="C250" s="715"/>
    </row>
    <row r="251" spans="1:3" ht="13.2" hidden="1" customHeight="1" x14ac:dyDescent="0.25">
      <c r="B251" s="715">
        <v>22.446224087277283</v>
      </c>
      <c r="C251" s="715"/>
    </row>
    <row r="252" spans="1:3" ht="13.2" hidden="1" customHeight="1" x14ac:dyDescent="0.25">
      <c r="B252" s="715">
        <v>22.446224087277283</v>
      </c>
      <c r="C252" s="715"/>
    </row>
    <row r="253" spans="1:3" ht="13.2" hidden="1" customHeight="1" x14ac:dyDescent="0.25">
      <c r="B253" s="715">
        <v>22.560944619391517</v>
      </c>
      <c r="C253" s="715"/>
    </row>
    <row r="254" spans="1:3" ht="13.2" hidden="1" customHeight="1" x14ac:dyDescent="0.25">
      <c r="B254" s="715">
        <v>22.790650734557044</v>
      </c>
      <c r="C254" s="715"/>
    </row>
    <row r="255" spans="1:3" ht="13.2" hidden="1" customHeight="1" x14ac:dyDescent="0.25">
      <c r="B255" s="715">
        <v>22.560944619391517</v>
      </c>
      <c r="C255" s="715"/>
    </row>
    <row r="256" spans="1:3" ht="13.2" hidden="1" customHeight="1" x14ac:dyDescent="0.25">
      <c r="B256" s="715">
        <v>22.560944619391517</v>
      </c>
      <c r="C256" s="715"/>
    </row>
    <row r="257" spans="2:3" ht="13.2" hidden="1" customHeight="1" x14ac:dyDescent="0.25">
      <c r="B257" s="715">
        <v>22.560944619391517</v>
      </c>
      <c r="C257" s="715"/>
    </row>
    <row r="258" spans="2:3" ht="13.2" hidden="1" customHeight="1" x14ac:dyDescent="0.25">
      <c r="B258" s="715">
        <v>22.446224087277283</v>
      </c>
      <c r="C258" s="715"/>
    </row>
    <row r="259" spans="2:3" ht="13.2" hidden="1" customHeight="1" x14ac:dyDescent="0.25">
      <c r="B259" s="715">
        <v>22.675683791491206</v>
      </c>
      <c r="C259" s="715"/>
    </row>
    <row r="260" spans="2:3" ht="13.2" hidden="1" customHeight="1" x14ac:dyDescent="0.25">
      <c r="B260" s="715">
        <v>22.599188934876434</v>
      </c>
      <c r="C260" s="715"/>
    </row>
    <row r="261" spans="2:3" ht="13.2" hidden="1" customHeight="1" x14ac:dyDescent="0.25">
      <c r="B261" s="715">
        <v>22.522702375017484</v>
      </c>
      <c r="C261" s="715"/>
    </row>
    <row r="262" spans="2:3" ht="13.2" hidden="1" customHeight="1" x14ac:dyDescent="0.25">
      <c r="B262" s="715">
        <v>22.407988037742921</v>
      </c>
      <c r="C262" s="715"/>
    </row>
    <row r="263" spans="2:3" ht="13.2" hidden="1" customHeight="1" x14ac:dyDescent="0.25">
      <c r="B263" s="715">
        <v>22.407988037742921</v>
      </c>
      <c r="C263" s="715"/>
    </row>
    <row r="264" spans="2:3" ht="13.2" hidden="1" customHeight="1" x14ac:dyDescent="0.25">
      <c r="B264" s="715">
        <v>22.713934338773338</v>
      </c>
      <c r="C264" s="715"/>
    </row>
    <row r="265" spans="2:3" ht="13.2" hidden="1" customHeight="1" x14ac:dyDescent="0.25">
      <c r="B265" s="715"/>
      <c r="C265" s="715"/>
    </row>
    <row r="266" spans="2:3" ht="13.2" hidden="1" customHeight="1" x14ac:dyDescent="0.25">
      <c r="B266" s="715"/>
      <c r="C266" s="715"/>
    </row>
    <row r="267" spans="2:3" ht="13.2" hidden="1" customHeight="1" x14ac:dyDescent="0.25">
      <c r="B267" s="715"/>
      <c r="C267" s="715"/>
    </row>
    <row r="268" spans="2:3" ht="13.2" hidden="1" customHeight="1" x14ac:dyDescent="0.25">
      <c r="B268" s="715"/>
      <c r="C268" s="715"/>
    </row>
    <row r="269" spans="2:3" ht="13.2" hidden="1" customHeight="1" x14ac:dyDescent="0.25">
      <c r="B269" s="715"/>
      <c r="C269" s="715"/>
    </row>
    <row r="270" spans="2:3" ht="13.2" hidden="1" customHeight="1" x14ac:dyDescent="0.25">
      <c r="B270" s="715"/>
      <c r="C270" s="715"/>
    </row>
    <row r="271" spans="2:3" ht="13.2" hidden="1" customHeight="1" x14ac:dyDescent="0.25">
      <c r="B271" s="715"/>
      <c r="C271" s="715"/>
    </row>
    <row r="272" spans="2:3" ht="13.2" hidden="1" customHeight="1" x14ac:dyDescent="0.25">
      <c r="B272" s="715"/>
      <c r="C272" s="715"/>
    </row>
    <row r="273" spans="2:3" ht="13.2" hidden="1" customHeight="1" x14ac:dyDescent="0.25">
      <c r="B273" s="715"/>
      <c r="C273" s="715"/>
    </row>
    <row r="274" spans="2:3" ht="13.2" hidden="1" customHeight="1" x14ac:dyDescent="0.25">
      <c r="B274" s="715"/>
      <c r="C274" s="715"/>
    </row>
    <row r="275" spans="2:3" ht="13.2" hidden="1" customHeight="1" x14ac:dyDescent="0.25">
      <c r="B275" s="715"/>
      <c r="C275" s="715"/>
    </row>
    <row r="276" spans="2:3" ht="13.2" hidden="1" customHeight="1" x14ac:dyDescent="0.25">
      <c r="B276" s="715"/>
      <c r="C276" s="715"/>
    </row>
    <row r="277" spans="2:3" ht="13.2" hidden="1" customHeight="1" x14ac:dyDescent="0.25">
      <c r="B277" s="715"/>
      <c r="C277" s="715"/>
    </row>
    <row r="278" spans="2:3" ht="13.2" hidden="1" customHeight="1" x14ac:dyDescent="0.25">
      <c r="B278" s="715"/>
      <c r="C278" s="715"/>
    </row>
    <row r="279" spans="2:3" ht="13.2" hidden="1" customHeight="1" x14ac:dyDescent="0.25">
      <c r="B279" s="715"/>
      <c r="C279" s="715"/>
    </row>
    <row r="280" spans="2:3" ht="13.2" hidden="1" customHeight="1" x14ac:dyDescent="0.25">
      <c r="B280" s="715"/>
      <c r="C280" s="715"/>
    </row>
    <row r="281" spans="2:3" ht="13.2" hidden="1" customHeight="1" x14ac:dyDescent="0.25">
      <c r="B281" s="715"/>
      <c r="C281" s="715"/>
    </row>
    <row r="282" spans="2:3" ht="13.2" hidden="1" customHeight="1" x14ac:dyDescent="0.25">
      <c r="B282" s="715"/>
      <c r="C282" s="715"/>
    </row>
    <row r="283" spans="2:3" ht="13.2" hidden="1" customHeight="1" x14ac:dyDescent="0.25">
      <c r="B283" s="715"/>
      <c r="C283" s="715"/>
    </row>
    <row r="284" spans="2:3" ht="13.2" hidden="1" customHeight="1" x14ac:dyDescent="0.25">
      <c r="B284" s="715"/>
      <c r="C284" s="715"/>
    </row>
    <row r="285" spans="2:3" ht="13.2" hidden="1" customHeight="1" x14ac:dyDescent="0.25">
      <c r="B285" s="715"/>
      <c r="C285" s="715"/>
    </row>
    <row r="286" spans="2:3" ht="13.2" hidden="1" customHeight="1" x14ac:dyDescent="0.25">
      <c r="B286" s="715"/>
      <c r="C286" s="715"/>
    </row>
    <row r="287" spans="2:3" ht="13.2" hidden="1" customHeight="1" x14ac:dyDescent="0.25">
      <c r="B287" s="715"/>
      <c r="C287" s="715"/>
    </row>
    <row r="288" spans="2:3" ht="13.2" hidden="1" customHeight="1" x14ac:dyDescent="0.25">
      <c r="B288" s="715"/>
      <c r="C288" s="715"/>
    </row>
    <row r="289" spans="2:3" ht="13.2" hidden="1" customHeight="1" x14ac:dyDescent="0.25">
      <c r="B289" s="715"/>
      <c r="C289" s="715"/>
    </row>
    <row r="290" spans="2:3" ht="13.2" hidden="1" customHeight="1" x14ac:dyDescent="0.25">
      <c r="B290" s="715"/>
      <c r="C290" s="715"/>
    </row>
    <row r="291" spans="2:3" ht="13.2" hidden="1" customHeight="1" x14ac:dyDescent="0.25">
      <c r="B291" s="715"/>
      <c r="C291" s="715"/>
    </row>
    <row r="292" spans="2:3" ht="13.2" hidden="1" customHeight="1" x14ac:dyDescent="0.25">
      <c r="B292" s="715"/>
      <c r="C292" s="715"/>
    </row>
    <row r="293" spans="2:3" ht="13.2" hidden="1" customHeight="1" x14ac:dyDescent="0.25">
      <c r="B293" s="715"/>
      <c r="C293" s="715"/>
    </row>
    <row r="294" spans="2:3" ht="13.2" hidden="1" customHeight="1" x14ac:dyDescent="0.25">
      <c r="B294" s="715"/>
      <c r="C294" s="715"/>
    </row>
    <row r="295" spans="2:3" ht="13.2" hidden="1" customHeight="1" x14ac:dyDescent="0.25">
      <c r="B295" s="715"/>
      <c r="C295" s="715"/>
    </row>
    <row r="296" spans="2:3" ht="13.2" hidden="1" customHeight="1" x14ac:dyDescent="0.25">
      <c r="B296" s="715"/>
      <c r="C296" s="715"/>
    </row>
    <row r="297" spans="2:3" ht="13.2" hidden="1" customHeight="1" x14ac:dyDescent="0.25">
      <c r="B297" s="715"/>
      <c r="C297" s="715"/>
    </row>
    <row r="298" spans="2:3" ht="13.2" hidden="1" customHeight="1" x14ac:dyDescent="0.25">
      <c r="B298" s="715"/>
      <c r="C298" s="715"/>
    </row>
    <row r="299" spans="2:3" ht="13.2" hidden="1" customHeight="1" x14ac:dyDescent="0.25">
      <c r="B299" s="715"/>
      <c r="C299" s="715"/>
    </row>
    <row r="300" spans="2:3" ht="13.2" hidden="1" customHeight="1" x14ac:dyDescent="0.25">
      <c r="B300" s="715"/>
      <c r="C300" s="715"/>
    </row>
    <row r="301" spans="2:3" ht="13.2" hidden="1" customHeight="1" x14ac:dyDescent="0.25">
      <c r="B301" s="715"/>
      <c r="C301" s="715"/>
    </row>
    <row r="302" spans="2:3" ht="13.2" hidden="1" customHeight="1" x14ac:dyDescent="0.25">
      <c r="B302" s="715"/>
      <c r="C302" s="715"/>
    </row>
    <row r="303" spans="2:3" ht="13.2" hidden="1" customHeight="1" x14ac:dyDescent="0.25">
      <c r="B303" s="715"/>
      <c r="C303" s="715"/>
    </row>
    <row r="304" spans="2:3" ht="13.2" hidden="1" customHeight="1" x14ac:dyDescent="0.25">
      <c r="B304" s="715"/>
      <c r="C304" s="715"/>
    </row>
    <row r="305" spans="2:3" ht="13.2" hidden="1" customHeight="1" x14ac:dyDescent="0.25">
      <c r="B305" s="715"/>
      <c r="C305" s="715"/>
    </row>
    <row r="306" spans="2:3" ht="13.2" hidden="1" customHeight="1" x14ac:dyDescent="0.25">
      <c r="B306" s="715"/>
      <c r="C306" s="715"/>
    </row>
    <row r="307" spans="2:3" ht="13.2" hidden="1" customHeight="1" x14ac:dyDescent="0.25">
      <c r="B307" s="715"/>
      <c r="C307" s="715"/>
    </row>
    <row r="308" spans="2:3" ht="13.2" hidden="1" customHeight="1" x14ac:dyDescent="0.25">
      <c r="B308" s="715"/>
      <c r="C308" s="715"/>
    </row>
    <row r="309" spans="2:3" ht="13.2" hidden="1" customHeight="1" x14ac:dyDescent="0.25">
      <c r="B309" s="715"/>
      <c r="C309" s="715"/>
    </row>
    <row r="310" spans="2:3" ht="13.2" hidden="1" customHeight="1" x14ac:dyDescent="0.25">
      <c r="B310" s="715"/>
      <c r="C310" s="715"/>
    </row>
    <row r="311" spans="2:3" ht="13.2" hidden="1" customHeight="1" x14ac:dyDescent="0.25">
      <c r="B311" s="715"/>
      <c r="C311" s="715"/>
    </row>
    <row r="312" spans="2:3" ht="13.2" hidden="1" customHeight="1" x14ac:dyDescent="0.25">
      <c r="B312" s="715"/>
      <c r="C312" s="715"/>
    </row>
    <row r="313" spans="2:3" ht="13.2" hidden="1" customHeight="1" x14ac:dyDescent="0.25">
      <c r="B313" s="715"/>
      <c r="C313" s="715"/>
    </row>
    <row r="314" spans="2:3" ht="13.2" hidden="1" customHeight="1" x14ac:dyDescent="0.25">
      <c r="B314" s="715"/>
      <c r="C314" s="715"/>
    </row>
    <row r="315" spans="2:3" ht="13.2" hidden="1" customHeight="1" x14ac:dyDescent="0.25">
      <c r="B315" s="715"/>
      <c r="C315" s="715"/>
    </row>
    <row r="316" spans="2:3" ht="13.2" hidden="1" customHeight="1" x14ac:dyDescent="0.25">
      <c r="B316" s="715"/>
      <c r="C316" s="715"/>
    </row>
    <row r="317" spans="2:3" ht="13.2" hidden="1" customHeight="1" x14ac:dyDescent="0.25">
      <c r="B317" s="715"/>
      <c r="C317" s="715"/>
    </row>
    <row r="318" spans="2:3" ht="13.2" hidden="1" customHeight="1" x14ac:dyDescent="0.25">
      <c r="B318" s="715"/>
      <c r="C318" s="715"/>
    </row>
    <row r="319" spans="2:3" ht="13.2" hidden="1" customHeight="1" x14ac:dyDescent="0.25">
      <c r="B319" s="715"/>
      <c r="C319" s="715"/>
    </row>
    <row r="320" spans="2:3" ht="13.2" hidden="1" customHeight="1" x14ac:dyDescent="0.25">
      <c r="B320" s="715"/>
      <c r="C320" s="715"/>
    </row>
    <row r="321" spans="2:3" ht="13.2" hidden="1" customHeight="1" x14ac:dyDescent="0.25">
      <c r="B321" s="715"/>
      <c r="C321" s="715"/>
    </row>
    <row r="322" spans="2:3" ht="13.2" hidden="1" customHeight="1" x14ac:dyDescent="0.25">
      <c r="B322" s="715"/>
      <c r="C322" s="715"/>
    </row>
    <row r="323" spans="2:3" ht="13.2" hidden="1" customHeight="1" x14ac:dyDescent="0.25">
      <c r="B323" s="715"/>
      <c r="C323" s="715"/>
    </row>
    <row r="324" spans="2:3" ht="13.2" hidden="1" customHeight="1" x14ac:dyDescent="0.25">
      <c r="B324" s="715"/>
      <c r="C324" s="715"/>
    </row>
    <row r="325" spans="2:3" ht="13.2" hidden="1" customHeight="1" x14ac:dyDescent="0.25">
      <c r="B325" s="715"/>
      <c r="C325" s="715"/>
    </row>
    <row r="326" spans="2:3" ht="13.2" hidden="1" customHeight="1" x14ac:dyDescent="0.25">
      <c r="B326" s="715"/>
      <c r="C326" s="715"/>
    </row>
    <row r="327" spans="2:3" ht="13.2" hidden="1" customHeight="1" x14ac:dyDescent="0.25">
      <c r="B327" s="715"/>
      <c r="C327" s="715"/>
    </row>
    <row r="328" spans="2:3" ht="13.2" hidden="1" customHeight="1" x14ac:dyDescent="0.25">
      <c r="B328" s="715"/>
      <c r="C328" s="715"/>
    </row>
    <row r="329" spans="2:3" ht="13.2" hidden="1" customHeight="1" x14ac:dyDescent="0.25">
      <c r="B329" s="715"/>
      <c r="C329" s="715"/>
    </row>
    <row r="330" spans="2:3" ht="13.2" hidden="1" customHeight="1" x14ac:dyDescent="0.25">
      <c r="B330" s="715"/>
      <c r="C330" s="715"/>
    </row>
    <row r="331" spans="2:3" ht="13.2" hidden="1" customHeight="1" x14ac:dyDescent="0.25">
      <c r="B331" s="715"/>
      <c r="C331" s="715"/>
    </row>
    <row r="332" spans="2:3" ht="13.2" hidden="1" customHeight="1" x14ac:dyDescent="0.25">
      <c r="B332" s="715"/>
      <c r="C332" s="715"/>
    </row>
    <row r="333" spans="2:3" ht="13.2" hidden="1" customHeight="1" x14ac:dyDescent="0.25">
      <c r="B333" s="715"/>
      <c r="C333" s="715"/>
    </row>
    <row r="334" spans="2:3" ht="13.2" hidden="1" customHeight="1" x14ac:dyDescent="0.25">
      <c r="B334" s="715"/>
      <c r="C334" s="715"/>
    </row>
    <row r="335" spans="2:3" ht="13.2" hidden="1" customHeight="1" x14ac:dyDescent="0.25">
      <c r="B335" s="715"/>
      <c r="C335" s="715"/>
    </row>
    <row r="336" spans="2:3" ht="13.2" hidden="1" customHeight="1" x14ac:dyDescent="0.25">
      <c r="B336" s="715"/>
      <c r="C336" s="715"/>
    </row>
    <row r="337" spans="2:3" ht="13.2" hidden="1" customHeight="1" x14ac:dyDescent="0.25">
      <c r="B337" s="715"/>
      <c r="C337" s="715"/>
    </row>
    <row r="338" spans="2:3" ht="13.2" hidden="1" customHeight="1" x14ac:dyDescent="0.25">
      <c r="B338" s="715"/>
      <c r="C338" s="715"/>
    </row>
    <row r="339" spans="2:3" ht="13.2" hidden="1" customHeight="1" x14ac:dyDescent="0.25">
      <c r="B339" s="715"/>
      <c r="C339" s="715"/>
    </row>
    <row r="340" spans="2:3" ht="13.2" hidden="1" customHeight="1" x14ac:dyDescent="0.25">
      <c r="B340" s="715"/>
      <c r="C340" s="715"/>
    </row>
    <row r="341" spans="2:3" ht="13.2" hidden="1" customHeight="1" x14ac:dyDescent="0.25">
      <c r="B341" s="715"/>
      <c r="C341" s="715"/>
    </row>
    <row r="342" spans="2:3" ht="13.2" hidden="1" customHeight="1" x14ac:dyDescent="0.25">
      <c r="B342" s="715"/>
      <c r="C342" s="715"/>
    </row>
    <row r="343" spans="2:3" ht="13.2" hidden="1" customHeight="1" x14ac:dyDescent="0.25">
      <c r="B343" s="715"/>
      <c r="C343" s="715"/>
    </row>
    <row r="344" spans="2:3" ht="13.2" hidden="1" customHeight="1" x14ac:dyDescent="0.25">
      <c r="B344" s="715"/>
      <c r="C344" s="715"/>
    </row>
    <row r="345" spans="2:3" ht="13.2" hidden="1" customHeight="1" x14ac:dyDescent="0.25">
      <c r="B345" s="715"/>
      <c r="C345" s="715"/>
    </row>
    <row r="346" spans="2:3" ht="13.2" hidden="1" customHeight="1" x14ac:dyDescent="0.25">
      <c r="B346" s="715"/>
      <c r="C346" s="715"/>
    </row>
    <row r="347" spans="2:3" ht="13.2" hidden="1" customHeight="1" x14ac:dyDescent="0.25">
      <c r="B347" s="715"/>
      <c r="C347" s="715"/>
    </row>
    <row r="348" spans="2:3" ht="13.2" hidden="1" customHeight="1" x14ac:dyDescent="0.25">
      <c r="B348" s="715"/>
      <c r="C348" s="715"/>
    </row>
    <row r="349" spans="2:3" ht="13.2" hidden="1" customHeight="1" x14ac:dyDescent="0.25">
      <c r="B349" s="715"/>
      <c r="C349" s="715"/>
    </row>
    <row r="350" spans="2:3" ht="13.2" hidden="1" customHeight="1" x14ac:dyDescent="0.25">
      <c r="B350" s="715"/>
      <c r="C350" s="715"/>
    </row>
    <row r="351" spans="2:3" ht="13.2" hidden="1" customHeight="1" x14ac:dyDescent="0.25">
      <c r="B351" s="715"/>
      <c r="C351" s="715"/>
    </row>
    <row r="352" spans="2:3" ht="13.2" hidden="1" customHeight="1" x14ac:dyDescent="0.25">
      <c r="B352" s="715"/>
      <c r="C352" s="715"/>
    </row>
    <row r="353" spans="2:3" ht="13.2" hidden="1" customHeight="1" x14ac:dyDescent="0.25">
      <c r="B353" s="715"/>
      <c r="C353" s="715"/>
    </row>
    <row r="354" spans="2:3" ht="13.2" hidden="1" customHeight="1" x14ac:dyDescent="0.25">
      <c r="B354" s="715"/>
      <c r="C354" s="715"/>
    </row>
    <row r="355" spans="2:3" ht="13.2" hidden="1" customHeight="1" x14ac:dyDescent="0.25">
      <c r="B355" s="715"/>
      <c r="C355" s="715"/>
    </row>
    <row r="356" spans="2:3" ht="13.2" hidden="1" customHeight="1" x14ac:dyDescent="0.25">
      <c r="B356" s="715"/>
      <c r="C356" s="715"/>
    </row>
    <row r="357" spans="2:3" ht="13.2" hidden="1" customHeight="1" x14ac:dyDescent="0.25">
      <c r="B357" s="715"/>
      <c r="C357" s="715"/>
    </row>
    <row r="358" spans="2:3" ht="13.2" hidden="1" customHeight="1" x14ac:dyDescent="0.25">
      <c r="B358" s="715"/>
      <c r="C358" s="715"/>
    </row>
    <row r="359" spans="2:3" ht="13.2" hidden="1" customHeight="1" x14ac:dyDescent="0.25">
      <c r="B359" s="715"/>
      <c r="C359" s="715"/>
    </row>
    <row r="360" spans="2:3" ht="13.2" hidden="1" customHeight="1" x14ac:dyDescent="0.25">
      <c r="B360" s="715"/>
      <c r="C360" s="715"/>
    </row>
    <row r="361" spans="2:3" ht="13.2" hidden="1" customHeight="1" x14ac:dyDescent="0.25">
      <c r="B361" s="715"/>
      <c r="C361" s="715"/>
    </row>
    <row r="362" spans="2:3" ht="13.2" hidden="1" customHeight="1" x14ac:dyDescent="0.25"/>
    <row r="363" spans="2:3" ht="13.2" hidden="1" customHeight="1" x14ac:dyDescent="0.25"/>
    <row r="364" spans="2:3" ht="13.2" hidden="1" customHeight="1" x14ac:dyDescent="0.25"/>
    <row r="365" spans="2:3" ht="13.2" hidden="1" customHeight="1" x14ac:dyDescent="0.25"/>
    <row r="366" spans="2:3" ht="13.2" hidden="1" customHeight="1" x14ac:dyDescent="0.25"/>
    <row r="367" spans="2:3" ht="13.2" hidden="1" customHeight="1" x14ac:dyDescent="0.25"/>
    <row r="368" spans="2:3" ht="13.2" hidden="1" customHeight="1" x14ac:dyDescent="0.25"/>
    <row r="369" ht="13.2" hidden="1" customHeight="1" x14ac:dyDescent="0.25"/>
    <row r="370" ht="13.2" hidden="1" customHeight="1" x14ac:dyDescent="0.25"/>
    <row r="371" ht="13.2" hidden="1" customHeight="1" x14ac:dyDescent="0.25"/>
    <row r="372" ht="13.2" hidden="1" customHeight="1" x14ac:dyDescent="0.25"/>
    <row r="373" ht="13.2" hidden="1" customHeight="1" x14ac:dyDescent="0.25"/>
    <row r="374" ht="13.2" hidden="1" customHeight="1" x14ac:dyDescent="0.25"/>
    <row r="375" ht="13.2" hidden="1" customHeight="1" x14ac:dyDescent="0.25"/>
    <row r="376" ht="13.2" hidden="1" customHeight="1" x14ac:dyDescent="0.25"/>
    <row r="377" ht="13.2" hidden="1" customHeight="1" x14ac:dyDescent="0.25"/>
    <row r="378" ht="13.2" hidden="1" customHeight="1" x14ac:dyDescent="0.25"/>
    <row r="379" ht="13.2" hidden="1" customHeight="1" x14ac:dyDescent="0.25"/>
    <row r="380" ht="13.2" hidden="1" customHeight="1" x14ac:dyDescent="0.25"/>
    <row r="381" ht="13.2" hidden="1" customHeight="1" x14ac:dyDescent="0.25"/>
    <row r="382" ht="13.2" hidden="1" customHeight="1" x14ac:dyDescent="0.25"/>
    <row r="383" ht="13.2" hidden="1" customHeight="1" x14ac:dyDescent="0.25"/>
    <row r="384" ht="13.2" hidden="1" customHeight="1" x14ac:dyDescent="0.25"/>
    <row r="385" ht="13.2" hidden="1" customHeight="1" x14ac:dyDescent="0.25"/>
    <row r="386" ht="13.2" hidden="1" customHeight="1" x14ac:dyDescent="0.25"/>
    <row r="387" ht="13.2" hidden="1" customHeight="1" x14ac:dyDescent="0.25"/>
    <row r="388" ht="13.2" hidden="1" customHeight="1" x14ac:dyDescent="0.25"/>
    <row r="389" ht="13.2" hidden="1" customHeight="1" x14ac:dyDescent="0.25"/>
    <row r="390" ht="13.2" hidden="1" customHeight="1" x14ac:dyDescent="0.25"/>
    <row r="391" ht="13.2" hidden="1" customHeight="1" x14ac:dyDescent="0.25"/>
    <row r="392" ht="13.2" hidden="1" customHeight="1" x14ac:dyDescent="0.25"/>
    <row r="393" ht="13.2" hidden="1" customHeight="1" x14ac:dyDescent="0.25"/>
    <row r="394" ht="13.2" hidden="1" customHeight="1" x14ac:dyDescent="0.25"/>
    <row r="395" ht="13.2" hidden="1" customHeight="1" x14ac:dyDescent="0.25"/>
    <row r="396" ht="13.2" hidden="1" customHeight="1" x14ac:dyDescent="0.25"/>
    <row r="397" ht="13.2" hidden="1" customHeight="1" x14ac:dyDescent="0.25"/>
    <row r="398" ht="13.2" hidden="1" customHeight="1" x14ac:dyDescent="0.25"/>
    <row r="399" ht="13.2" hidden="1" customHeight="1" x14ac:dyDescent="0.25"/>
    <row r="400" ht="13.2" hidden="1" customHeight="1" x14ac:dyDescent="0.25"/>
    <row r="401" ht="13.2" hidden="1" customHeight="1" x14ac:dyDescent="0.25"/>
    <row r="402" ht="13.2" hidden="1" customHeight="1" x14ac:dyDescent="0.25"/>
    <row r="403" ht="13.2" hidden="1" customHeight="1" x14ac:dyDescent="0.25"/>
    <row r="404" ht="13.2" hidden="1" customHeight="1" x14ac:dyDescent="0.25"/>
    <row r="405" ht="13.2" hidden="1" customHeight="1" x14ac:dyDescent="0.25"/>
    <row r="406" ht="13.2" hidden="1" customHeight="1" x14ac:dyDescent="0.25"/>
    <row r="407" ht="13.2" hidden="1" customHeight="1" x14ac:dyDescent="0.25"/>
    <row r="408" ht="13.2" hidden="1" customHeight="1" x14ac:dyDescent="0.25"/>
    <row r="409" ht="13.2" hidden="1" customHeight="1" x14ac:dyDescent="0.25"/>
    <row r="410" ht="13.2" hidden="1" customHeight="1" x14ac:dyDescent="0.25"/>
    <row r="411" ht="13.2" hidden="1" customHeight="1" x14ac:dyDescent="0.25"/>
    <row r="412" ht="13.2" hidden="1" customHeight="1" x14ac:dyDescent="0.25"/>
    <row r="413" ht="13.2" hidden="1" customHeight="1" x14ac:dyDescent="0.25"/>
    <row r="414" ht="13.2" hidden="1" customHeight="1" x14ac:dyDescent="0.25"/>
    <row r="415" ht="13.2" hidden="1" customHeight="1" x14ac:dyDescent="0.25"/>
    <row r="416" ht="13.2" hidden="1" customHeight="1" x14ac:dyDescent="0.25"/>
    <row r="417" ht="13.2" hidden="1" customHeight="1" x14ac:dyDescent="0.25"/>
    <row r="418" ht="13.2" hidden="1" customHeight="1" x14ac:dyDescent="0.25"/>
    <row r="419" ht="13.2" hidden="1" customHeight="1" x14ac:dyDescent="0.25"/>
    <row r="420" ht="13.2" hidden="1" customHeight="1" x14ac:dyDescent="0.25"/>
    <row r="421" ht="13.2" hidden="1" customHeight="1" x14ac:dyDescent="0.25"/>
    <row r="422" ht="13.2" hidden="1" customHeight="1" x14ac:dyDescent="0.25"/>
    <row r="423" ht="13.2" hidden="1" customHeight="1" x14ac:dyDescent="0.25"/>
    <row r="424" ht="13.2" hidden="1" customHeight="1" x14ac:dyDescent="0.25"/>
    <row r="425" ht="13.2" hidden="1" customHeight="1" x14ac:dyDescent="0.25"/>
    <row r="426" ht="13.2" hidden="1" customHeight="1" x14ac:dyDescent="0.25"/>
    <row r="427" ht="13.2" hidden="1" customHeight="1" x14ac:dyDescent="0.25"/>
    <row r="428" ht="13.2" hidden="1" customHeight="1" x14ac:dyDescent="0.25"/>
    <row r="429" ht="13.2" hidden="1" customHeight="1" x14ac:dyDescent="0.25"/>
    <row r="430" ht="13.2" hidden="1" customHeight="1" x14ac:dyDescent="0.25"/>
    <row r="431" ht="13.2" hidden="1" customHeight="1" x14ac:dyDescent="0.25"/>
    <row r="432" ht="13.2" hidden="1" customHeight="1" x14ac:dyDescent="0.25"/>
    <row r="433" ht="13.2" hidden="1" customHeight="1" x14ac:dyDescent="0.25"/>
    <row r="434" ht="0" hidden="1" customHeight="1" x14ac:dyDescent="0.25"/>
    <row r="435" ht="0" hidden="1" customHeight="1" x14ac:dyDescent="0.25"/>
    <row r="436" ht="0" hidden="1" customHeight="1" x14ac:dyDescent="0.25"/>
  </sheetData>
  <sheetProtection algorithmName="SHA-512" hashValue="sN51bVLvg0oApvv4FRwadOc7Ao9eChrCrRJBrOY3tHmJu4JTvRPlPqvEeiQ8onDESLQ0qE/Hc/6WweYW2dzBXg==" saltValue="GHlO2dPVEUpmpDSpBVAifg==" spinCount="100000" sheet="1" objects="1" scenarios="1"/>
  <mergeCells count="2">
    <mergeCell ref="A1:U3"/>
    <mergeCell ref="A4:Y4"/>
  </mergeCells>
  <dataValidations count="6">
    <dataValidation type="decimal" allowBlank="1" showInputMessage="1" showErrorMessage="1" errorTitle="Alpha" error="Input filter value between 0.001 - 1" promptTitle="Alpha" prompt="Input filter value between 0.001 - 1" sqref="B53" xr:uid="{729F09FA-B51B-48F6-8C32-4183C27F5520}">
      <formula1>0.001</formula1>
      <formula2>1</formula2>
    </dataValidation>
    <dataValidation allowBlank="1" errorTitle="VREF" error="Enter a valid voltage between 0.8V and 5.5V" promptTitle="VREF" prompt="Enter a valid voltage between 0.8V and 5.5V" sqref="B54" xr:uid="{0C3B94C6-1041-43F2-AC1A-00867D2018F5}"/>
    <dataValidation allowBlank="1" errorTitle="Divider Voltage" error="Enter a value betwen the minimum and maximum Vdc values in column F of the &quot;NTC Thermistor Comparison&quot; sheet_x000a_" promptTitle="Divider Voltage" prompt="Enter a value betwen the minimum and maximum Vdc values in column F of the &quot;NTC Thermistor Comparison&quot; sheet_x000a_" sqref="B60" xr:uid="{38D25CEC-B901-4AE0-A5B9-F08899633F02}"/>
    <dataValidation allowBlank="1" showInputMessage="1" showErrorMessage="1" errorTitle="Resistance" error="Enter a value between min and max resistance for your device." promptTitle="Resistance" prompt="Enter a value between min and max resistance for your device." sqref="B74:B75 G74:G75" xr:uid="{31436045-AC73-4B20-963E-0D4378FC238A}"/>
    <dataValidation type="decimal" allowBlank="1" showInputMessage="1" showErrorMessage="1" errorTitle="Minimum operating temperature" error="Select a value between -40C and 0C" promptTitle="Minimum operating temperature" prompt="Select a value between -40C and 0C" sqref="G73" xr:uid="{9C4328BA-2F01-4162-A0CF-2D3C43FBD880}">
      <formula1>-40</formula1>
      <formula2>0</formula2>
    </dataValidation>
    <dataValidation type="decimal" allowBlank="1" showInputMessage="1" showErrorMessage="1" errorTitle="VREF" error="Enter a valid voltage between 0.8V and 5.5V" promptTitle="VREF" prompt="Enter a valid voltage between 0.8V and 5.5V" sqref="B45 B64" xr:uid="{7E356A46-627C-473C-9E15-73A5450B0F06}">
      <formula1>0.8</formula1>
      <formula2>5.5</formula2>
    </dataValidation>
  </dataValidations>
  <hyperlinks>
    <hyperlink ref="A5" location="Main!K51" display="Return to Menu" xr:uid="{44AB427B-A9E0-4A17-B3B7-DD38926C1F4C}"/>
    <hyperlink ref="A47" location="'Low Pass Filter'!E110" display="Example Code" xr:uid="{7B5745EC-E91D-4DA0-A494-103C11BCCB93}"/>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whole" allowBlank="1" showInputMessage="1" showErrorMessage="1" errorTitle="Resistance" error="Enter a value between min and max resistance for your device." promptTitle="Resistance" prompt="Enter a value between min and max resistance for your device." xr:uid="{BA036339-9E11-48E2-9B5F-0628F25BE2DD}">
          <x14:formula1>
            <xm:f>VLOOKUP(-40,'C:\Users\a0190682\TI Drive\ASC_THS (Sensor Group)\Thermistor Design Tool\[Thermistor Design Tool VBias V1_500 - unlocked.xlsm]Device Resistance Tables'!#REF!,2,FALSE)</xm:f>
          </x14:formula1>
          <x14:formula2>
            <xm:f>VLOOKUP(VLOOKUP('C:\Users\a0190682\TI Drive\ASC_THS (Sensor Group)\Thermistor Design Tool\[Thermistor Design Tool VBias V1_500 - unlocked.xlsm]Main'!#REF!,'C:\Users\a0190682\TI Drive\ASC_THS (Sensor Group)\Thermistor Design Tool\[Thermistor Design Tool VBias V1_500 - unlocked.xlsm]Coefficients'!#REF!,4,FALSE),'C:\Users\a0190682\TI Drive\ASC_THS (Sensor Group)\Thermistor Design Tool\[Thermistor Design Tool VBias V1_500 - unlocked.xlsm]Device Resistance Tables'!#REF!,4,FALSE)</xm:f>
          </x14:formula2>
          <xm:sqref>B41</xm:sqref>
        </x14:dataValidation>
        <x14:dataValidation type="decimal" allowBlank="1" showInputMessage="1" showErrorMessage="1" errorTitle="Maximum operating temperature" error="Select a value between 1C and the maximum temperature of the selected device. " promptTitle="Maximum operating temperature" prompt="Select a value between 1C and the maximum temperature of the selected device. " xr:uid="{CC863CAA-E189-4F98-A0F3-E17A056858FE}">
          <x14:formula1>
            <xm:f>1</xm:f>
          </x14:formula1>
          <x14:formula2>
            <xm:f>VLOOKUP('C:\Users\a0190682\TI Drive\ASC_THS (Sensor Group)\Thermistor Design Tool\[Thermistor Design Tool VBias V1_500 - unlocked.xlsm]Main'!#REF!,'C:\Users\a0190682\TI Drive\ASC_THS (Sensor Group)\Thermistor Design Tool\[Thermistor Design Tool VBias V1_500 - unlocked.xlsm]Coefficients'!#REF!,4,FALSE)</xm:f>
          </x14:formula2>
          <xm:sqref>B73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J106"/>
  <sheetViews>
    <sheetView showGridLines="0" zoomScale="80" zoomScaleNormal="80" workbookViewId="0">
      <selection activeCell="A5" sqref="A5"/>
    </sheetView>
  </sheetViews>
  <sheetFormatPr defaultColWidth="0" defaultRowHeight="13.2" zeroHeight="1" x14ac:dyDescent="0.25"/>
  <cols>
    <col min="1" max="1" width="26.5546875" style="6" customWidth="1"/>
    <col min="2" max="2" width="25.77734375" style="6" customWidth="1"/>
    <col min="3" max="3" width="12.6640625" style="6" customWidth="1"/>
    <col min="4" max="4" width="17.5546875" style="6" customWidth="1"/>
    <col min="5" max="5" width="20.44140625" style="6" customWidth="1"/>
    <col min="6" max="6" width="25.33203125" style="6" customWidth="1"/>
    <col min="7" max="7" width="23.5546875" style="6" customWidth="1"/>
    <col min="8" max="9" width="12.6640625" style="6" customWidth="1"/>
    <col min="10" max="10" width="19" style="6" customWidth="1"/>
    <col min="11" max="11" width="12.6640625" style="6" customWidth="1"/>
    <col min="12" max="25" width="10.6640625" style="6" customWidth="1"/>
    <col min="26" max="36" width="0" style="6" hidden="1" customWidth="1"/>
    <col min="37" max="16384" width="9.109375" style="6" hidden="1"/>
  </cols>
  <sheetData>
    <row r="1" spans="1:36" s="2" customFormat="1" x14ac:dyDescent="0.25">
      <c r="A1" s="760"/>
      <c r="B1" s="760"/>
      <c r="C1" s="760"/>
      <c r="D1" s="760"/>
      <c r="E1" s="760"/>
      <c r="F1" s="760"/>
      <c r="G1" s="760"/>
      <c r="H1" s="760"/>
      <c r="I1" s="760"/>
      <c r="J1" s="760"/>
      <c r="K1" s="760"/>
      <c r="L1" s="760"/>
      <c r="M1" s="760"/>
      <c r="N1" s="760"/>
      <c r="O1" s="760"/>
      <c r="P1" s="760"/>
      <c r="Q1" s="760"/>
      <c r="R1" s="760"/>
      <c r="S1" s="760"/>
      <c r="T1" s="760"/>
      <c r="U1" s="760"/>
      <c r="V1" s="1"/>
      <c r="W1" s="1"/>
      <c r="X1" s="1"/>
      <c r="Y1" s="1"/>
      <c r="Z1" s="1"/>
      <c r="AA1" s="1"/>
      <c r="AB1" s="1"/>
      <c r="AC1" s="1"/>
      <c r="AD1" s="1"/>
      <c r="AE1" s="1"/>
      <c r="AF1" s="1"/>
      <c r="AG1" s="1"/>
      <c r="AH1" s="1"/>
      <c r="AI1" s="1"/>
      <c r="AJ1" s="1"/>
    </row>
    <row r="2" spans="1:36" s="2" customFormat="1" x14ac:dyDescent="0.25">
      <c r="A2" s="760"/>
      <c r="B2" s="760"/>
      <c r="C2" s="760"/>
      <c r="D2" s="760"/>
      <c r="E2" s="760"/>
      <c r="F2" s="760"/>
      <c r="G2" s="760"/>
      <c r="H2" s="760"/>
      <c r="I2" s="760"/>
      <c r="J2" s="760"/>
      <c r="K2" s="760"/>
      <c r="L2" s="760"/>
      <c r="M2" s="760"/>
      <c r="N2" s="760"/>
      <c r="O2" s="760"/>
      <c r="P2" s="760"/>
      <c r="Q2" s="760"/>
      <c r="R2" s="760"/>
      <c r="S2" s="760"/>
      <c r="T2" s="760"/>
      <c r="U2" s="760"/>
      <c r="V2" s="1"/>
      <c r="W2" s="1"/>
      <c r="X2" s="1"/>
      <c r="Y2" s="1"/>
      <c r="Z2" s="1"/>
      <c r="AA2" s="1"/>
      <c r="AB2" s="1"/>
      <c r="AC2" s="1"/>
      <c r="AD2" s="1"/>
      <c r="AE2" s="1"/>
      <c r="AF2" s="1"/>
      <c r="AG2" s="1"/>
      <c r="AH2" s="1"/>
      <c r="AI2" s="1"/>
      <c r="AJ2" s="1"/>
    </row>
    <row r="3" spans="1:36" s="2" customFormat="1" x14ac:dyDescent="0.25">
      <c r="A3" s="760"/>
      <c r="B3" s="760"/>
      <c r="C3" s="760"/>
      <c r="D3" s="760"/>
      <c r="E3" s="760"/>
      <c r="F3" s="760"/>
      <c r="G3" s="760"/>
      <c r="H3" s="760"/>
      <c r="I3" s="760"/>
      <c r="J3" s="760"/>
      <c r="K3" s="760"/>
      <c r="L3" s="760"/>
      <c r="M3" s="760"/>
      <c r="N3" s="760"/>
      <c r="O3" s="760"/>
      <c r="P3" s="760"/>
      <c r="Q3" s="760"/>
      <c r="R3" s="760"/>
      <c r="S3" s="760"/>
      <c r="T3" s="760"/>
      <c r="U3" s="760"/>
      <c r="V3" s="1"/>
      <c r="W3" s="1"/>
      <c r="X3" s="1"/>
      <c r="Y3" s="1"/>
      <c r="Z3" s="1"/>
      <c r="AA3" s="1"/>
      <c r="AB3" s="1"/>
      <c r="AC3" s="1"/>
      <c r="AD3" s="1"/>
      <c r="AE3" s="1"/>
      <c r="AF3" s="1"/>
      <c r="AG3" s="1"/>
      <c r="AH3" s="1"/>
      <c r="AI3" s="1"/>
      <c r="AJ3" s="1"/>
    </row>
    <row r="4" spans="1:36" s="2" customFormat="1" ht="12.75" customHeight="1" x14ac:dyDescent="0.25">
      <c r="A4" s="761"/>
      <c r="B4" s="762"/>
      <c r="C4" s="762"/>
      <c r="D4" s="762"/>
      <c r="E4" s="762"/>
      <c r="F4" s="762"/>
      <c r="G4" s="762"/>
      <c r="H4" s="762"/>
      <c r="I4" s="762"/>
      <c r="J4" s="762"/>
      <c r="K4" s="762"/>
      <c r="L4" s="762"/>
      <c r="M4" s="762"/>
      <c r="N4" s="762"/>
      <c r="O4" s="762"/>
      <c r="P4" s="762"/>
      <c r="Q4" s="762"/>
      <c r="R4" s="762"/>
      <c r="S4" s="762"/>
      <c r="T4" s="762"/>
      <c r="U4" s="762"/>
      <c r="V4" s="762"/>
      <c r="W4" s="762"/>
      <c r="X4" s="762"/>
      <c r="Y4" s="762"/>
      <c r="Z4" s="1"/>
      <c r="AA4" s="1"/>
      <c r="AB4" s="1"/>
      <c r="AC4" s="1"/>
      <c r="AD4" s="1"/>
      <c r="AE4" s="1"/>
      <c r="AF4" s="1"/>
      <c r="AG4" s="1"/>
      <c r="AH4" s="1"/>
      <c r="AI4" s="1"/>
      <c r="AJ4" s="1"/>
    </row>
    <row r="5" spans="1:36" ht="15" x14ac:dyDescent="0.25">
      <c r="A5" s="464" t="s">
        <v>71</v>
      </c>
    </row>
    <row r="6" spans="1:36" s="274" customFormat="1" ht="15.6" x14ac:dyDescent="0.3">
      <c r="A6" s="286"/>
      <c r="B6" s="275"/>
      <c r="C6" s="275"/>
      <c r="D6" s="275"/>
    </row>
    <row r="7" spans="1:36" s="274" customFormat="1" x14ac:dyDescent="0.25"/>
    <row r="8" spans="1:36" s="274" customFormat="1" x14ac:dyDescent="0.25">
      <c r="A8" s="275"/>
    </row>
    <row r="9" spans="1:36" s="274" customFormat="1" x14ac:dyDescent="0.25"/>
    <row r="10" spans="1:36" s="274" customFormat="1" x14ac:dyDescent="0.25"/>
    <row r="11" spans="1:36" s="274" customFormat="1" x14ac:dyDescent="0.25">
      <c r="A11" s="252"/>
      <c r="B11" s="252"/>
      <c r="C11" s="252"/>
    </row>
    <row r="12" spans="1:36" s="274" customFormat="1" x14ac:dyDescent="0.25"/>
    <row r="13" spans="1:36" s="274" customFormat="1" x14ac:dyDescent="0.25"/>
    <row r="14" spans="1:36" s="274" customFormat="1" x14ac:dyDescent="0.25"/>
    <row r="15" spans="1:36" s="274" customFormat="1" x14ac:dyDescent="0.25"/>
    <row r="16" spans="1:36" s="274" customFormat="1" x14ac:dyDescent="0.25"/>
    <row r="17" spans="1:17" s="274" customFormat="1" x14ac:dyDescent="0.25"/>
    <row r="18" spans="1:17" ht="15.6" x14ac:dyDescent="0.3">
      <c r="A18" s="605" t="s">
        <v>252</v>
      </c>
      <c r="B18" s="283" t="str">
        <f>Main!$N$22</f>
        <v>TMP6131DECR</v>
      </c>
      <c r="C18" s="716"/>
      <c r="D18" s="716"/>
      <c r="E18" s="716"/>
      <c r="F18" s="716"/>
      <c r="G18" s="716"/>
      <c r="H18" s="716"/>
      <c r="I18" s="716"/>
      <c r="J18" s="716"/>
      <c r="K18" s="716"/>
    </row>
    <row r="19" spans="1:17" ht="15" x14ac:dyDescent="0.25">
      <c r="A19" s="717"/>
      <c r="B19" s="717"/>
      <c r="C19" s="717"/>
      <c r="D19" s="717"/>
      <c r="E19" s="717"/>
      <c r="F19" s="717"/>
      <c r="G19" s="717"/>
      <c r="H19" s="717"/>
      <c r="I19" s="717"/>
      <c r="J19" s="717"/>
      <c r="K19" s="717"/>
      <c r="L19" s="7"/>
      <c r="M19" s="7"/>
      <c r="N19" s="7"/>
      <c r="O19" s="7"/>
      <c r="P19" s="7"/>
      <c r="Q19" s="7"/>
    </row>
    <row r="20" spans="1:17" ht="15.6" x14ac:dyDescent="0.3">
      <c r="A20" s="718" t="s">
        <v>266</v>
      </c>
      <c r="B20" s="719"/>
      <c r="C20" s="719"/>
      <c r="D20" s="719"/>
      <c r="E20" s="719"/>
      <c r="F20" s="717"/>
      <c r="G20" s="717"/>
      <c r="H20" s="717"/>
      <c r="I20" s="717"/>
      <c r="J20" s="717"/>
      <c r="K20" s="717"/>
      <c r="L20" s="7"/>
      <c r="M20" s="7"/>
      <c r="N20" s="7"/>
      <c r="O20" s="7"/>
      <c r="P20" s="7"/>
      <c r="Q20" s="7"/>
    </row>
    <row r="21" spans="1:17" ht="15.6" thickBot="1" x14ac:dyDescent="0.3">
      <c r="A21" s="717"/>
      <c r="B21" s="717"/>
      <c r="C21" s="717"/>
      <c r="D21" s="717"/>
      <c r="E21" s="717"/>
      <c r="F21" s="717"/>
      <c r="G21" s="717"/>
      <c r="H21" s="717"/>
      <c r="I21" s="717"/>
      <c r="J21" s="717"/>
      <c r="K21" s="717"/>
      <c r="L21" s="8"/>
      <c r="M21" s="7"/>
      <c r="N21" s="7"/>
      <c r="O21" s="7"/>
      <c r="P21" s="7"/>
      <c r="Q21" s="7"/>
    </row>
    <row r="22" spans="1:17" ht="16.2" thickBot="1" x14ac:dyDescent="0.35">
      <c r="A22" s="717" t="s">
        <v>268</v>
      </c>
      <c r="B22" s="529">
        <v>10000</v>
      </c>
      <c r="C22" s="483" t="s">
        <v>44</v>
      </c>
      <c r="D22" s="483" t="s">
        <v>272</v>
      </c>
      <c r="E22" s="483"/>
      <c r="F22" s="483" t="s">
        <v>703</v>
      </c>
      <c r="G22" s="720">
        <f>(B23/1000000)*B22</f>
        <v>1.4</v>
      </c>
      <c r="H22" s="483" t="s">
        <v>2</v>
      </c>
      <c r="I22" s="483"/>
      <c r="J22" s="717"/>
      <c r="K22" s="717"/>
      <c r="L22" s="7"/>
      <c r="M22" s="7"/>
      <c r="N22" s="7"/>
      <c r="O22" s="7"/>
      <c r="P22" s="7"/>
      <c r="Q22" s="7"/>
    </row>
    <row r="23" spans="1:17" ht="15.6" thickBot="1" x14ac:dyDescent="0.3">
      <c r="A23" s="721" t="s">
        <v>442</v>
      </c>
      <c r="B23" s="722">
        <f>Main!$N$25</f>
        <v>140</v>
      </c>
      <c r="C23" s="483" t="s">
        <v>441</v>
      </c>
      <c r="D23" s="483" t="s">
        <v>43</v>
      </c>
      <c r="E23" s="483"/>
      <c r="F23" s="483" t="s">
        <v>42</v>
      </c>
      <c r="G23" s="522">
        <f>(G22/B25)*(2^B24)</f>
        <v>1737.6969696969697</v>
      </c>
      <c r="H23" s="483" t="s">
        <v>41</v>
      </c>
      <c r="I23" s="483"/>
      <c r="J23" s="717"/>
      <c r="K23" s="717"/>
      <c r="L23" s="7"/>
      <c r="M23" s="7"/>
      <c r="N23" s="7"/>
      <c r="O23" s="7"/>
      <c r="P23" s="7"/>
      <c r="Q23" s="7"/>
    </row>
    <row r="24" spans="1:17" ht="15.6" thickBot="1" x14ac:dyDescent="0.3">
      <c r="A24" s="717" t="s">
        <v>42</v>
      </c>
      <c r="B24" s="723">
        <f>Main!$N$28</f>
        <v>12</v>
      </c>
      <c r="C24" s="483" t="s">
        <v>16</v>
      </c>
      <c r="D24" s="483" t="s">
        <v>37</v>
      </c>
      <c r="E24" s="483"/>
      <c r="F24" s="483"/>
      <c r="G24" s="483"/>
      <c r="H24" s="483"/>
      <c r="I24" s="483"/>
      <c r="J24" s="717"/>
      <c r="K24" s="717"/>
      <c r="L24" s="7"/>
      <c r="M24" s="7"/>
      <c r="N24" s="7"/>
      <c r="O24" s="7"/>
      <c r="P24" s="7"/>
      <c r="Q24" s="7"/>
    </row>
    <row r="25" spans="1:17" ht="15.6" thickBot="1" x14ac:dyDescent="0.3">
      <c r="A25" s="717" t="s">
        <v>265</v>
      </c>
      <c r="B25" s="724">
        <v>3.3</v>
      </c>
      <c r="C25" s="483" t="s">
        <v>2</v>
      </c>
      <c r="D25" s="483" t="s">
        <v>35</v>
      </c>
      <c r="E25" s="483" t="s">
        <v>267</v>
      </c>
      <c r="F25" s="483"/>
      <c r="G25" s="483"/>
      <c r="H25" s="483"/>
      <c r="I25" s="483"/>
      <c r="J25" s="717"/>
      <c r="K25" s="717"/>
      <c r="L25" s="7"/>
      <c r="M25" s="7"/>
      <c r="N25" s="7"/>
      <c r="O25" s="7"/>
      <c r="P25" s="7"/>
      <c r="Q25" s="7"/>
    </row>
    <row r="26" spans="1:17" ht="15" x14ac:dyDescent="0.25">
      <c r="A26" s="717"/>
      <c r="B26" s="717"/>
      <c r="C26" s="483"/>
      <c r="D26" s="483"/>
      <c r="E26" s="483"/>
      <c r="F26" s="483"/>
      <c r="G26" s="483"/>
      <c r="H26" s="483"/>
      <c r="I26" s="483"/>
      <c r="J26" s="717"/>
      <c r="K26" s="717"/>
      <c r="L26" s="7"/>
      <c r="M26" s="7"/>
      <c r="N26" s="7"/>
      <c r="O26" s="7"/>
      <c r="P26" s="7"/>
      <c r="Q26" s="7"/>
    </row>
    <row r="27" spans="1:17" ht="15" x14ac:dyDescent="0.25">
      <c r="A27" s="719"/>
      <c r="B27" s="719"/>
      <c r="C27" s="528"/>
      <c r="D27" s="528"/>
      <c r="E27" s="528"/>
      <c r="F27" s="483"/>
      <c r="G27" s="483"/>
      <c r="H27" s="483"/>
      <c r="I27" s="483"/>
      <c r="J27" s="717"/>
      <c r="K27" s="717"/>
      <c r="L27" s="7"/>
      <c r="M27" s="7"/>
      <c r="N27" s="7"/>
      <c r="O27" s="7"/>
      <c r="P27" s="7"/>
      <c r="Q27" s="7"/>
    </row>
    <row r="28" spans="1:17" ht="15.6" x14ac:dyDescent="0.3">
      <c r="A28" s="718" t="s">
        <v>269</v>
      </c>
      <c r="B28" s="719"/>
      <c r="C28" s="528"/>
      <c r="D28" s="528"/>
      <c r="E28" s="528"/>
      <c r="F28" s="483"/>
      <c r="G28" s="483"/>
      <c r="H28" s="483"/>
      <c r="I28" s="483"/>
      <c r="J28" s="717"/>
      <c r="K28" s="717"/>
      <c r="L28" s="7"/>
      <c r="M28" s="7"/>
      <c r="N28" s="7"/>
      <c r="O28" s="7"/>
      <c r="P28" s="7"/>
      <c r="Q28" s="7"/>
    </row>
    <row r="29" spans="1:17" ht="15.6" thickBot="1" x14ac:dyDescent="0.3">
      <c r="A29" s="717"/>
      <c r="B29" s="717"/>
      <c r="C29" s="483"/>
      <c r="D29" s="483"/>
      <c r="E29" s="483"/>
      <c r="F29" s="483"/>
      <c r="G29" s="483"/>
      <c r="H29" s="483"/>
      <c r="I29" s="483"/>
      <c r="J29" s="717"/>
      <c r="K29" s="717"/>
      <c r="L29" s="7"/>
      <c r="M29" s="7"/>
      <c r="N29" s="7"/>
      <c r="O29" s="7"/>
      <c r="P29" s="7"/>
      <c r="Q29" s="7"/>
    </row>
    <row r="30" spans="1:17" ht="15.6" thickBot="1" x14ac:dyDescent="0.3">
      <c r="A30" s="717" t="s">
        <v>15</v>
      </c>
      <c r="B30" s="724">
        <v>2482</v>
      </c>
      <c r="C30" s="483" t="s">
        <v>16</v>
      </c>
      <c r="D30" s="483" t="s">
        <v>272</v>
      </c>
      <c r="E30" s="483"/>
      <c r="F30" s="483" t="s">
        <v>703</v>
      </c>
      <c r="G30" s="720">
        <f>(B33/(2^B32))*B30</f>
        <v>1.9996582031249999</v>
      </c>
      <c r="H30" s="483" t="s">
        <v>2</v>
      </c>
      <c r="I30" s="483"/>
      <c r="J30" s="717"/>
      <c r="K30" s="717"/>
      <c r="L30" s="7"/>
      <c r="M30" s="7"/>
      <c r="N30" s="7"/>
      <c r="O30" s="7"/>
      <c r="P30" s="7"/>
      <c r="Q30" s="7"/>
    </row>
    <row r="31" spans="1:17" ht="15.6" thickBot="1" x14ac:dyDescent="0.3">
      <c r="A31" s="721" t="s">
        <v>442</v>
      </c>
      <c r="B31" s="722">
        <f>B23</f>
        <v>140</v>
      </c>
      <c r="C31" s="483" t="s">
        <v>441</v>
      </c>
      <c r="D31" s="483" t="s">
        <v>43</v>
      </c>
      <c r="E31" s="483"/>
      <c r="F31" s="483" t="s">
        <v>268</v>
      </c>
      <c r="G31" s="522">
        <f>G30/((B31/1000000))</f>
        <v>14283.272879464286</v>
      </c>
      <c r="H31" s="483" t="s">
        <v>1</v>
      </c>
      <c r="I31" s="483"/>
      <c r="J31" s="717"/>
      <c r="K31" s="717"/>
      <c r="L31" s="7"/>
      <c r="M31" s="7"/>
      <c r="N31" s="7"/>
      <c r="O31" s="7"/>
      <c r="P31" s="7"/>
      <c r="Q31" s="7"/>
    </row>
    <row r="32" spans="1:17" ht="15.6" thickBot="1" x14ac:dyDescent="0.3">
      <c r="A32" s="717" t="s">
        <v>42</v>
      </c>
      <c r="B32" s="723">
        <f>B24</f>
        <v>12</v>
      </c>
      <c r="C32" s="483" t="s">
        <v>16</v>
      </c>
      <c r="D32" s="483" t="s">
        <v>37</v>
      </c>
      <c r="E32" s="483"/>
      <c r="F32" s="483"/>
      <c r="G32" s="483"/>
      <c r="H32" s="483"/>
      <c r="I32" s="483"/>
      <c r="J32" s="717"/>
      <c r="K32" s="717"/>
      <c r="L32" s="7"/>
      <c r="M32" s="7"/>
      <c r="N32" s="7"/>
      <c r="O32" s="7"/>
      <c r="P32" s="7"/>
      <c r="Q32" s="7"/>
    </row>
    <row r="33" spans="1:17" ht="15.6" thickBot="1" x14ac:dyDescent="0.3">
      <c r="A33" s="717" t="s">
        <v>265</v>
      </c>
      <c r="B33" s="724">
        <v>3.3</v>
      </c>
      <c r="C33" s="483" t="s">
        <v>2</v>
      </c>
      <c r="D33" s="483" t="s">
        <v>35</v>
      </c>
      <c r="E33" s="483" t="s">
        <v>267</v>
      </c>
      <c r="F33" s="483"/>
      <c r="G33" s="483"/>
      <c r="H33" s="483"/>
      <c r="I33" s="483"/>
      <c r="J33" s="717"/>
      <c r="K33" s="717"/>
      <c r="L33" s="7"/>
      <c r="M33" s="7"/>
      <c r="N33" s="7"/>
      <c r="O33" s="7"/>
      <c r="P33" s="7"/>
      <c r="Q33" s="7"/>
    </row>
    <row r="34" spans="1:17" ht="15" x14ac:dyDescent="0.25">
      <c r="A34" s="719"/>
      <c r="B34" s="719"/>
      <c r="C34" s="528"/>
      <c r="D34" s="528"/>
      <c r="E34" s="528"/>
      <c r="F34" s="483"/>
      <c r="G34" s="483"/>
      <c r="H34" s="483"/>
      <c r="I34" s="483"/>
      <c r="J34" s="717"/>
      <c r="K34" s="717"/>
      <c r="L34" s="7"/>
      <c r="M34" s="7"/>
      <c r="N34" s="7"/>
      <c r="O34" s="7"/>
      <c r="P34" s="7"/>
      <c r="Q34" s="7"/>
    </row>
    <row r="35" spans="1:17" ht="15" x14ac:dyDescent="0.25">
      <c r="A35" s="719"/>
      <c r="B35" s="719"/>
      <c r="C35" s="528"/>
      <c r="D35" s="528"/>
      <c r="E35" s="528"/>
      <c r="F35" s="483"/>
      <c r="G35" s="483"/>
      <c r="H35" s="483"/>
      <c r="I35" s="483"/>
      <c r="J35" s="717"/>
      <c r="K35" s="717"/>
      <c r="L35" s="7"/>
      <c r="M35" s="7"/>
      <c r="N35" s="7"/>
      <c r="O35" s="7"/>
      <c r="P35" s="7"/>
      <c r="Q35" s="7"/>
    </row>
    <row r="36" spans="1:17" ht="15.6" x14ac:dyDescent="0.3">
      <c r="A36" s="718" t="s">
        <v>270</v>
      </c>
      <c r="B36" s="719"/>
      <c r="C36" s="528"/>
      <c r="D36" s="528"/>
      <c r="E36" s="528"/>
      <c r="F36" s="483"/>
      <c r="G36" s="483"/>
      <c r="H36" s="483"/>
      <c r="I36" s="483"/>
      <c r="J36" s="717"/>
      <c r="K36" s="717"/>
      <c r="L36" s="7"/>
      <c r="M36" s="7"/>
      <c r="N36" s="7"/>
      <c r="O36" s="7"/>
      <c r="P36" s="7"/>
      <c r="Q36" s="7"/>
    </row>
    <row r="37" spans="1:17" ht="15.6" thickBot="1" x14ac:dyDescent="0.3">
      <c r="A37" s="717"/>
      <c r="B37" s="717"/>
      <c r="C37" s="483"/>
      <c r="D37" s="483"/>
      <c r="E37" s="483"/>
      <c r="F37" s="483"/>
      <c r="G37" s="483"/>
      <c r="H37" s="483"/>
      <c r="I37" s="483"/>
      <c r="J37" s="717"/>
      <c r="K37" s="717"/>
      <c r="L37" s="7"/>
      <c r="M37" s="7"/>
      <c r="N37" s="7"/>
      <c r="O37" s="7"/>
      <c r="P37" s="7"/>
      <c r="Q37" s="7"/>
    </row>
    <row r="38" spans="1:17" ht="15.6" thickBot="1" x14ac:dyDescent="0.3">
      <c r="A38" s="717" t="s">
        <v>40</v>
      </c>
      <c r="B38" s="724">
        <v>2</v>
      </c>
      <c r="C38" s="483" t="s">
        <v>2</v>
      </c>
      <c r="D38" s="483" t="s">
        <v>703</v>
      </c>
      <c r="E38" s="483"/>
      <c r="F38" s="483" t="s">
        <v>39</v>
      </c>
      <c r="G38" s="522">
        <f>(B38/B41)*2^B40</f>
        <v>2482.4242424242425</v>
      </c>
      <c r="H38" s="483" t="s">
        <v>16</v>
      </c>
      <c r="I38" s="483"/>
      <c r="J38" s="717"/>
      <c r="K38" s="717"/>
      <c r="L38" s="7"/>
      <c r="M38" s="7"/>
      <c r="N38" s="7"/>
      <c r="O38" s="7"/>
      <c r="P38" s="7"/>
      <c r="Q38" s="7"/>
    </row>
    <row r="39" spans="1:17" ht="15.6" thickBot="1" x14ac:dyDescent="0.3">
      <c r="A39" s="721" t="s">
        <v>442</v>
      </c>
      <c r="B39" s="722">
        <f>B23</f>
        <v>140</v>
      </c>
      <c r="C39" s="483" t="s">
        <v>441</v>
      </c>
      <c r="D39" s="483" t="s">
        <v>43</v>
      </c>
      <c r="E39" s="483"/>
      <c r="F39" s="483" t="s">
        <v>268</v>
      </c>
      <c r="G39" s="522">
        <f>B38/(B39/1000000)</f>
        <v>14285.714285714286</v>
      </c>
      <c r="H39" s="483" t="s">
        <v>1</v>
      </c>
      <c r="I39" s="483"/>
      <c r="J39" s="717"/>
      <c r="K39" s="717"/>
      <c r="L39" s="7"/>
      <c r="M39" s="7"/>
      <c r="N39" s="7"/>
      <c r="O39" s="7"/>
      <c r="P39" s="7"/>
      <c r="Q39" s="7"/>
    </row>
    <row r="40" spans="1:17" ht="15.6" thickBot="1" x14ac:dyDescent="0.3">
      <c r="A40" s="717" t="s">
        <v>42</v>
      </c>
      <c r="B40" s="723">
        <f>B24</f>
        <v>12</v>
      </c>
      <c r="C40" s="483" t="s">
        <v>16</v>
      </c>
      <c r="D40" s="483" t="s">
        <v>37</v>
      </c>
      <c r="E40" s="483"/>
      <c r="F40" s="483"/>
      <c r="G40" s="483"/>
      <c r="H40" s="483"/>
      <c r="I40" s="483"/>
      <c r="J40" s="717"/>
      <c r="K40" s="717"/>
      <c r="L40" s="7"/>
      <c r="M40" s="7"/>
      <c r="N40" s="7"/>
      <c r="O40" s="7"/>
      <c r="P40" s="7"/>
      <c r="Q40" s="7"/>
    </row>
    <row r="41" spans="1:17" ht="15.6" thickBot="1" x14ac:dyDescent="0.3">
      <c r="A41" s="717" t="s">
        <v>265</v>
      </c>
      <c r="B41" s="724">
        <v>3.3</v>
      </c>
      <c r="C41" s="483" t="s">
        <v>2</v>
      </c>
      <c r="D41" s="483" t="s">
        <v>35</v>
      </c>
      <c r="E41" s="483" t="s">
        <v>267</v>
      </c>
      <c r="F41" s="483"/>
      <c r="G41" s="483"/>
      <c r="H41" s="483"/>
      <c r="I41" s="483"/>
      <c r="J41" s="717"/>
      <c r="K41" s="717"/>
      <c r="L41" s="7"/>
      <c r="M41" s="7"/>
      <c r="N41" s="7"/>
      <c r="O41" s="7"/>
      <c r="P41" s="7"/>
      <c r="Q41" s="7"/>
    </row>
    <row r="42" spans="1:17" ht="15" x14ac:dyDescent="0.25">
      <c r="A42" s="719"/>
      <c r="B42" s="719"/>
      <c r="C42" s="528"/>
      <c r="D42" s="528"/>
      <c r="E42" s="528"/>
      <c r="F42" s="483"/>
      <c r="G42" s="483"/>
      <c r="H42" s="483"/>
      <c r="I42" s="483"/>
      <c r="J42" s="717"/>
      <c r="K42" s="717"/>
      <c r="L42" s="7"/>
      <c r="M42" s="7"/>
      <c r="N42" s="7"/>
      <c r="O42" s="7"/>
      <c r="P42" s="7"/>
      <c r="Q42" s="7"/>
    </row>
    <row r="43" spans="1:17" ht="15" x14ac:dyDescent="0.25">
      <c r="A43" s="717"/>
      <c r="B43" s="717"/>
      <c r="C43" s="483"/>
      <c r="D43" s="483"/>
      <c r="E43" s="483"/>
      <c r="F43" s="483"/>
      <c r="G43" s="483"/>
      <c r="H43" s="483"/>
      <c r="I43" s="483"/>
      <c r="J43" s="717"/>
      <c r="K43" s="717"/>
      <c r="L43" s="7"/>
      <c r="M43" s="7"/>
      <c r="N43" s="7"/>
      <c r="O43" s="7"/>
      <c r="P43" s="7"/>
      <c r="Q43" s="7"/>
    </row>
    <row r="44" spans="1:17" ht="15.6" x14ac:dyDescent="0.3">
      <c r="A44" s="718" t="s">
        <v>271</v>
      </c>
      <c r="B44" s="725"/>
      <c r="C44" s="726"/>
      <c r="D44" s="719"/>
      <c r="E44" s="727"/>
      <c r="F44" s="727"/>
      <c r="G44" s="728"/>
      <c r="H44" s="728"/>
      <c r="I44" s="717"/>
      <c r="J44" s="717"/>
      <c r="K44" s="717"/>
      <c r="L44" s="7"/>
      <c r="M44" s="7"/>
      <c r="N44" s="7"/>
      <c r="O44" s="7"/>
      <c r="P44" s="7"/>
      <c r="Q44" s="7"/>
    </row>
    <row r="45" spans="1:17" ht="16.2" thickBot="1" x14ac:dyDescent="0.35">
      <c r="A45" s="718"/>
      <c r="B45" s="725"/>
      <c r="C45" s="726"/>
      <c r="D45" s="719"/>
      <c r="E45" s="727"/>
      <c r="F45" s="727"/>
      <c r="G45" s="728"/>
      <c r="H45" s="728"/>
      <c r="I45" s="717"/>
      <c r="J45" s="717"/>
      <c r="K45" s="717"/>
      <c r="L45" s="7"/>
      <c r="M45" s="7"/>
      <c r="N45" s="7"/>
      <c r="O45" s="7"/>
      <c r="P45" s="7"/>
      <c r="Q45" s="7"/>
    </row>
    <row r="46" spans="1:17" ht="15.6" thickBot="1" x14ac:dyDescent="0.3">
      <c r="A46" s="717" t="s">
        <v>265</v>
      </c>
      <c r="B46" s="724">
        <v>3</v>
      </c>
      <c r="C46" s="483" t="s">
        <v>2</v>
      </c>
      <c r="D46" s="717"/>
      <c r="E46" s="728"/>
      <c r="F46" s="728"/>
      <c r="G46" s="728"/>
      <c r="H46" s="728"/>
      <c r="I46" s="717"/>
      <c r="J46" s="717"/>
      <c r="K46" s="717"/>
      <c r="L46" s="7"/>
      <c r="M46" s="7"/>
      <c r="N46" s="7"/>
      <c r="O46" s="7"/>
      <c r="P46" s="7"/>
      <c r="Q46" s="7"/>
    </row>
    <row r="47" spans="1:17" ht="15.6" thickBot="1" x14ac:dyDescent="0.3">
      <c r="A47" s="721" t="s">
        <v>442</v>
      </c>
      <c r="B47" s="729">
        <f>B23</f>
        <v>140</v>
      </c>
      <c r="C47" s="483" t="s">
        <v>441</v>
      </c>
      <c r="D47" s="526"/>
      <c r="E47" s="526"/>
      <c r="F47" s="607"/>
      <c r="G47" s="607"/>
      <c r="H47" s="728"/>
      <c r="I47" s="717"/>
      <c r="J47" s="717"/>
      <c r="K47" s="717"/>
      <c r="L47" s="7"/>
      <c r="M47" s="7"/>
      <c r="N47" s="7"/>
      <c r="O47" s="7"/>
      <c r="P47" s="7"/>
      <c r="Q47" s="7"/>
    </row>
    <row r="48" spans="1:17" ht="16.2" thickBot="1" x14ac:dyDescent="0.35">
      <c r="A48" s="730" t="s">
        <v>42</v>
      </c>
      <c r="B48" s="632">
        <v>12</v>
      </c>
      <c r="C48" s="731">
        <f>2^B48</f>
        <v>4096</v>
      </c>
      <c r="D48" s="732" t="s">
        <v>16</v>
      </c>
      <c r="E48" s="733">
        <f>B46/C48</f>
        <v>7.32421875E-4</v>
      </c>
      <c r="F48" s="677" t="s">
        <v>2</v>
      </c>
      <c r="G48" s="734" t="s">
        <v>17</v>
      </c>
      <c r="H48" s="728"/>
      <c r="I48" s="716"/>
      <c r="J48" s="716"/>
      <c r="K48" s="716"/>
      <c r="Q48" s="7"/>
    </row>
    <row r="49" spans="1:17" ht="15.6" thickBot="1" x14ac:dyDescent="0.3">
      <c r="A49" s="716"/>
      <c r="B49" s="716"/>
      <c r="C49" s="716"/>
      <c r="D49" s="716"/>
      <c r="E49" s="716"/>
      <c r="F49" s="716"/>
      <c r="G49" s="716"/>
      <c r="H49" s="716"/>
      <c r="I49" s="716"/>
      <c r="J49" s="716"/>
      <c r="K49" s="716"/>
      <c r="Q49" s="7"/>
    </row>
    <row r="50" spans="1:17" ht="16.2" thickBot="1" x14ac:dyDescent="0.35">
      <c r="A50" s="735" t="s">
        <v>278</v>
      </c>
      <c r="B50" s="736">
        <v>125</v>
      </c>
      <c r="C50" s="737"/>
      <c r="D50" s="493"/>
      <c r="E50" s="738"/>
      <c r="F50" s="739" t="s">
        <v>277</v>
      </c>
      <c r="G50" s="516">
        <v>-40</v>
      </c>
      <c r="H50" s="716"/>
      <c r="I50" s="716"/>
      <c r="J50" s="716"/>
      <c r="K50" s="716"/>
      <c r="Q50" s="7"/>
    </row>
    <row r="51" spans="1:17" ht="16.2" thickBot="1" x14ac:dyDescent="0.35">
      <c r="A51" s="730" t="s">
        <v>147</v>
      </c>
      <c r="B51" s="740">
        <f>VLOOKUP(B50,'Device Resistance Tables'!B64:D214,2,FALSE)</f>
        <v>17617.44061304464</v>
      </c>
      <c r="C51" s="741" t="s">
        <v>1</v>
      </c>
      <c r="D51" s="483" t="s">
        <v>196</v>
      </c>
      <c r="E51" s="716"/>
      <c r="F51" s="730" t="s">
        <v>152</v>
      </c>
      <c r="G51" s="742">
        <f>VLOOKUP(G50,'Device Resistance Tables'!B24:D64,3,FALSE)</f>
        <v>6514.0402550496137</v>
      </c>
      <c r="H51" s="743" t="s">
        <v>1</v>
      </c>
      <c r="I51" s="483" t="s">
        <v>194</v>
      </c>
      <c r="J51" s="716"/>
      <c r="K51" s="716"/>
      <c r="Q51" s="7"/>
    </row>
    <row r="52" spans="1:17" ht="16.2" thickBot="1" x14ac:dyDescent="0.35">
      <c r="A52" s="730" t="s">
        <v>148</v>
      </c>
      <c r="B52" s="744">
        <f>VLOOKUP(B50-1,'Device Resistance Tables'!B64:D214,2,FALSE)</f>
        <v>17519.068134731893</v>
      </c>
      <c r="C52" s="743" t="s">
        <v>1</v>
      </c>
      <c r="D52" s="483" t="s">
        <v>195</v>
      </c>
      <c r="E52" s="716"/>
      <c r="F52" s="730" t="s">
        <v>153</v>
      </c>
      <c r="G52" s="744">
        <f>VLOOKUP(G50+1,'Device Resistance Tables'!B24:D64,3,FALSE)</f>
        <v>6555.848186798853</v>
      </c>
      <c r="H52" s="743" t="s">
        <v>1</v>
      </c>
      <c r="I52" s="483" t="s">
        <v>193</v>
      </c>
      <c r="J52" s="716"/>
      <c r="K52" s="716"/>
      <c r="Q52" s="7"/>
    </row>
    <row r="53" spans="1:17" ht="16.2" thickBot="1" x14ac:dyDescent="0.35">
      <c r="A53" s="620" t="s">
        <v>149</v>
      </c>
      <c r="B53" s="745">
        <f>B51*($B$39/1000000)</f>
        <v>2.4664416858262492</v>
      </c>
      <c r="C53" s="746" t="s">
        <v>18</v>
      </c>
      <c r="D53" s="483"/>
      <c r="E53" s="607"/>
      <c r="F53" s="620" t="s">
        <v>154</v>
      </c>
      <c r="G53" s="745">
        <f>G51*($B$39/1000000)</f>
        <v>0.91196563570694589</v>
      </c>
      <c r="H53" s="746" t="s">
        <v>18</v>
      </c>
      <c r="I53" s="483"/>
      <c r="J53" s="607"/>
      <c r="K53" s="716"/>
      <c r="N53" s="20"/>
      <c r="O53" s="163"/>
      <c r="P53" s="163"/>
      <c r="Q53" s="7"/>
    </row>
    <row r="54" spans="1:17" ht="16.2" thickBot="1" x14ac:dyDescent="0.35">
      <c r="A54" s="620" t="s">
        <v>150</v>
      </c>
      <c r="B54" s="745">
        <f>B52*($B$39/1000000)</f>
        <v>2.4526695388624646</v>
      </c>
      <c r="C54" s="743" t="s">
        <v>18</v>
      </c>
      <c r="D54" s="483"/>
      <c r="E54" s="607"/>
      <c r="F54" s="620" t="s">
        <v>156</v>
      </c>
      <c r="G54" s="745">
        <f>G52*($B$39/1000000)</f>
        <v>0.91781874615183934</v>
      </c>
      <c r="H54" s="743" t="s">
        <v>18</v>
      </c>
      <c r="I54" s="483"/>
      <c r="J54" s="716"/>
      <c r="K54" s="716"/>
      <c r="P54" s="163"/>
      <c r="Q54" s="7"/>
    </row>
    <row r="55" spans="1:17" ht="16.2" thickBot="1" x14ac:dyDescent="0.35">
      <c r="A55" s="620" t="s">
        <v>151</v>
      </c>
      <c r="B55" s="745">
        <f>B53-B54</f>
        <v>1.3772146963784593E-2</v>
      </c>
      <c r="C55" s="747" t="s">
        <v>19</v>
      </c>
      <c r="D55" s="483"/>
      <c r="E55" s="716"/>
      <c r="F55" s="620" t="s">
        <v>155</v>
      </c>
      <c r="G55" s="745">
        <f>G54-G53</f>
        <v>5.8531104448934501E-3</v>
      </c>
      <c r="H55" s="747" t="s">
        <v>19</v>
      </c>
      <c r="I55" s="483"/>
      <c r="J55" s="716"/>
      <c r="K55" s="716"/>
      <c r="P55" s="163"/>
      <c r="Q55" s="7"/>
    </row>
    <row r="56" spans="1:17" ht="16.2" thickBot="1" x14ac:dyDescent="0.35">
      <c r="A56" s="620"/>
      <c r="B56" s="748"/>
      <c r="C56" s="749"/>
      <c r="D56" s="483"/>
      <c r="E56" s="716"/>
      <c r="F56" s="716"/>
      <c r="G56" s="717"/>
      <c r="H56" s="717"/>
      <c r="I56" s="717"/>
      <c r="J56" s="750"/>
      <c r="K56" s="716"/>
      <c r="N56" s="7"/>
      <c r="O56" s="7"/>
      <c r="P56" s="7"/>
      <c r="Q56" s="7"/>
    </row>
    <row r="57" spans="1:17" ht="15.6" thickBot="1" x14ac:dyDescent="0.3">
      <c r="A57" s="751" t="s">
        <v>188</v>
      </c>
      <c r="B57" s="752">
        <f>B55/E48</f>
        <v>18.803571321220563</v>
      </c>
      <c r="C57" s="677" t="s">
        <v>639</v>
      </c>
      <c r="D57" s="716"/>
      <c r="E57" s="716"/>
      <c r="F57" s="751" t="s">
        <v>188</v>
      </c>
      <c r="G57" s="752">
        <f>G55/E48</f>
        <v>7.9914467940945242</v>
      </c>
      <c r="H57" s="677" t="s">
        <v>639</v>
      </c>
      <c r="I57" s="716"/>
      <c r="J57" s="647"/>
      <c r="K57" s="716"/>
      <c r="N57" s="7"/>
      <c r="O57" s="7"/>
      <c r="P57" s="7"/>
      <c r="Q57" s="7"/>
    </row>
    <row r="58" spans="1:17" ht="15.6" thickBot="1" x14ac:dyDescent="0.3">
      <c r="A58" s="751" t="s">
        <v>34</v>
      </c>
      <c r="B58" s="753">
        <f>1/B57</f>
        <v>5.3181386818335993E-2</v>
      </c>
      <c r="C58" s="677" t="s">
        <v>183</v>
      </c>
      <c r="D58" s="716"/>
      <c r="E58" s="716"/>
      <c r="F58" s="751" t="s">
        <v>34</v>
      </c>
      <c r="G58" s="753">
        <f>1/G57</f>
        <v>0.12513378688061522</v>
      </c>
      <c r="H58" s="677" t="s">
        <v>186</v>
      </c>
      <c r="I58" s="716"/>
      <c r="J58" s="647"/>
      <c r="K58" s="716"/>
      <c r="N58" s="7"/>
      <c r="O58" s="7"/>
      <c r="P58" s="7"/>
      <c r="Q58" s="7"/>
    </row>
    <row r="59" spans="1:17" ht="15" x14ac:dyDescent="0.25">
      <c r="A59" s="716"/>
      <c r="B59" s="716"/>
      <c r="C59" s="716"/>
      <c r="D59" s="716"/>
      <c r="E59" s="716"/>
      <c r="F59" s="717"/>
      <c r="G59" s="717"/>
      <c r="H59" s="717"/>
      <c r="I59" s="717"/>
      <c r="J59" s="750"/>
      <c r="K59" s="716"/>
      <c r="N59" s="7"/>
      <c r="O59" s="7"/>
      <c r="P59" s="7"/>
      <c r="Q59" s="7"/>
    </row>
    <row r="60" spans="1:17" ht="15" x14ac:dyDescent="0.25">
      <c r="A60" s="716"/>
      <c r="B60" s="716"/>
      <c r="C60" s="716"/>
      <c r="D60" s="716"/>
      <c r="E60" s="716"/>
      <c r="F60" s="716"/>
      <c r="G60" s="716"/>
      <c r="H60" s="716"/>
      <c r="I60" s="717"/>
      <c r="J60" s="717"/>
      <c r="K60" s="717"/>
      <c r="L60" s="7"/>
      <c r="M60" s="7"/>
      <c r="N60" s="7"/>
      <c r="O60" s="7"/>
      <c r="P60" s="7"/>
      <c r="Q60" s="7"/>
    </row>
    <row r="61" spans="1:17" ht="15" x14ac:dyDescent="0.25">
      <c r="A61" s="716"/>
      <c r="B61" s="716"/>
      <c r="C61" s="716"/>
      <c r="D61" s="716"/>
      <c r="E61" s="716"/>
      <c r="F61" s="716"/>
      <c r="G61" s="716"/>
      <c r="H61" s="716"/>
      <c r="I61" s="717"/>
      <c r="J61" s="717"/>
      <c r="K61" s="717"/>
      <c r="L61" s="7"/>
      <c r="M61" s="7"/>
      <c r="N61" s="7"/>
      <c r="O61" s="7"/>
      <c r="P61" s="7"/>
      <c r="Q61" s="7"/>
    </row>
    <row r="62" spans="1:17" ht="15.6" x14ac:dyDescent="0.3">
      <c r="A62" s="432"/>
      <c r="B62" s="646"/>
      <c r="C62" s="434"/>
      <c r="D62" s="528"/>
      <c r="E62" s="483"/>
      <c r="F62" s="483"/>
      <c r="G62" s="483"/>
      <c r="H62" s="639"/>
      <c r="I62" s="717"/>
      <c r="J62" s="717"/>
      <c r="K62" s="717"/>
      <c r="L62" s="7"/>
      <c r="M62" s="7"/>
      <c r="N62" s="7"/>
      <c r="O62" s="7"/>
      <c r="P62" s="7"/>
      <c r="Q62" s="7"/>
    </row>
    <row r="63" spans="1:17" ht="15" x14ac:dyDescent="0.25">
      <c r="A63" s="483"/>
      <c r="B63" s="483"/>
      <c r="C63" s="483"/>
      <c r="D63" s="483"/>
      <c r="E63" s="483"/>
      <c r="F63" s="483"/>
      <c r="G63" s="483"/>
      <c r="H63" s="483"/>
      <c r="I63" s="717"/>
      <c r="J63" s="717"/>
      <c r="K63" s="717"/>
      <c r="L63" s="7"/>
      <c r="M63" s="7"/>
      <c r="N63" s="7"/>
      <c r="O63" s="7"/>
      <c r="P63" s="7"/>
      <c r="Q63" s="7"/>
    </row>
    <row r="64" spans="1:17" ht="15" x14ac:dyDescent="0.25">
      <c r="A64" s="483"/>
      <c r="B64" s="483"/>
      <c r="C64" s="483"/>
      <c r="D64" s="483"/>
      <c r="E64" s="483"/>
      <c r="F64" s="483"/>
      <c r="G64" s="483"/>
      <c r="H64" s="483"/>
      <c r="I64" s="717"/>
      <c r="J64" s="717"/>
      <c r="K64" s="717"/>
      <c r="L64" s="7"/>
      <c r="M64" s="7"/>
      <c r="N64" s="7"/>
      <c r="O64" s="7"/>
      <c r="P64" s="7"/>
      <c r="Q64" s="7"/>
    </row>
    <row r="65" spans="1:17" ht="15" x14ac:dyDescent="0.25">
      <c r="A65" s="483"/>
      <c r="B65" s="483"/>
      <c r="C65" s="483"/>
      <c r="D65" s="483"/>
      <c r="E65" s="483"/>
      <c r="F65" s="483"/>
      <c r="G65" s="483"/>
      <c r="H65" s="483"/>
      <c r="I65" s="717"/>
      <c r="J65" s="717"/>
      <c r="K65" s="717"/>
      <c r="L65" s="7"/>
      <c r="M65" s="7"/>
      <c r="N65" s="7"/>
      <c r="O65" s="7"/>
      <c r="P65" s="7"/>
      <c r="Q65" s="7"/>
    </row>
    <row r="66" spans="1:17" ht="15" x14ac:dyDescent="0.25">
      <c r="A66" s="483"/>
      <c r="B66" s="483"/>
      <c r="C66" s="483"/>
      <c r="D66" s="483"/>
      <c r="E66" s="483"/>
      <c r="F66" s="483"/>
      <c r="G66" s="483"/>
      <c r="H66" s="483"/>
      <c r="I66" s="717"/>
      <c r="J66" s="717"/>
      <c r="K66" s="717"/>
      <c r="L66" s="7"/>
      <c r="M66" s="7"/>
      <c r="N66" s="7"/>
      <c r="O66" s="7"/>
      <c r="P66" s="7"/>
      <c r="Q66" s="7"/>
    </row>
    <row r="67" spans="1:17" ht="15" x14ac:dyDescent="0.25">
      <c r="A67" s="483"/>
      <c r="B67" s="483"/>
      <c r="C67" s="483"/>
      <c r="D67" s="483"/>
      <c r="E67" s="388"/>
      <c r="F67" s="388"/>
      <c r="G67" s="388"/>
      <c r="H67" s="483"/>
      <c r="I67" s="717"/>
      <c r="J67" s="717"/>
      <c r="K67" s="717"/>
      <c r="L67" s="7"/>
      <c r="M67" s="7"/>
      <c r="N67" s="7"/>
      <c r="O67" s="7"/>
      <c r="P67" s="7"/>
      <c r="Q67" s="7"/>
    </row>
    <row r="68" spans="1:17" ht="15" x14ac:dyDescent="0.25">
      <c r="A68" s="388"/>
      <c r="B68" s="388"/>
      <c r="C68" s="388"/>
      <c r="D68" s="388"/>
      <c r="E68" s="388"/>
      <c r="F68" s="388"/>
      <c r="G68" s="388"/>
      <c r="H68" s="388"/>
      <c r="I68" s="716"/>
      <c r="J68" s="716"/>
      <c r="K68" s="716"/>
    </row>
    <row r="69" spans="1:17" ht="15" x14ac:dyDescent="0.25">
      <c r="A69" s="388"/>
      <c r="B69" s="388"/>
      <c r="C69" s="388"/>
      <c r="D69" s="388"/>
      <c r="E69" s="716"/>
      <c r="F69" s="716"/>
      <c r="G69" s="716"/>
      <c r="H69" s="716"/>
      <c r="I69" s="716"/>
      <c r="J69" s="716"/>
      <c r="K69" s="716"/>
    </row>
    <row r="70" spans="1:17" ht="15" x14ac:dyDescent="0.25">
      <c r="A70" s="716"/>
      <c r="B70" s="716"/>
      <c r="C70" s="716"/>
      <c r="D70" s="716"/>
      <c r="E70" s="716"/>
      <c r="F70" s="716"/>
      <c r="G70" s="716"/>
      <c r="H70" s="716"/>
      <c r="I70" s="716"/>
      <c r="J70" s="716"/>
      <c r="K70" s="716"/>
    </row>
    <row r="71" spans="1:17" ht="15" x14ac:dyDescent="0.25">
      <c r="A71" s="716"/>
      <c r="B71" s="716"/>
      <c r="C71" s="716"/>
      <c r="D71" s="716"/>
      <c r="E71" s="716"/>
      <c r="F71" s="716"/>
      <c r="G71" s="716"/>
      <c r="H71" s="716"/>
      <c r="I71" s="716"/>
      <c r="J71" s="716"/>
      <c r="K71" s="716"/>
    </row>
    <row r="72" spans="1:17" ht="15" x14ac:dyDescent="0.25">
      <c r="A72" s="716"/>
      <c r="B72" s="716"/>
      <c r="C72" s="716"/>
      <c r="D72" s="716"/>
      <c r="E72" s="716"/>
      <c r="F72" s="716"/>
      <c r="G72" s="716"/>
      <c r="H72" s="716"/>
      <c r="I72" s="716"/>
      <c r="J72" s="716"/>
      <c r="K72" s="716"/>
    </row>
    <row r="73" spans="1:17" ht="15" x14ac:dyDescent="0.25">
      <c r="A73" s="716"/>
      <c r="B73" s="716"/>
      <c r="C73" s="716"/>
      <c r="D73" s="716"/>
      <c r="E73" s="716"/>
      <c r="F73" s="716"/>
      <c r="G73" s="716"/>
      <c r="H73" s="716"/>
      <c r="I73" s="716"/>
      <c r="J73" s="716"/>
      <c r="K73" s="716"/>
    </row>
    <row r="74" spans="1:17" ht="15" x14ac:dyDescent="0.25">
      <c r="A74" s="716"/>
      <c r="B74" s="716"/>
      <c r="C74" s="716"/>
      <c r="D74" s="716"/>
      <c r="E74" s="716"/>
      <c r="F74" s="716"/>
      <c r="G74" s="716"/>
      <c r="H74" s="716"/>
      <c r="I74" s="716"/>
      <c r="J74" s="716"/>
      <c r="K74" s="716"/>
    </row>
    <row r="75" spans="1:17" ht="15" x14ac:dyDescent="0.25">
      <c r="A75" s="716"/>
      <c r="B75" s="716"/>
      <c r="C75" s="716"/>
      <c r="D75" s="716"/>
      <c r="E75" s="716"/>
      <c r="F75" s="716"/>
      <c r="G75" s="716"/>
      <c r="H75" s="716"/>
      <c r="I75" s="716"/>
      <c r="J75" s="716"/>
      <c r="K75" s="716"/>
    </row>
    <row r="76" spans="1:17" x14ac:dyDescent="0.25"/>
    <row r="77" spans="1:17" x14ac:dyDescent="0.25"/>
    <row r="78" spans="1:17" x14ac:dyDescent="0.25"/>
    <row r="79" spans="1:17" x14ac:dyDescent="0.25"/>
    <row r="80" spans="1:17"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sheetData>
  <sheetProtection algorithmName="SHA-512" hashValue="jhYRNjE6h0mIOFbXhffXdXSkR+qztGSjZSU22JSIsv9V55t6sxR3TPZvEtcaGjpbcEf0+6EcYq2icuY8CKyW4A==" saltValue="JnD9wDrJUT/a/WkMp0Zgkw==" spinCount="100000" sheet="1" objects="1" scenarios="1"/>
  <mergeCells count="2">
    <mergeCell ref="A1:U3"/>
    <mergeCell ref="A4:Y4"/>
  </mergeCells>
  <dataValidations count="4">
    <dataValidation type="whole" allowBlank="1" showInputMessage="1" showErrorMessage="1" errorTitle="ADC" error="Input a valid ADC value for your ADC range" promptTitle="ADC" prompt="Input a valid ADC value for your ADC range" sqref="B30" xr:uid="{00000000-0002-0000-0C00-000000000000}">
      <formula1>0</formula1>
      <formula2>430000000000</formula2>
    </dataValidation>
    <dataValidation type="decimal" allowBlank="1" showInputMessage="1" showErrorMessage="1" errorTitle="VREF" error="Enter a valid voltage between 0.8V and 5.5V" promptTitle="VREF" prompt="Enter a valid voltage between 0.8V and 5.5V" sqref="B41 B25 B33 B46" xr:uid="{00000000-0002-0000-0C00-000001000000}">
      <formula1>0.8</formula1>
      <formula2>5.5</formula2>
    </dataValidation>
    <dataValidation allowBlank="1" showInputMessage="1" showErrorMessage="1" errorTitle="Resistance" error="Enter a value between min and max resistance for your device." promptTitle="Resistance" prompt="Enter a value between min and max resistance for your device." sqref="B51:B52 G51:G52" xr:uid="{00000000-0002-0000-0C00-000002000000}"/>
    <dataValidation type="decimal" allowBlank="1" showInputMessage="1" showErrorMessage="1" errorTitle="Minimum operating temperature" error="Select a value between -40C and 0C" promptTitle="Minimum operating temperature" prompt="Select a value between -40C and 0C" sqref="G50" xr:uid="{00000000-0002-0000-0C00-000003000000}">
      <formula1>-40</formula1>
      <formula2>0</formula2>
    </dataValidation>
  </dataValidations>
  <hyperlinks>
    <hyperlink ref="A5" location="Main!K52" display="Return to Menu" xr:uid="{00000000-0004-0000-0C00-000000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decimal" allowBlank="1" showInputMessage="1" showErrorMessage="1" errorTitle="Maximum operating temperature" error="Select a value between 1C and the maximum temperature of the selected device. " promptTitle="Maximum operating temperature" prompt="Select a value between 1C and the maximum temperature of the selected device. " xr:uid="{00000000-0002-0000-0C00-000004000000}">
          <x14:formula1>
            <xm:f>1</xm:f>
          </x14:formula1>
          <x14:formula2>
            <xm:f>VLOOKUP(Main!$N$22,Coefficients!$E$2:$H$28,4,FALSE)</xm:f>
          </x14:formula2>
          <xm:sqref>B50</xm:sqref>
        </x14:dataValidation>
        <x14:dataValidation type="decimal" allowBlank="1" showInputMessage="1" showErrorMessage="1" errorTitle="Divider Voltage" error="Enter a value betwen the minimum and maximum Vdc values in column F of the &quot;NTC Thermistor Comparison&quot; sheet_x000a_" promptTitle="Divider Voltage" prompt="Enter a value betwen the minimum and maximum Vdc values in column F of the &quot;NTC Thermistor Comparison&quot; sheet_x000a_" xr:uid="{00000000-0002-0000-0C00-000005000000}">
          <x14:formula1>
            <xm:f>('NTC Thermistor Comparison'!F36)-0.01</xm:f>
          </x14:formula1>
          <x14:formula2>
            <xm:f>IF((VLOOKUP(Main!$N$22,Coefficients!$E$2:$H$28,4,FALSE)) = 125,'NTC Thermistor Comparison'!F201+0.01,'NTC Thermistor Comparison'!F226+0.01)</xm:f>
          </x14:formula2>
          <xm:sqref>B38</xm:sqref>
        </x14:dataValidation>
        <x14:dataValidation type="whole" allowBlank="1" showInputMessage="1" showErrorMessage="1" errorTitle="Resistance" error="Enter a value between min and max resistance for your device." promptTitle="Resistance" prompt="Enter a value between min and max resistance for your device." xr:uid="{00000000-0002-0000-0C00-000006000000}">
          <x14:formula1>
            <xm:f>VLOOKUP(-40,'Device Resistance Tables'!$B$24:$F$24,2,FALSE)</xm:f>
          </x14:formula1>
          <x14:formula2>
            <xm:f>VLOOKUP(VLOOKUP(Main!$N$22,Coefficients!$E$2:$H$28,4,FALSE),'Device Resistance Tables'!B72:F197,4,FALSE)</xm:f>
          </x14:formula2>
          <xm:sqref>B22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Main</vt:lpstr>
      <vt:lpstr>Coefficients</vt:lpstr>
      <vt:lpstr>Device Resistance Tables</vt:lpstr>
      <vt:lpstr>NTC Thermistor Comparison</vt:lpstr>
      <vt:lpstr>4th Order Polynomial Tmp vs Res</vt:lpstr>
      <vt:lpstr>4th Order Polynomial Tmp vs Vdc</vt:lpstr>
      <vt:lpstr>Steinhart-Hart</vt:lpstr>
      <vt:lpstr>Constant Current Source</vt:lpstr>
      <vt:lpstr>Lookup table</vt:lpstr>
      <vt:lpstr>Interpolation From Lookup Table</vt:lpstr>
      <vt:lpstr>Threshold Detection</vt:lpstr>
      <vt:lpstr>Averaging</vt:lpstr>
      <vt:lpstr>Low Pass Filter</vt:lpstr>
      <vt:lpstr>Basic Formulas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2021-03-01T13:57:10Z</dcterms:created>
  <dcterms:modified xsi:type="dcterms:W3CDTF">2021-05-25T19:57:37Z</dcterms:modified>
</cp:coreProperties>
</file>