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oss/Downloads/"/>
    </mc:Choice>
  </mc:AlternateContent>
  <xr:revisionPtr revIDLastSave="0" documentId="13_ncr:1_{6CEFBBF8-9236-504D-A66A-A08E6D8F13DA}" xr6:coauthVersionLast="47" xr6:coauthVersionMax="47" xr10:uidLastSave="{00000000-0000-0000-0000-000000000000}"/>
  <workbookProtection workbookAlgorithmName="SHA-512" workbookHashValue="QH9YY7wS4hT+qGENUh4WPtOZtbkQwM54ZN4AbzAWLfkMy1yvFUjt5ebmVVt5lcL3vaOb3dJtANCofAPEYattVA==" workbookSaltValue="2WV6LWRwCK/n0luIzkYeag==" workbookSpinCount="100000" lockStructure="1"/>
  <bookViews>
    <workbookView xWindow="0" yWindow="500" windowWidth="25600" windowHeight="26860" tabRatio="518" firstSheet="1" activeTab="2" xr2:uid="{00000000-000D-0000-FFFF-FFFF00000000}"/>
  </bookViews>
  <sheets>
    <sheet name="Лист1" sheetId="7" state="hidden" r:id="rId1"/>
    <sheet name="балки" sheetId="108" r:id="rId2"/>
    <sheet name="Лента - данные" sheetId="103" r:id="rId3"/>
    <sheet name=" Лента-расчеты" sheetId="104" state="hidden" r:id="rId4"/>
    <sheet name="Балки - Этажи 45 и 95мм" sheetId="101" r:id="rId5"/>
    <sheet name="Балки - КС и ПБКЛ" sheetId="102" r:id="rId6"/>
    <sheet name="Балки - ест. влахность" sheetId="107" r:id="rId7"/>
    <sheet name="Лента Матер - Работы" sheetId="105" r:id="rId8"/>
    <sheet name="Данные - Крыша" sheetId="110" r:id="rId9"/>
    <sheet name="материал - работа" sheetId="111" state="hidden" r:id="rId10"/>
    <sheet name="Смета Мягкая" sheetId="112" r:id="rId11"/>
    <sheet name="Смета Железо" sheetId="113" r:id="rId12"/>
    <sheet name="Рубероид" sheetId="114" r:id="rId13"/>
    <sheet name="Данные Рубленное" sheetId="11" state="hidden" r:id="rId14"/>
    <sheet name="Данные ОЦБ" sheetId="10" r:id="rId15"/>
    <sheet name="Данные Брус" sheetId="12" r:id="rId16"/>
    <sheet name="Расчёт-Бревно - Рубка" sheetId="46" state="hidden" r:id="rId17"/>
    <sheet name="Расчёт-Бревно ОЦБ" sheetId="44" state="hidden" r:id="rId18"/>
    <sheet name="Расчёт - Брус" sheetId="13" state="hidden" r:id="rId19"/>
    <sheet name="Смета ОЦБ" sheetId="14" state="hidden" r:id="rId20"/>
    <sheet name="Смета Рубленное" sheetId="15" state="hidden" r:id="rId21"/>
    <sheet name="Смета лента 600х300" sheetId="106" r:id="rId22"/>
    <sheet name="Смета лента 700х300" sheetId="109" state="hidden" r:id="rId23"/>
    <sheet name="Смета брус КС 145х45" sheetId="16" r:id="rId24"/>
    <sheet name="Смета брус КС 145х95" sheetId="20" r:id="rId25"/>
    <sheet name="Смета брус КС 145х145" sheetId="17" r:id="rId26"/>
    <sheet name="Смета брус КС 145х195" sheetId="19" r:id="rId27"/>
    <sheet name="Смета брус КС 195х195" sheetId="21" r:id="rId28"/>
    <sheet name="Смета брус ЕВ 145х140" sheetId="22" r:id="rId29"/>
    <sheet name="Смета брус ЕВ 145х190" sheetId="23" r:id="rId30"/>
    <sheet name="Смета брус ЕВ 195х190" sheetId="24" r:id="rId31"/>
    <sheet name="Смета брус ЕВ-Л 145х140" sheetId="25" r:id="rId32"/>
    <sheet name="Смета брус ЕВ-Л 145х190" sheetId="26" r:id="rId33"/>
    <sheet name="Смета брус ЕВ-Л 195х190" sheetId="27" r:id="rId34"/>
    <sheet name="Смета брус ЕВ-К 145х140" sheetId="28" r:id="rId35"/>
    <sheet name="Смета брус ЕВ-К 145х190" sheetId="29" r:id="rId36"/>
    <sheet name="Смета брус ЕВ-К 195х190" sheetId="30" r:id="rId37"/>
    <sheet name="Смета КЛ 145х160" sheetId="31" r:id="rId38"/>
    <sheet name="Смета КЛ 145х200" sheetId="32" r:id="rId39"/>
    <sheet name="Смета КЛ 190х160" sheetId="33" r:id="rId40"/>
    <sheet name="Смета КЛ 190х200" sheetId="34" r:id="rId41"/>
    <sheet name="Смета КЛ 145х240" sheetId="35" r:id="rId42"/>
    <sheet name="Смета КЛ 190х240" sheetId="36" r:id="rId43"/>
    <sheet name="Смета КЛ 230х160" sheetId="37" r:id="rId44"/>
    <sheet name="Смета КЛ 230х200" sheetId="38" r:id="rId45"/>
    <sheet name="Смета КЛ 230х240" sheetId="39" r:id="rId46"/>
    <sheet name="Смета КЛ 250х160" sheetId="40" r:id="rId47"/>
    <sheet name="Смета КЛ 250х200" sheetId="41" r:id="rId48"/>
    <sheet name="Смета КЛ 280х200" sheetId="42" r:id="rId49"/>
    <sheet name="Смета ХВ 180" sheetId="49" r:id="rId50"/>
    <sheet name="Смета ХВ 200" sheetId="50" r:id="rId51"/>
    <sheet name="Смета ХВ 220" sheetId="51" r:id="rId52"/>
    <sheet name="Смета ХВ 240" sheetId="52" r:id="rId53"/>
    <sheet name="Смета ХВ 260" sheetId="53" r:id="rId54"/>
    <sheet name="Смета ХВ 280" sheetId="54" r:id="rId55"/>
    <sheet name="Смета ХВ 300" sheetId="55" r:id="rId56"/>
    <sheet name="Смета Л 200" sheetId="56" r:id="rId57"/>
    <sheet name="Смета Л 220" sheetId="57" r:id="rId58"/>
    <sheet name="Смета Л 240" sheetId="58" r:id="rId59"/>
    <sheet name="Смета Л 260" sheetId="59" r:id="rId60"/>
    <sheet name="Смета Л 280" sheetId="60" r:id="rId61"/>
    <sheet name="Смета Л 300" sheetId="61" r:id="rId62"/>
    <sheet name="Смета К 200" sheetId="62" r:id="rId63"/>
    <sheet name="Смета К 220" sheetId="63" r:id="rId64"/>
    <sheet name="Смета К 240" sheetId="64" r:id="rId65"/>
    <sheet name="Смета К 260" sheetId="65" r:id="rId66"/>
    <sheet name="Смета К 280" sheetId="67" r:id="rId67"/>
    <sheet name="Смета К 300" sheetId="66" r:id="rId68"/>
    <sheet name="Смета ХВР 200" sheetId="68" r:id="rId69"/>
    <sheet name="Смета ХВР 220" sheetId="69" r:id="rId70"/>
    <sheet name="Смета ХВР 240" sheetId="70" r:id="rId71"/>
    <sheet name="Смета ХВР 260" sheetId="73" r:id="rId72"/>
    <sheet name="Смета ХВР 280" sheetId="74" r:id="rId73"/>
    <sheet name="Смета ХВР 300" sheetId="75" r:id="rId74"/>
    <sheet name="Смета ХВР 320" sheetId="76" r:id="rId75"/>
    <sheet name="Смета ХВР 340" sheetId="77" r:id="rId76"/>
    <sheet name="Смета ХВР 360" sheetId="78" r:id="rId77"/>
    <sheet name="Смета ХВР 380" sheetId="79" r:id="rId78"/>
    <sheet name="Смета ХВР 400" sheetId="80" r:id="rId79"/>
    <sheet name="Смета ЛР 200" sheetId="81" r:id="rId80"/>
    <sheet name="Смета ЛР 220" sheetId="82" r:id="rId81"/>
    <sheet name="Смета ЛР 240" sheetId="83" r:id="rId82"/>
    <sheet name="Смета ЛР 260" sheetId="84" r:id="rId83"/>
    <sheet name="Смета ЛР 280" sheetId="85" r:id="rId84"/>
    <sheet name="Смета ЛР 300" sheetId="86" r:id="rId85"/>
    <sheet name="Смета ЛР 320" sheetId="87" r:id="rId86"/>
    <sheet name="Смета ЛР 340" sheetId="88" r:id="rId87"/>
    <sheet name="Смета ЛР 360" sheetId="89" r:id="rId88"/>
    <sheet name="Смета ЛР 380" sheetId="90" r:id="rId89"/>
    <sheet name="Смета ЛР 400" sheetId="91" r:id="rId90"/>
    <sheet name="Смета КР 200" sheetId="92" r:id="rId91"/>
    <sheet name="Смета КР 220" sheetId="93" r:id="rId92"/>
    <sheet name="Смета КР 240" sheetId="94" r:id="rId93"/>
    <sheet name="Смета КР 260" sheetId="71" r:id="rId94"/>
    <sheet name="Смета КР 280" sheetId="72" r:id="rId95"/>
    <sheet name="Смета КР 300" sheetId="95" r:id="rId96"/>
    <sheet name="Смета КР 320" sheetId="96" r:id="rId97"/>
    <sheet name="Смета КР 340" sheetId="97" r:id="rId98"/>
    <sheet name="Смета КР 360" sheetId="98" r:id="rId99"/>
    <sheet name="Смета КР 380" sheetId="99" r:id="rId100"/>
    <sheet name="Смета КР 400" sheetId="100" r:id="rId101"/>
    <sheet name="Out (Кратко)" sheetId="6" state="hidden" r:id="rId102"/>
  </sheets>
  <externalReferences>
    <externalReference r:id="rId103"/>
    <externalReference r:id="rId104"/>
    <externalReference r:id="rId105"/>
  </externalReferences>
  <definedNames>
    <definedName name="Code">#REF!</definedName>
    <definedName name="Parts">#REF!</definedName>
    <definedName name="Profile">#REF!</definedName>
    <definedName name="SetOut">#REF!</definedName>
    <definedName name="SetProfile">#REF!</definedName>
    <definedName name="SetRandomize">#REF!</definedName>
    <definedName name="SetSpeed">#REF!</definedName>
    <definedName name="SetTime">#REF!</definedName>
    <definedName name="SetTrim">#REF!</definedName>
    <definedName name="Stock">#REF!</definedName>
  </definedNames>
  <calcPr calcId="191029"/>
  <customWorkbookViews>
    <customWorkbookView name="all sheets" guid="{3274156B-1D2A-4448-883E-F1EEF1AAE0AF}" xWindow="638" yWindow="109" windowWidth="1165" windowHeight="631" tabRatio="518" activeSheetId="10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5" i="103" l="1"/>
  <c r="V327" i="103"/>
  <c r="R386" i="103"/>
  <c r="S386" i="103"/>
  <c r="T386" i="103"/>
  <c r="V386" i="103"/>
  <c r="W386" i="103"/>
  <c r="X386" i="103"/>
  <c r="R387" i="103"/>
  <c r="S387" i="103"/>
  <c r="T387" i="103"/>
  <c r="V387" i="103"/>
  <c r="W387" i="103"/>
  <c r="X387" i="103"/>
  <c r="R388" i="103"/>
  <c r="R389" i="103" s="1"/>
  <c r="R390" i="103" s="1"/>
  <c r="R391" i="103" s="1"/>
  <c r="R392" i="103" s="1"/>
  <c r="R393" i="103" s="1"/>
  <c r="R394" i="103" s="1"/>
  <c r="R395" i="103" s="1"/>
  <c r="R396" i="103" s="1"/>
  <c r="R397" i="103" s="1"/>
  <c r="R398" i="103" s="1"/>
  <c r="R399" i="103" s="1"/>
  <c r="R400" i="103" s="1"/>
  <c r="R401" i="103" s="1"/>
  <c r="R402" i="103" s="1"/>
  <c r="R403" i="103" s="1"/>
  <c r="R404" i="103" s="1"/>
  <c r="R405" i="103" s="1"/>
  <c r="R406" i="103" s="1"/>
  <c r="R407" i="103" s="1"/>
  <c r="R408" i="103" s="1"/>
  <c r="R409" i="103" s="1"/>
  <c r="R410" i="103" s="1"/>
  <c r="R411" i="103" s="1"/>
  <c r="R412" i="103" s="1"/>
  <c r="R413" i="103" s="1"/>
  <c r="R414" i="103" s="1"/>
  <c r="R415" i="103" s="1"/>
  <c r="R416" i="103" s="1"/>
  <c r="R417" i="103" s="1"/>
  <c r="R418" i="103" s="1"/>
  <c r="R419" i="103" s="1"/>
  <c r="R420" i="103" s="1"/>
  <c r="R421" i="103" s="1"/>
  <c r="R422" i="103" s="1"/>
  <c r="R423" i="103" s="1"/>
  <c r="R424" i="103" s="1"/>
  <c r="R425" i="103" s="1"/>
  <c r="R426" i="103" s="1"/>
  <c r="R427" i="103" s="1"/>
  <c r="R428" i="103" s="1"/>
  <c r="R429" i="103" s="1"/>
  <c r="R430" i="103" s="1"/>
  <c r="S388" i="103"/>
  <c r="T388" i="103"/>
  <c r="V388" i="103"/>
  <c r="W388" i="103"/>
  <c r="X388" i="103"/>
  <c r="S389" i="103"/>
  <c r="T389" i="103"/>
  <c r="V389" i="103"/>
  <c r="W389" i="103"/>
  <c r="X389" i="103"/>
  <c r="S390" i="103"/>
  <c r="T390" i="103"/>
  <c r="V390" i="103"/>
  <c r="W390" i="103"/>
  <c r="X390" i="103"/>
  <c r="S391" i="103"/>
  <c r="T391" i="103"/>
  <c r="V391" i="103"/>
  <c r="W391" i="103"/>
  <c r="X391" i="103"/>
  <c r="S392" i="103"/>
  <c r="T392" i="103"/>
  <c r="U392" i="103"/>
  <c r="V392" i="103"/>
  <c r="W392" i="103"/>
  <c r="X392" i="103"/>
  <c r="S393" i="103"/>
  <c r="T393" i="103"/>
  <c r="V393" i="103"/>
  <c r="W393" i="103"/>
  <c r="X393" i="103"/>
  <c r="S394" i="103"/>
  <c r="T394" i="103"/>
  <c r="V394" i="103"/>
  <c r="W394" i="103"/>
  <c r="X394" i="103"/>
  <c r="S395" i="103"/>
  <c r="T395" i="103"/>
  <c r="V395" i="103"/>
  <c r="W395" i="103"/>
  <c r="X395" i="103"/>
  <c r="S396" i="103"/>
  <c r="T396" i="103"/>
  <c r="V396" i="103"/>
  <c r="W396" i="103"/>
  <c r="X396" i="103"/>
  <c r="S397" i="103"/>
  <c r="T397" i="103"/>
  <c r="U397" i="103"/>
  <c r="V397" i="103"/>
  <c r="W397" i="103"/>
  <c r="X397" i="103"/>
  <c r="S398" i="103"/>
  <c r="T398" i="103"/>
  <c r="U398" i="103"/>
  <c r="S399" i="103"/>
  <c r="T399" i="103"/>
  <c r="U399" i="103"/>
  <c r="W399" i="103"/>
  <c r="X399" i="103"/>
  <c r="S400" i="103"/>
  <c r="T400" i="103"/>
  <c r="U400" i="103"/>
  <c r="V400" i="103"/>
  <c r="S401" i="103"/>
  <c r="T401" i="103"/>
  <c r="U401" i="103"/>
  <c r="V401" i="103"/>
  <c r="W401" i="103"/>
  <c r="X401" i="103"/>
  <c r="S402" i="103"/>
  <c r="T402" i="103"/>
  <c r="U402" i="103"/>
  <c r="V402" i="103"/>
  <c r="X402" i="103"/>
  <c r="S403" i="103"/>
  <c r="T403" i="103"/>
  <c r="U403" i="103"/>
  <c r="V403" i="103"/>
  <c r="W403" i="103"/>
  <c r="X403" i="103"/>
  <c r="S404" i="103"/>
  <c r="T404" i="103"/>
  <c r="U404" i="103"/>
  <c r="V404" i="103"/>
  <c r="W404" i="103"/>
  <c r="S405" i="103"/>
  <c r="T405" i="103"/>
  <c r="U405" i="103"/>
  <c r="V405" i="103"/>
  <c r="W405" i="103"/>
  <c r="S406" i="103"/>
  <c r="T406" i="103"/>
  <c r="U406" i="103"/>
  <c r="V406" i="103"/>
  <c r="W406" i="103"/>
  <c r="X406" i="103"/>
  <c r="S407" i="103"/>
  <c r="T407" i="103"/>
  <c r="U407" i="103"/>
  <c r="V407" i="103"/>
  <c r="W407" i="103"/>
  <c r="X407" i="103"/>
  <c r="S408" i="103"/>
  <c r="T408" i="103"/>
  <c r="U408" i="103"/>
  <c r="V408" i="103"/>
  <c r="W408" i="103"/>
  <c r="X408" i="103"/>
  <c r="S409" i="103"/>
  <c r="T409" i="103"/>
  <c r="U409" i="103"/>
  <c r="V409" i="103"/>
  <c r="W409" i="103"/>
  <c r="X409" i="103"/>
  <c r="S410" i="103"/>
  <c r="T410" i="103"/>
  <c r="U410" i="103"/>
  <c r="V410" i="103"/>
  <c r="W410" i="103"/>
  <c r="X410" i="103"/>
  <c r="S411" i="103"/>
  <c r="T411" i="103"/>
  <c r="U411" i="103"/>
  <c r="V411" i="103"/>
  <c r="W411" i="103"/>
  <c r="X411" i="103"/>
  <c r="S412" i="103"/>
  <c r="T412" i="103"/>
  <c r="U412" i="103"/>
  <c r="V412" i="103"/>
  <c r="W412" i="103"/>
  <c r="X412" i="103"/>
  <c r="S413" i="103"/>
  <c r="T413" i="103"/>
  <c r="U413" i="103"/>
  <c r="V413" i="103"/>
  <c r="W413" i="103"/>
  <c r="X413" i="103"/>
  <c r="S414" i="103"/>
  <c r="T414" i="103"/>
  <c r="U414" i="103"/>
  <c r="V414" i="103"/>
  <c r="W414" i="103"/>
  <c r="X414" i="103"/>
  <c r="S415" i="103"/>
  <c r="T415" i="103"/>
  <c r="U415" i="103"/>
  <c r="V415" i="103"/>
  <c r="W415" i="103"/>
  <c r="X415" i="103"/>
  <c r="S416" i="103"/>
  <c r="T416" i="103"/>
  <c r="U416" i="103"/>
  <c r="V416" i="103"/>
  <c r="W416" i="103"/>
  <c r="X416" i="103"/>
  <c r="S417" i="103"/>
  <c r="T417" i="103"/>
  <c r="U417" i="103"/>
  <c r="V417" i="103"/>
  <c r="W417" i="103"/>
  <c r="X417" i="103"/>
  <c r="S418" i="103"/>
  <c r="T418" i="103"/>
  <c r="U418" i="103"/>
  <c r="V418" i="103"/>
  <c r="W418" i="103"/>
  <c r="X418" i="103"/>
  <c r="S419" i="103"/>
  <c r="T419" i="103"/>
  <c r="U419" i="103"/>
  <c r="V419" i="103"/>
  <c r="W419" i="103"/>
  <c r="X419" i="103"/>
  <c r="S420" i="103"/>
  <c r="T420" i="103"/>
  <c r="U420" i="103"/>
  <c r="V420" i="103"/>
  <c r="W420" i="103"/>
  <c r="X420" i="103"/>
  <c r="S421" i="103"/>
  <c r="T421" i="103"/>
  <c r="U421" i="103"/>
  <c r="V421" i="103"/>
  <c r="W421" i="103"/>
  <c r="X421" i="103"/>
  <c r="S422" i="103"/>
  <c r="T422" i="103"/>
  <c r="U422" i="103"/>
  <c r="V422" i="103"/>
  <c r="W422" i="103"/>
  <c r="X422" i="103"/>
  <c r="S423" i="103"/>
  <c r="T423" i="103"/>
  <c r="U423" i="103"/>
  <c r="V423" i="103"/>
  <c r="W423" i="103"/>
  <c r="X423" i="103"/>
  <c r="S424" i="103"/>
  <c r="T424" i="103"/>
  <c r="U424" i="103"/>
  <c r="V424" i="103"/>
  <c r="W424" i="103"/>
  <c r="X424" i="103"/>
  <c r="S425" i="103"/>
  <c r="T425" i="103"/>
  <c r="U425" i="103"/>
  <c r="V425" i="103"/>
  <c r="W425" i="103"/>
  <c r="X425" i="103"/>
  <c r="S426" i="103"/>
  <c r="T426" i="103"/>
  <c r="U426" i="103"/>
  <c r="V426" i="103"/>
  <c r="W426" i="103"/>
  <c r="X426" i="103"/>
  <c r="S427" i="103"/>
  <c r="T427" i="103"/>
  <c r="U427" i="103"/>
  <c r="V427" i="103"/>
  <c r="W427" i="103"/>
  <c r="X427" i="103"/>
  <c r="S428" i="103"/>
  <c r="T428" i="103"/>
  <c r="U428" i="103"/>
  <c r="V428" i="103"/>
  <c r="W428" i="103"/>
  <c r="X428" i="103"/>
  <c r="S429" i="103"/>
  <c r="T429" i="103"/>
  <c r="U429" i="103"/>
  <c r="V429" i="103"/>
  <c r="W429" i="103"/>
  <c r="X429" i="103"/>
  <c r="S430" i="103"/>
  <c r="T430" i="103"/>
  <c r="U430" i="103"/>
  <c r="V430" i="103"/>
  <c r="W430" i="103"/>
  <c r="X430" i="103"/>
  <c r="R328" i="103"/>
  <c r="R329" i="103" s="1"/>
  <c r="R330" i="103" s="1"/>
  <c r="R331" i="103" s="1"/>
  <c r="R332" i="103" s="1"/>
  <c r="R333" i="103" s="1"/>
  <c r="R334" i="103" s="1"/>
  <c r="R335" i="103" s="1"/>
  <c r="R336" i="103" s="1"/>
  <c r="R337" i="103" s="1"/>
  <c r="R338" i="103" s="1"/>
  <c r="R339" i="103" s="1"/>
  <c r="R340" i="103" s="1"/>
  <c r="R341" i="103" s="1"/>
  <c r="R342" i="103" s="1"/>
  <c r="R343" i="103" s="1"/>
  <c r="R344" i="103" s="1"/>
  <c r="R345" i="103" s="1"/>
  <c r="R346" i="103" s="1"/>
  <c r="R347" i="103" s="1"/>
  <c r="R348" i="103" s="1"/>
  <c r="R349" i="103" s="1"/>
  <c r="R350" i="103" s="1"/>
  <c r="R351" i="103" s="1"/>
  <c r="R352" i="103" s="1"/>
  <c r="R353" i="103" s="1"/>
  <c r="R354" i="103" s="1"/>
  <c r="R355" i="103" s="1"/>
  <c r="R356" i="103" s="1"/>
  <c r="R357" i="103" s="1"/>
  <c r="R358" i="103" s="1"/>
  <c r="R359" i="103" s="1"/>
  <c r="R360" i="103" s="1"/>
  <c r="R361" i="103" s="1"/>
  <c r="R362" i="103" s="1"/>
  <c r="R363" i="103" s="1"/>
  <c r="R364" i="103" s="1"/>
  <c r="R365" i="103" s="1"/>
  <c r="R366" i="103" s="1"/>
  <c r="R367" i="103" s="1"/>
  <c r="R368" i="103" s="1"/>
  <c r="R369" i="103" s="1"/>
  <c r="R370" i="103" s="1"/>
  <c r="R371" i="103" s="1"/>
  <c r="R372" i="103" s="1"/>
  <c r="R373" i="103" s="1"/>
  <c r="R374" i="103" s="1"/>
  <c r="R375" i="103" s="1"/>
  <c r="R376" i="103" s="1"/>
  <c r="R377" i="103" s="1"/>
  <c r="R378" i="103" s="1"/>
  <c r="R379" i="103" s="1"/>
  <c r="R380" i="103" s="1"/>
  <c r="R381" i="103" s="1"/>
  <c r="R382" i="103" s="1"/>
  <c r="R383" i="103" s="1"/>
  <c r="R384" i="103" s="1"/>
  <c r="R385" i="103" s="1"/>
  <c r="V326" i="103"/>
  <c r="W326" i="103"/>
  <c r="X326" i="103"/>
  <c r="W327" i="103"/>
  <c r="X327" i="103"/>
  <c r="W328" i="103"/>
  <c r="X328" i="103"/>
  <c r="W329" i="103"/>
  <c r="X329" i="103"/>
  <c r="W330" i="103"/>
  <c r="X330" i="103"/>
  <c r="W331" i="103"/>
  <c r="X331" i="103"/>
  <c r="W332" i="103"/>
  <c r="X332" i="103"/>
  <c r="W333" i="103"/>
  <c r="X333" i="103"/>
  <c r="W334" i="103"/>
  <c r="X334" i="103"/>
  <c r="W335" i="103"/>
  <c r="X335" i="103"/>
  <c r="W336" i="103"/>
  <c r="X336" i="103"/>
  <c r="W337" i="103"/>
  <c r="X337" i="103"/>
  <c r="W338" i="103"/>
  <c r="X338" i="103"/>
  <c r="W339" i="103"/>
  <c r="X339" i="103"/>
  <c r="W340" i="103"/>
  <c r="X340" i="103"/>
  <c r="W341" i="103"/>
  <c r="X341" i="103"/>
  <c r="W342" i="103"/>
  <c r="X342" i="103"/>
  <c r="W343" i="103"/>
  <c r="X343" i="103"/>
  <c r="W344" i="103"/>
  <c r="X344" i="103"/>
  <c r="W345" i="103"/>
  <c r="X345" i="103"/>
  <c r="W346" i="103"/>
  <c r="X346" i="103"/>
  <c r="W347" i="103"/>
  <c r="X347" i="103"/>
  <c r="W348" i="103"/>
  <c r="X348" i="103"/>
  <c r="W349" i="103"/>
  <c r="X349" i="103"/>
  <c r="W350" i="103"/>
  <c r="X350" i="103"/>
  <c r="V351" i="103"/>
  <c r="W351" i="103"/>
  <c r="X351" i="103"/>
  <c r="W352" i="103"/>
  <c r="X352" i="103"/>
  <c r="W353" i="103"/>
  <c r="X353" i="103"/>
  <c r="V354" i="103"/>
  <c r="W354" i="103"/>
  <c r="X354" i="103"/>
  <c r="W355" i="103"/>
  <c r="X355" i="103"/>
  <c r="W356" i="103"/>
  <c r="X356" i="103"/>
  <c r="W357" i="103"/>
  <c r="X357" i="103"/>
  <c r="W358" i="103"/>
  <c r="X358" i="103"/>
  <c r="W359" i="103"/>
  <c r="X359" i="103"/>
  <c r="X360" i="103"/>
  <c r="W361" i="103"/>
  <c r="X361" i="103"/>
  <c r="X362" i="103"/>
  <c r="W363" i="103"/>
  <c r="X363" i="103"/>
  <c r="V364" i="103"/>
  <c r="W364" i="103"/>
  <c r="X364" i="103"/>
  <c r="W365" i="103"/>
  <c r="X365" i="103"/>
  <c r="V366" i="103"/>
  <c r="W366" i="103"/>
  <c r="X366" i="103"/>
  <c r="V367" i="103"/>
  <c r="W367" i="103"/>
  <c r="X367" i="103"/>
  <c r="V368" i="103"/>
  <c r="W368" i="103"/>
  <c r="X368" i="103"/>
  <c r="V369" i="103"/>
  <c r="W369" i="103"/>
  <c r="X369" i="103"/>
  <c r="V370" i="103"/>
  <c r="W370" i="103"/>
  <c r="X370" i="103"/>
  <c r="W371" i="103"/>
  <c r="X371" i="103"/>
  <c r="X372" i="103"/>
  <c r="V373" i="103"/>
  <c r="W373" i="103"/>
  <c r="X373" i="103"/>
  <c r="V374" i="103"/>
  <c r="W374" i="103"/>
  <c r="V375" i="103"/>
  <c r="W375" i="103"/>
  <c r="X375" i="103"/>
  <c r="X376" i="103"/>
  <c r="V377" i="103"/>
  <c r="W377" i="103"/>
  <c r="X377" i="103"/>
  <c r="V378" i="103"/>
  <c r="W378" i="103"/>
  <c r="X378" i="103"/>
  <c r="V379" i="103"/>
  <c r="W379" i="103"/>
  <c r="X379" i="103"/>
  <c r="V380" i="103"/>
  <c r="W380" i="103"/>
  <c r="X380" i="103"/>
  <c r="V381" i="103"/>
  <c r="W381" i="103"/>
  <c r="X381" i="103"/>
  <c r="V382" i="103"/>
  <c r="W382" i="103"/>
  <c r="X382" i="103"/>
  <c r="V383" i="103"/>
  <c r="W383" i="103"/>
  <c r="X383" i="103"/>
  <c r="V384" i="103"/>
  <c r="W384" i="103"/>
  <c r="X384" i="103"/>
  <c r="V385" i="103"/>
  <c r="W385" i="103"/>
  <c r="X385" i="103"/>
  <c r="V325" i="103"/>
  <c r="W325" i="103"/>
  <c r="X325" i="103"/>
  <c r="Y325" i="103"/>
  <c r="Z325" i="103"/>
  <c r="AA325" i="103"/>
  <c r="AB325" i="103"/>
  <c r="AC325" i="103"/>
  <c r="AD325" i="103"/>
  <c r="AE325" i="103"/>
  <c r="AF325" i="103"/>
  <c r="AG325" i="103"/>
  <c r="AH325" i="103"/>
  <c r="AI325" i="103"/>
  <c r="AJ325" i="103"/>
  <c r="AK325" i="103"/>
  <c r="AL325" i="103"/>
  <c r="AM325" i="103"/>
  <c r="AN325" i="103"/>
  <c r="AO325" i="103"/>
  <c r="AP325" i="103"/>
  <c r="AQ325" i="103"/>
  <c r="AR325" i="103"/>
  <c r="AS325" i="103"/>
  <c r="AT325" i="103"/>
  <c r="AU325" i="103"/>
  <c r="AV325" i="103"/>
  <c r="AW325" i="103"/>
  <c r="U368" i="103"/>
  <c r="U369" i="103"/>
  <c r="U378" i="103"/>
  <c r="U380" i="103"/>
  <c r="U381" i="103"/>
  <c r="U382" i="103"/>
  <c r="S336" i="103"/>
  <c r="T336" i="103"/>
  <c r="S337" i="103"/>
  <c r="T337" i="103"/>
  <c r="S338" i="103"/>
  <c r="T338" i="103"/>
  <c r="S339" i="103"/>
  <c r="T339" i="103"/>
  <c r="S340" i="103"/>
  <c r="T340" i="103"/>
  <c r="S341" i="103"/>
  <c r="T341" i="103"/>
  <c r="S342" i="103"/>
  <c r="T342" i="103"/>
  <c r="S343" i="103"/>
  <c r="T343" i="103"/>
  <c r="S344" i="103"/>
  <c r="T344" i="103"/>
  <c r="S345" i="103"/>
  <c r="T345" i="103"/>
  <c r="S346" i="103"/>
  <c r="T346" i="103"/>
  <c r="S347" i="103"/>
  <c r="T347" i="103"/>
  <c r="S348" i="103"/>
  <c r="T348" i="103"/>
  <c r="S349" i="103"/>
  <c r="T349" i="103"/>
  <c r="S350" i="103"/>
  <c r="T350" i="103"/>
  <c r="S351" i="103"/>
  <c r="T351" i="103"/>
  <c r="S352" i="103"/>
  <c r="T352" i="103"/>
  <c r="S353" i="103"/>
  <c r="T353" i="103"/>
  <c r="S354" i="103"/>
  <c r="T354" i="103"/>
  <c r="S355" i="103"/>
  <c r="T355" i="103"/>
  <c r="S356" i="103"/>
  <c r="T356" i="103"/>
  <c r="S357" i="103"/>
  <c r="T357" i="103"/>
  <c r="S358" i="103"/>
  <c r="T358" i="103"/>
  <c r="S359" i="103"/>
  <c r="T359" i="103"/>
  <c r="S360" i="103"/>
  <c r="T360" i="103"/>
  <c r="S361" i="103"/>
  <c r="T361" i="103"/>
  <c r="S362" i="103"/>
  <c r="T362" i="103"/>
  <c r="S363" i="103"/>
  <c r="T363" i="103"/>
  <c r="S364" i="103"/>
  <c r="T364" i="103"/>
  <c r="S365" i="103"/>
  <c r="T365" i="103"/>
  <c r="S366" i="103"/>
  <c r="T366" i="103"/>
  <c r="S367" i="103"/>
  <c r="T367" i="103"/>
  <c r="S368" i="103"/>
  <c r="T368" i="103"/>
  <c r="S369" i="103"/>
  <c r="T369" i="103"/>
  <c r="S370" i="103"/>
  <c r="T370" i="103"/>
  <c r="S371" i="103"/>
  <c r="T371" i="103"/>
  <c r="S372" i="103"/>
  <c r="T372" i="103"/>
  <c r="S373" i="103"/>
  <c r="T373" i="103"/>
  <c r="S374" i="103"/>
  <c r="T374" i="103"/>
  <c r="S375" i="103"/>
  <c r="T375" i="103"/>
  <c r="S376" i="103"/>
  <c r="T376" i="103"/>
  <c r="S377" i="103"/>
  <c r="T377" i="103"/>
  <c r="S378" i="103"/>
  <c r="T378" i="103"/>
  <c r="S379" i="103"/>
  <c r="T379" i="103"/>
  <c r="S380" i="103"/>
  <c r="T380" i="103"/>
  <c r="S381" i="103"/>
  <c r="T381" i="103"/>
  <c r="S382" i="103"/>
  <c r="T382" i="103"/>
  <c r="S383" i="103"/>
  <c r="T383" i="103"/>
  <c r="S384" i="103"/>
  <c r="T384" i="103"/>
  <c r="S385" i="103"/>
  <c r="T385" i="103"/>
  <c r="S325" i="103"/>
  <c r="T325" i="103"/>
  <c r="U325" i="103"/>
  <c r="S326" i="103"/>
  <c r="T326" i="103"/>
  <c r="U326" i="103"/>
  <c r="S327" i="103"/>
  <c r="T327" i="103"/>
  <c r="S328" i="103"/>
  <c r="T328" i="103"/>
  <c r="S329" i="103"/>
  <c r="T329" i="103"/>
  <c r="S330" i="103"/>
  <c r="T330" i="103"/>
  <c r="S331" i="103"/>
  <c r="T331" i="103"/>
  <c r="S332" i="103"/>
  <c r="T332" i="103"/>
  <c r="S333" i="103"/>
  <c r="T333" i="103"/>
  <c r="S334" i="103"/>
  <c r="T334" i="103"/>
  <c r="S335" i="103"/>
  <c r="T335" i="103"/>
  <c r="R327" i="103"/>
  <c r="U7" i="112"/>
  <c r="U9" i="112"/>
  <c r="U17" i="112"/>
  <c r="U39" i="112"/>
  <c r="U40" i="112"/>
  <c r="U60" i="112"/>
  <c r="U61" i="112"/>
  <c r="U62" i="112"/>
  <c r="U6" i="112"/>
  <c r="H286" i="103"/>
  <c r="H284" i="103"/>
  <c r="A286" i="103"/>
  <c r="A287" i="103"/>
  <c r="H287" i="103" s="1"/>
  <c r="A288" i="103"/>
  <c r="A289" i="103" s="1"/>
  <c r="A285" i="103"/>
  <c r="H285" i="103" s="1"/>
  <c r="A284" i="103"/>
  <c r="C56" i="110"/>
  <c r="V13" i="112"/>
  <c r="V29" i="112"/>
  <c r="V45" i="112"/>
  <c r="V61" i="112"/>
  <c r="V77" i="112"/>
  <c r="V93" i="112"/>
  <c r="V65" i="112"/>
  <c r="V82" i="112"/>
  <c r="V51" i="112"/>
  <c r="V36" i="112"/>
  <c r="V84" i="112"/>
  <c r="V53" i="112"/>
  <c r="V54" i="112"/>
  <c r="V39" i="112"/>
  <c r="V40" i="112"/>
  <c r="V72" i="112"/>
  <c r="V25" i="112"/>
  <c r="V89" i="112"/>
  <c r="V58" i="112"/>
  <c r="V90" i="112"/>
  <c r="V75" i="112"/>
  <c r="V76" i="112"/>
  <c r="V14" i="112"/>
  <c r="V30" i="112"/>
  <c r="V46" i="112"/>
  <c r="V62" i="112"/>
  <c r="V78" i="112"/>
  <c r="V94" i="112"/>
  <c r="V81" i="112"/>
  <c r="V50" i="112"/>
  <c r="V67" i="112"/>
  <c r="V83" i="112"/>
  <c r="V52" i="112"/>
  <c r="V69" i="112"/>
  <c r="V38" i="112"/>
  <c r="V86" i="112"/>
  <c r="V55" i="112"/>
  <c r="V87" i="112"/>
  <c r="V56" i="112"/>
  <c r="V41" i="112"/>
  <c r="V73" i="112"/>
  <c r="V42" i="112"/>
  <c r="V43" i="112"/>
  <c r="V44" i="112"/>
  <c r="V92" i="112"/>
  <c r="V15" i="112"/>
  <c r="V31" i="112"/>
  <c r="V47" i="112"/>
  <c r="V63" i="112"/>
  <c r="V79" i="112"/>
  <c r="V95" i="112"/>
  <c r="V32" i="112"/>
  <c r="V48" i="112"/>
  <c r="V64" i="112"/>
  <c r="V80" i="112"/>
  <c r="V33" i="112"/>
  <c r="V49" i="112"/>
  <c r="V34" i="112"/>
  <c r="V66" i="112"/>
  <c r="V35" i="112"/>
  <c r="V68" i="112"/>
  <c r="V37" i="112"/>
  <c r="V85" i="112"/>
  <c r="V70" i="112"/>
  <c r="V23" i="112"/>
  <c r="V71" i="112"/>
  <c r="V24" i="112"/>
  <c r="V88" i="112"/>
  <c r="V57" i="112"/>
  <c r="V26" i="112"/>
  <c r="V74" i="112"/>
  <c r="V59" i="112"/>
  <c r="V91" i="112"/>
  <c r="V60" i="112"/>
  <c r="V16" i="112"/>
  <c r="V17" i="112"/>
  <c r="V18" i="112"/>
  <c r="V19" i="112"/>
  <c r="V20" i="112"/>
  <c r="V21" i="112"/>
  <c r="V22" i="112"/>
  <c r="V27" i="112"/>
  <c r="V28" i="112"/>
  <c r="V12" i="112"/>
  <c r="V3" i="112"/>
  <c r="A290" i="103" l="1"/>
  <c r="H289" i="103"/>
  <c r="H288" i="103"/>
  <c r="X12" i="112"/>
  <c r="X3" i="112"/>
  <c r="AA3" i="112"/>
  <c r="G5" i="110" a="1"/>
  <c r="Y12" i="112" a="1"/>
  <c r="Y3" i="112" a="1"/>
  <c r="A291" i="103" l="1"/>
  <c r="H290" i="103"/>
  <c r="G5" i="110"/>
  <c r="Y12" i="112"/>
  <c r="Y3" i="112"/>
  <c r="AB3" i="112" s="1"/>
  <c r="J54" i="99"/>
  <c r="K54" i="99" s="1"/>
  <c r="I54" i="99"/>
  <c r="J53" i="99"/>
  <c r="K53" i="99" s="1"/>
  <c r="I53" i="99"/>
  <c r="J52" i="99"/>
  <c r="I52" i="99"/>
  <c r="K52" i="99" s="1"/>
  <c r="J51" i="99"/>
  <c r="I51" i="99"/>
  <c r="K51" i="99" s="1"/>
  <c r="E50" i="99"/>
  <c r="D50" i="99"/>
  <c r="F50" i="99" s="1"/>
  <c r="J49" i="99"/>
  <c r="I49" i="99"/>
  <c r="K49" i="99" s="1"/>
  <c r="K55" i="99" s="1"/>
  <c r="G64" i="99" s="1"/>
  <c r="E49" i="99"/>
  <c r="J46" i="99"/>
  <c r="I46" i="99"/>
  <c r="K46" i="99" s="1"/>
  <c r="E46" i="99"/>
  <c r="D46" i="99"/>
  <c r="F46" i="99" s="1"/>
  <c r="K45" i="99"/>
  <c r="J45" i="99"/>
  <c r="I45" i="99"/>
  <c r="J44" i="99"/>
  <c r="K44" i="99" s="1"/>
  <c r="I44" i="99"/>
  <c r="J43" i="99"/>
  <c r="I43" i="99"/>
  <c r="K43" i="99" s="1"/>
  <c r="E43" i="99"/>
  <c r="D43" i="99"/>
  <c r="F43" i="99" s="1"/>
  <c r="F47" i="99" s="1"/>
  <c r="J40" i="99"/>
  <c r="I40" i="99"/>
  <c r="K40" i="99" s="1"/>
  <c r="E40" i="99"/>
  <c r="D40" i="99"/>
  <c r="F40" i="99" s="1"/>
  <c r="K39" i="99"/>
  <c r="J39" i="99"/>
  <c r="I39" i="99"/>
  <c r="J38" i="99"/>
  <c r="I38" i="99"/>
  <c r="K38" i="99" s="1"/>
  <c r="J37" i="99"/>
  <c r="I37" i="99"/>
  <c r="K37" i="99" s="1"/>
  <c r="E37" i="99"/>
  <c r="D37" i="99"/>
  <c r="F37" i="99" s="1"/>
  <c r="J34" i="99"/>
  <c r="I34" i="99"/>
  <c r="K34" i="99" s="1"/>
  <c r="E34" i="99"/>
  <c r="J33" i="99"/>
  <c r="I33" i="99"/>
  <c r="K33" i="99" s="1"/>
  <c r="J32" i="99"/>
  <c r="I32" i="99"/>
  <c r="K32" i="99" s="1"/>
  <c r="J31" i="99"/>
  <c r="I31" i="99"/>
  <c r="D34" i="99" s="1"/>
  <c r="F34" i="99" s="1"/>
  <c r="E31" i="99"/>
  <c r="D31" i="99"/>
  <c r="F31" i="99" s="1"/>
  <c r="J28" i="99"/>
  <c r="I28" i="99"/>
  <c r="K28" i="99" s="1"/>
  <c r="E28" i="99"/>
  <c r="J27" i="99"/>
  <c r="I27" i="99"/>
  <c r="K27" i="99" s="1"/>
  <c r="K26" i="99"/>
  <c r="J26" i="99"/>
  <c r="I26" i="99"/>
  <c r="J25" i="99"/>
  <c r="I25" i="99"/>
  <c r="D28" i="99" s="1"/>
  <c r="F28" i="99" s="1"/>
  <c r="E25" i="99"/>
  <c r="D25" i="99"/>
  <c r="F25" i="99" s="1"/>
  <c r="F29" i="99" s="1"/>
  <c r="J22" i="99"/>
  <c r="I22" i="99"/>
  <c r="K22" i="99" s="1"/>
  <c r="J21" i="99"/>
  <c r="I21" i="99"/>
  <c r="K21" i="99" s="1"/>
  <c r="E21" i="99"/>
  <c r="D21" i="99"/>
  <c r="F21" i="99" s="1"/>
  <c r="J20" i="99"/>
  <c r="K20" i="99" s="1"/>
  <c r="I20" i="99"/>
  <c r="J19" i="99"/>
  <c r="I19" i="99"/>
  <c r="K19" i="99" s="1"/>
  <c r="E19" i="99"/>
  <c r="D19" i="99"/>
  <c r="F19" i="99" s="1"/>
  <c r="J18" i="99"/>
  <c r="I18" i="99"/>
  <c r="K18" i="99" s="1"/>
  <c r="J17" i="99"/>
  <c r="I17" i="99"/>
  <c r="K17" i="99" s="1"/>
  <c r="J16" i="99"/>
  <c r="I16" i="99"/>
  <c r="K16" i="99" s="1"/>
  <c r="E16" i="99"/>
  <c r="E15" i="99"/>
  <c r="D15" i="99"/>
  <c r="D49" i="99" s="1"/>
  <c r="F49" i="99" s="1"/>
  <c r="F55" i="99" s="1"/>
  <c r="J14" i="99"/>
  <c r="I14" i="99"/>
  <c r="K14" i="99" s="1"/>
  <c r="E14" i="99"/>
  <c r="D14" i="99"/>
  <c r="F14" i="99" s="1"/>
  <c r="J13" i="99"/>
  <c r="I13" i="99"/>
  <c r="K13" i="99" s="1"/>
  <c r="K23" i="99" s="1"/>
  <c r="E13" i="99"/>
  <c r="N12" i="112"/>
  <c r="P12" i="112"/>
  <c r="Q12" i="112"/>
  <c r="R12" i="112"/>
  <c r="S12" i="112"/>
  <c r="T12" i="112"/>
  <c r="O12" i="112"/>
  <c r="M12" i="112"/>
  <c r="A292" i="103" l="1"/>
  <c r="H291" i="103"/>
  <c r="U12" i="112"/>
  <c r="K47" i="99"/>
  <c r="F41" i="99"/>
  <c r="K41" i="99"/>
  <c r="F35" i="99"/>
  <c r="F15" i="99"/>
  <c r="K25" i="99"/>
  <c r="K29" i="99" s="1"/>
  <c r="G62" i="99" s="1"/>
  <c r="D16" i="99"/>
  <c r="F16" i="99" s="1"/>
  <c r="K31" i="99"/>
  <c r="K35" i="99" s="1"/>
  <c r="D13" i="99"/>
  <c r="F13" i="99" s="1"/>
  <c r="F23" i="99" s="1"/>
  <c r="G58" i="99" s="1"/>
  <c r="A293" i="103" l="1"/>
  <c r="H292" i="103"/>
  <c r="G63" i="99"/>
  <c r="G65" i="99"/>
  <c r="G67" i="99"/>
  <c r="G59" i="99"/>
  <c r="G60" i="99"/>
  <c r="G61" i="99" s="1"/>
  <c r="G66" i="99" s="1"/>
  <c r="A294" i="103" l="1"/>
  <c r="H293" i="103"/>
  <c r="G68" i="99"/>
  <c r="XFD66" i="99"/>
  <c r="A295" i="103" l="1"/>
  <c r="H294" i="103"/>
  <c r="A296" i="103" l="1"/>
  <c r="H295" i="103"/>
  <c r="A297" i="103" l="1"/>
  <c r="H296" i="103"/>
  <c r="A298" i="103" l="1"/>
  <c r="H297" i="103"/>
  <c r="A299" i="103" l="1"/>
  <c r="H298" i="103"/>
  <c r="A300" i="103" l="1"/>
  <c r="H299" i="103"/>
  <c r="A301" i="103" l="1"/>
  <c r="H300" i="103"/>
  <c r="A302" i="103" l="1"/>
  <c r="H301" i="103"/>
  <c r="A303" i="103" l="1"/>
  <c r="H302" i="103"/>
  <c r="A304" i="103" l="1"/>
  <c r="H303" i="103"/>
  <c r="A305" i="103" l="1"/>
  <c r="H304" i="103"/>
  <c r="A306" i="103" l="1"/>
  <c r="H305" i="103"/>
  <c r="A307" i="103" l="1"/>
  <c r="H306" i="103"/>
  <c r="A308" i="103" l="1"/>
  <c r="H307" i="103"/>
  <c r="A309" i="103" l="1"/>
  <c r="H308" i="103"/>
  <c r="A310" i="103" l="1"/>
  <c r="H309" i="103"/>
  <c r="A311" i="103" l="1"/>
  <c r="H310" i="103"/>
  <c r="A312" i="103" l="1"/>
  <c r="H311" i="103"/>
  <c r="A313" i="103" l="1"/>
  <c r="H312" i="103"/>
  <c r="A314" i="103" l="1"/>
  <c r="H313" i="103"/>
  <c r="A315" i="103" l="1"/>
  <c r="H314" i="103"/>
  <c r="A316" i="103" l="1"/>
  <c r="H315" i="103"/>
  <c r="A317" i="103" l="1"/>
  <c r="H316" i="103"/>
  <c r="A318" i="103" l="1"/>
  <c r="H317" i="103"/>
  <c r="A319" i="103" l="1"/>
  <c r="H318" i="103"/>
  <c r="A320" i="103" l="1"/>
  <c r="H319" i="103"/>
  <c r="A321" i="103" l="1"/>
  <c r="H320" i="103"/>
  <c r="A322" i="103" l="1"/>
  <c r="H321" i="103"/>
  <c r="A323" i="103" l="1"/>
  <c r="H322" i="103"/>
  <c r="A324" i="103" l="1"/>
  <c r="H323" i="103"/>
  <c r="A325" i="103" l="1"/>
  <c r="H324" i="103"/>
  <c r="A326" i="103" l="1"/>
  <c r="H325" i="103"/>
  <c r="A327" i="103" l="1"/>
  <c r="H326" i="103"/>
  <c r="A328" i="103" l="1"/>
  <c r="H327" i="103"/>
  <c r="H328" i="103" l="1"/>
  <c r="A329" i="103"/>
  <c r="A330" i="103" s="1"/>
  <c r="A331" i="103" s="1"/>
  <c r="A332" i="103" s="1"/>
  <c r="H331" i="103" l="1"/>
  <c r="A333" i="103"/>
  <c r="A334" i="103" l="1"/>
  <c r="H332" i="103"/>
  <c r="A335" i="103" l="1"/>
  <c r="H333" i="103"/>
  <c r="A336" i="103" l="1"/>
  <c r="H334" i="103"/>
  <c r="A337" i="103" l="1"/>
  <c r="H335" i="103"/>
  <c r="A338" i="103" l="1"/>
  <c r="H336" i="103"/>
  <c r="A339" i="103" l="1"/>
  <c r="H337" i="103"/>
  <c r="A340" i="103" l="1"/>
  <c r="H338" i="103"/>
  <c r="A341" i="103" l="1"/>
  <c r="H339" i="103"/>
  <c r="A342" i="103" l="1"/>
  <c r="H340" i="103"/>
  <c r="A343" i="103" l="1"/>
  <c r="H341" i="103"/>
  <c r="A344" i="103" l="1"/>
  <c r="H342" i="103"/>
  <c r="A345" i="103" l="1"/>
  <c r="H343" i="103"/>
  <c r="A346" i="103" l="1"/>
  <c r="H344" i="103"/>
  <c r="A347" i="103" l="1"/>
  <c r="H345" i="103"/>
  <c r="A348" i="103" l="1"/>
  <c r="H346" i="103"/>
  <c r="A349" i="103" l="1"/>
  <c r="A350" i="103" s="1"/>
  <c r="A351" i="103" s="1"/>
  <c r="A352" i="103" s="1"/>
  <c r="A353" i="103" s="1"/>
  <c r="A354" i="103" s="1"/>
  <c r="A355" i="103" s="1"/>
  <c r="A356" i="103" s="1"/>
  <c r="A357" i="103" s="1"/>
  <c r="A358" i="103" s="1"/>
  <c r="A359" i="103" s="1"/>
  <c r="A360" i="103" s="1"/>
  <c r="A361" i="103" s="1"/>
  <c r="A362" i="103" s="1"/>
  <c r="A363" i="103" s="1"/>
  <c r="A364" i="103" s="1"/>
  <c r="A365" i="103" s="1"/>
  <c r="A366" i="103" s="1"/>
  <c r="A367" i="103" s="1"/>
  <c r="A368" i="103" s="1"/>
  <c r="A369" i="103" s="1"/>
  <c r="A370" i="103" s="1"/>
  <c r="A371" i="103" s="1"/>
  <c r="A372" i="103" s="1"/>
  <c r="A373" i="103" s="1"/>
  <c r="A374" i="103" s="1"/>
  <c r="A375" i="103" s="1"/>
  <c r="A376" i="103" s="1"/>
  <c r="A377" i="103" s="1"/>
  <c r="A378" i="103" s="1"/>
  <c r="A379" i="103" s="1"/>
  <c r="A380" i="103" s="1"/>
  <c r="H347" i="103"/>
  <c r="R95" i="112" l="1"/>
  <c r="M8" i="112"/>
  <c r="R8" i="112" l="1"/>
  <c r="O95" i="112"/>
  <c r="M4" i="112"/>
  <c r="M14" i="112"/>
  <c r="M11" i="112"/>
  <c r="M15" i="112"/>
  <c r="M6" i="112"/>
  <c r="M10" i="112"/>
  <c r="M16" i="112"/>
  <c r="M13" i="112"/>
  <c r="M3" i="112"/>
  <c r="P95" i="112" a="1"/>
  <c r="M94" i="112"/>
  <c r="M93" i="112"/>
  <c r="M92" i="112"/>
  <c r="M91" i="112"/>
  <c r="M90" i="112"/>
  <c r="M89" i="112"/>
  <c r="M88" i="112"/>
  <c r="M87" i="112"/>
  <c r="M86" i="112"/>
  <c r="M85" i="112"/>
  <c r="M84" i="112"/>
  <c r="M83" i="112"/>
  <c r="M82" i="112"/>
  <c r="M81" i="112"/>
  <c r="M80" i="112"/>
  <c r="M79" i="112"/>
  <c r="M78" i="112"/>
  <c r="M77" i="112"/>
  <c r="M76" i="112"/>
  <c r="M75" i="112"/>
  <c r="M74" i="112"/>
  <c r="M73" i="112"/>
  <c r="M72" i="112"/>
  <c r="M71" i="112"/>
  <c r="M70" i="112"/>
  <c r="M69" i="112"/>
  <c r="M68" i="112"/>
  <c r="M67" i="112"/>
  <c r="M66" i="112"/>
  <c r="M65" i="112"/>
  <c r="M64" i="112"/>
  <c r="M63" i="112"/>
  <c r="M59" i="112"/>
  <c r="M58" i="112"/>
  <c r="M57" i="112"/>
  <c r="M56" i="112"/>
  <c r="M55" i="112"/>
  <c r="M54" i="112"/>
  <c r="M53" i="112"/>
  <c r="M52" i="112"/>
  <c r="M51" i="112"/>
  <c r="M50" i="112"/>
  <c r="M49" i="112"/>
  <c r="M48" i="112"/>
  <c r="M47" i="112"/>
  <c r="M46" i="112"/>
  <c r="M45" i="112"/>
  <c r="M44" i="112"/>
  <c r="M43" i="112"/>
  <c r="M42" i="112"/>
  <c r="M41" i="112"/>
  <c r="M38" i="112"/>
  <c r="M37" i="112"/>
  <c r="M36" i="112"/>
  <c r="M35" i="112"/>
  <c r="M34" i="112"/>
  <c r="M33" i="112"/>
  <c r="M32" i="112"/>
  <c r="M31" i="112"/>
  <c r="M30" i="112"/>
  <c r="M29" i="112"/>
  <c r="M28" i="112"/>
  <c r="M27" i="112"/>
  <c r="M26" i="112"/>
  <c r="M25" i="112"/>
  <c r="M24" i="112"/>
  <c r="M23" i="112"/>
  <c r="M22" i="112"/>
  <c r="M21" i="112"/>
  <c r="M20" i="112"/>
  <c r="M19" i="112"/>
  <c r="R19" i="112" l="1"/>
  <c r="R20" i="112"/>
  <c r="R21" i="112"/>
  <c r="R22" i="112"/>
  <c r="R23" i="112"/>
  <c r="R24" i="112"/>
  <c r="R25" i="112"/>
  <c r="R26" i="112"/>
  <c r="R27" i="112"/>
  <c r="R28" i="112"/>
  <c r="R29" i="112"/>
  <c r="R30" i="112"/>
  <c r="R31" i="112"/>
  <c r="R32" i="112"/>
  <c r="R33" i="112"/>
  <c r="R34" i="112"/>
  <c r="R35" i="112"/>
  <c r="R36" i="112"/>
  <c r="R37" i="112"/>
  <c r="R38" i="112"/>
  <c r="R41" i="112"/>
  <c r="R42" i="112"/>
  <c r="R43" i="112"/>
  <c r="R44" i="112"/>
  <c r="R45" i="112"/>
  <c r="R46" i="112"/>
  <c r="R47" i="112"/>
  <c r="R48" i="112"/>
  <c r="R49" i="112"/>
  <c r="R50" i="112"/>
  <c r="R51" i="112"/>
  <c r="R52" i="112"/>
  <c r="R53" i="112"/>
  <c r="R54" i="112"/>
  <c r="R55" i="112"/>
  <c r="R56" i="112"/>
  <c r="R57" i="112"/>
  <c r="R58" i="112"/>
  <c r="R59" i="112"/>
  <c r="R63" i="112"/>
  <c r="R64" i="112"/>
  <c r="R65" i="112"/>
  <c r="R66" i="112"/>
  <c r="R67" i="112"/>
  <c r="R68" i="112"/>
  <c r="R69" i="112"/>
  <c r="R70" i="112"/>
  <c r="R71" i="112"/>
  <c r="R72" i="112"/>
  <c r="R73" i="112"/>
  <c r="R74" i="112"/>
  <c r="R75" i="112"/>
  <c r="R76" i="112"/>
  <c r="R77" i="112"/>
  <c r="R78" i="112"/>
  <c r="R79" i="112"/>
  <c r="R80" i="112"/>
  <c r="R81" i="112"/>
  <c r="R82" i="112"/>
  <c r="R83" i="112"/>
  <c r="R84" i="112"/>
  <c r="R85" i="112"/>
  <c r="R86" i="112"/>
  <c r="R87" i="112"/>
  <c r="R88" i="112"/>
  <c r="R89" i="112"/>
  <c r="R90" i="112"/>
  <c r="R91" i="112"/>
  <c r="R92" i="112"/>
  <c r="R93" i="112"/>
  <c r="R94" i="112"/>
  <c r="R13" i="112"/>
  <c r="R16" i="112"/>
  <c r="R10" i="112"/>
  <c r="R6" i="112"/>
  <c r="R15" i="112"/>
  <c r="R11" i="112"/>
  <c r="R14" i="112"/>
  <c r="R4" i="112"/>
  <c r="R3" i="112"/>
  <c r="O13" i="112"/>
  <c r="O16" i="112"/>
  <c r="O10" i="112"/>
  <c r="O6" i="112"/>
  <c r="O15" i="112"/>
  <c r="O8" i="112"/>
  <c r="O11" i="112"/>
  <c r="O14" i="112"/>
  <c r="O4" i="112"/>
  <c r="O3" i="112"/>
  <c r="O19" i="112"/>
  <c r="O20" i="112"/>
  <c r="O21" i="112"/>
  <c r="O22" i="112"/>
  <c r="O23" i="112"/>
  <c r="O24" i="112"/>
  <c r="O25" i="112"/>
  <c r="O26" i="112"/>
  <c r="O27" i="112"/>
  <c r="O28" i="112"/>
  <c r="O29" i="112"/>
  <c r="O30" i="112"/>
  <c r="O31" i="112"/>
  <c r="O32" i="112"/>
  <c r="O33" i="112"/>
  <c r="O34" i="112"/>
  <c r="O35" i="112"/>
  <c r="O36" i="112"/>
  <c r="O37" i="112"/>
  <c r="O38" i="112"/>
  <c r="O41" i="112"/>
  <c r="O42" i="112"/>
  <c r="O43" i="112"/>
  <c r="O44" i="112"/>
  <c r="O45" i="112"/>
  <c r="O46" i="112"/>
  <c r="O47" i="112"/>
  <c r="O48" i="112"/>
  <c r="O49" i="112"/>
  <c r="O50" i="112"/>
  <c r="O51" i="112"/>
  <c r="O52" i="112"/>
  <c r="O53" i="112"/>
  <c r="O54" i="112"/>
  <c r="O55" i="112"/>
  <c r="O56" i="112"/>
  <c r="O57" i="112"/>
  <c r="O58" i="112"/>
  <c r="O59" i="112"/>
  <c r="O63" i="112"/>
  <c r="O64" i="112"/>
  <c r="O65" i="112"/>
  <c r="O66" i="112"/>
  <c r="O67" i="112"/>
  <c r="O68" i="112"/>
  <c r="O69" i="112"/>
  <c r="O70" i="112"/>
  <c r="O71" i="112"/>
  <c r="O72" i="112"/>
  <c r="O73" i="112"/>
  <c r="O74" i="112"/>
  <c r="O75" i="112"/>
  <c r="O76" i="112"/>
  <c r="O77" i="112"/>
  <c r="O78" i="112"/>
  <c r="O79" i="112"/>
  <c r="O80" i="112"/>
  <c r="O81" i="112"/>
  <c r="O82" i="112"/>
  <c r="O83" i="112"/>
  <c r="O84" i="112"/>
  <c r="O85" i="112"/>
  <c r="O86" i="112"/>
  <c r="O87" i="112"/>
  <c r="O88" i="112"/>
  <c r="O89" i="112"/>
  <c r="O90" i="112"/>
  <c r="O91" i="112"/>
  <c r="O92" i="112"/>
  <c r="O93" i="112"/>
  <c r="O94" i="112"/>
  <c r="P95" i="112"/>
  <c r="S95" i="112" s="1"/>
  <c r="P13" i="112" a="1"/>
  <c r="P10" i="112" a="1"/>
  <c r="P15" i="112" a="1"/>
  <c r="P14" i="112" a="1"/>
  <c r="P16" i="112" a="1"/>
  <c r="P8" i="112" a="1"/>
  <c r="P11" i="112" a="1"/>
  <c r="P4" i="112" a="1"/>
  <c r="P3" i="112" a="1"/>
  <c r="P19" i="112" a="1"/>
  <c r="P35" i="112" a="1"/>
  <c r="P51" i="112" a="1"/>
  <c r="P67" i="112" a="1"/>
  <c r="P83" i="112" a="1"/>
  <c r="P36" i="112" a="1"/>
  <c r="P52" i="112" a="1"/>
  <c r="P68" i="112" a="1"/>
  <c r="P84" i="112" a="1"/>
  <c r="P37" i="112" a="1"/>
  <c r="P53" i="112" a="1"/>
  <c r="P85" i="112" a="1"/>
  <c r="P38" i="112" a="1"/>
  <c r="P54" i="112" a="1"/>
  <c r="P23" i="112" a="1"/>
  <c r="P55" i="112" a="1"/>
  <c r="P87" i="112" a="1"/>
  <c r="P56" i="112" a="1"/>
  <c r="P25" i="112" a="1"/>
  <c r="P89" i="112" a="1"/>
  <c r="P58" i="112" a="1"/>
  <c r="P43" i="112" a="1"/>
  <c r="P91" i="112" a="1"/>
  <c r="P76" i="112" a="1"/>
  <c r="P92" i="112" a="1"/>
  <c r="P93" i="112" a="1"/>
  <c r="P63" i="112" a="1"/>
  <c r="P64" i="112" a="1"/>
  <c r="P50" i="112" a="1"/>
  <c r="P20" i="112" a="1"/>
  <c r="P22" i="112" a="1"/>
  <c r="P86" i="112" a="1"/>
  <c r="P71" i="112" a="1"/>
  <c r="P57" i="112" a="1"/>
  <c r="P90" i="112" a="1"/>
  <c r="P59" i="112" a="1"/>
  <c r="P44" i="112" a="1"/>
  <c r="P30" i="112" a="1"/>
  <c r="P82" i="112" a="1"/>
  <c r="P21" i="112" a="1"/>
  <c r="P69" i="112" a="1"/>
  <c r="P70" i="112" a="1"/>
  <c r="P24" i="112" a="1"/>
  <c r="P41" i="112" a="1"/>
  <c r="P42" i="112" a="1"/>
  <c r="P75" i="112" a="1"/>
  <c r="P77" i="112" a="1"/>
  <c r="P46" i="112" a="1"/>
  <c r="P32" i="112" a="1"/>
  <c r="P88" i="112" a="1"/>
  <c r="P47" i="112" a="1"/>
  <c r="P81" i="112" a="1"/>
  <c r="P72" i="112" a="1"/>
  <c r="P45" i="112" a="1"/>
  <c r="P31" i="112" a="1"/>
  <c r="P34" i="112" a="1"/>
  <c r="P26" i="112" a="1"/>
  <c r="P94" i="112" a="1"/>
  <c r="P49" i="112" a="1"/>
  <c r="P73" i="112" a="1"/>
  <c r="P78" i="112" a="1"/>
  <c r="P33" i="112" a="1"/>
  <c r="P74" i="112" a="1"/>
  <c r="P79" i="112" a="1"/>
  <c r="P65" i="112" a="1"/>
  <c r="P27" i="112" a="1"/>
  <c r="P48" i="112" a="1"/>
  <c r="P28" i="112" a="1"/>
  <c r="P80" i="112" a="1"/>
  <c r="P29" i="112" a="1"/>
  <c r="P66" i="112" a="1"/>
  <c r="M18" i="112"/>
  <c r="R18" i="112" l="1"/>
  <c r="P4" i="112"/>
  <c r="S4" i="112" s="1"/>
  <c r="P11" i="112"/>
  <c r="S11" i="112" s="1"/>
  <c r="U11" i="112" s="1"/>
  <c r="P8" i="112"/>
  <c r="S8" i="112" s="1"/>
  <c r="P16" i="112"/>
  <c r="S16" i="112" s="1"/>
  <c r="P14" i="112"/>
  <c r="S14" i="112" s="1"/>
  <c r="P15" i="112"/>
  <c r="S15" i="112" s="1"/>
  <c r="U15" i="112" s="1"/>
  <c r="S6" i="112"/>
  <c r="P10" i="112"/>
  <c r="S10" i="112" s="1"/>
  <c r="P13" i="112"/>
  <c r="S13" i="112" s="1"/>
  <c r="S7" i="112"/>
  <c r="P3" i="112"/>
  <c r="S3" i="112" s="1"/>
  <c r="P66" i="112"/>
  <c r="S66" i="112" s="1"/>
  <c r="U66" i="112" s="1"/>
  <c r="P29" i="112"/>
  <c r="S29" i="112" s="1"/>
  <c r="U29" i="112" s="1"/>
  <c r="P80" i="112"/>
  <c r="S80" i="112" s="1"/>
  <c r="U80" i="112" s="1"/>
  <c r="P28" i="112"/>
  <c r="S28" i="112" s="1"/>
  <c r="U28" i="112" s="1"/>
  <c r="P48" i="112"/>
  <c r="S48" i="112" s="1"/>
  <c r="U48" i="112" s="1"/>
  <c r="P27" i="112"/>
  <c r="S27" i="112" s="1"/>
  <c r="U27" i="112" s="1"/>
  <c r="P65" i="112"/>
  <c r="S65" i="112" s="1"/>
  <c r="U65" i="112" s="1"/>
  <c r="P79" i="112"/>
  <c r="S79" i="112" s="1"/>
  <c r="U79" i="112" s="1"/>
  <c r="P74" i="112"/>
  <c r="S74" i="112" s="1"/>
  <c r="U74" i="112" s="1"/>
  <c r="P33" i="112"/>
  <c r="S33" i="112" s="1"/>
  <c r="U33" i="112" s="1"/>
  <c r="P78" i="112"/>
  <c r="S78" i="112" s="1"/>
  <c r="U78" i="112" s="1"/>
  <c r="P73" i="112"/>
  <c r="S73" i="112" s="1"/>
  <c r="U73" i="112" s="1"/>
  <c r="P49" i="112"/>
  <c r="S49" i="112" s="1"/>
  <c r="U49" i="112" s="1"/>
  <c r="P94" i="112"/>
  <c r="S94" i="112" s="1"/>
  <c r="U94" i="112" s="1"/>
  <c r="P26" i="112"/>
  <c r="S26" i="112" s="1"/>
  <c r="U26" i="112" s="1"/>
  <c r="P34" i="112"/>
  <c r="S34" i="112" s="1"/>
  <c r="U34" i="112" s="1"/>
  <c r="P31" i="112"/>
  <c r="S31" i="112" s="1"/>
  <c r="U31" i="112" s="1"/>
  <c r="P45" i="112"/>
  <c r="S45" i="112" s="1"/>
  <c r="U45" i="112" s="1"/>
  <c r="P72" i="112"/>
  <c r="S72" i="112" s="1"/>
  <c r="U72" i="112" s="1"/>
  <c r="P81" i="112"/>
  <c r="S81" i="112" s="1"/>
  <c r="U81" i="112" s="1"/>
  <c r="P47" i="112"/>
  <c r="S47" i="112" s="1"/>
  <c r="U47" i="112" s="1"/>
  <c r="P88" i="112"/>
  <c r="S88" i="112" s="1"/>
  <c r="U88" i="112" s="1"/>
  <c r="P32" i="112"/>
  <c r="S32" i="112" s="1"/>
  <c r="U32" i="112" s="1"/>
  <c r="P46" i="112"/>
  <c r="S46" i="112" s="1"/>
  <c r="U46" i="112" s="1"/>
  <c r="P77" i="112"/>
  <c r="S77" i="112" s="1"/>
  <c r="U77" i="112" s="1"/>
  <c r="P75" i="112"/>
  <c r="S75" i="112" s="1"/>
  <c r="U75" i="112" s="1"/>
  <c r="P42" i="112"/>
  <c r="S42" i="112" s="1"/>
  <c r="U42" i="112" s="1"/>
  <c r="P41" i="112"/>
  <c r="S41" i="112" s="1"/>
  <c r="U41" i="112" s="1"/>
  <c r="P24" i="112"/>
  <c r="S24" i="112" s="1"/>
  <c r="U24" i="112" s="1"/>
  <c r="P70" i="112"/>
  <c r="S70" i="112" s="1"/>
  <c r="U70" i="112" s="1"/>
  <c r="P69" i="112"/>
  <c r="S69" i="112" s="1"/>
  <c r="U69" i="112" s="1"/>
  <c r="P21" i="112"/>
  <c r="S21" i="112" s="1"/>
  <c r="U21" i="112" s="1"/>
  <c r="P82" i="112"/>
  <c r="S82" i="112" s="1"/>
  <c r="U82" i="112" s="1"/>
  <c r="P30" i="112"/>
  <c r="S30" i="112" s="1"/>
  <c r="U30" i="112" s="1"/>
  <c r="P44" i="112"/>
  <c r="S44" i="112" s="1"/>
  <c r="U44" i="112" s="1"/>
  <c r="P59" i="112"/>
  <c r="S59" i="112" s="1"/>
  <c r="U59" i="112" s="1"/>
  <c r="P90" i="112"/>
  <c r="S90" i="112" s="1"/>
  <c r="U90" i="112" s="1"/>
  <c r="P57" i="112"/>
  <c r="S57" i="112" s="1"/>
  <c r="U57" i="112" s="1"/>
  <c r="P71" i="112"/>
  <c r="S71" i="112" s="1"/>
  <c r="U71" i="112" s="1"/>
  <c r="P86" i="112"/>
  <c r="S86" i="112" s="1"/>
  <c r="U86" i="112" s="1"/>
  <c r="P22" i="112"/>
  <c r="S22" i="112" s="1"/>
  <c r="U22" i="112" s="1"/>
  <c r="P20" i="112"/>
  <c r="S20" i="112" s="1"/>
  <c r="U20" i="112" s="1"/>
  <c r="P50" i="112"/>
  <c r="S50" i="112" s="1"/>
  <c r="U50" i="112" s="1"/>
  <c r="P64" i="112"/>
  <c r="S64" i="112" s="1"/>
  <c r="U64" i="112" s="1"/>
  <c r="P63" i="112"/>
  <c r="S63" i="112" s="1"/>
  <c r="U63" i="112" s="1"/>
  <c r="P93" i="112"/>
  <c r="S93" i="112" s="1"/>
  <c r="U93" i="112" s="1"/>
  <c r="P92" i="112"/>
  <c r="S92" i="112" s="1"/>
  <c r="U92" i="112" s="1"/>
  <c r="P76" i="112"/>
  <c r="S76" i="112" s="1"/>
  <c r="U76" i="112" s="1"/>
  <c r="P91" i="112"/>
  <c r="S91" i="112" s="1"/>
  <c r="U91" i="112" s="1"/>
  <c r="P43" i="112"/>
  <c r="S43" i="112" s="1"/>
  <c r="U43" i="112" s="1"/>
  <c r="P58" i="112"/>
  <c r="S58" i="112" s="1"/>
  <c r="U58" i="112" s="1"/>
  <c r="P89" i="112"/>
  <c r="S89" i="112" s="1"/>
  <c r="U89" i="112" s="1"/>
  <c r="P25" i="112"/>
  <c r="S25" i="112" s="1"/>
  <c r="U25" i="112" s="1"/>
  <c r="P56" i="112"/>
  <c r="S56" i="112" s="1"/>
  <c r="U56" i="112" s="1"/>
  <c r="P87" i="112"/>
  <c r="S87" i="112" s="1"/>
  <c r="U87" i="112" s="1"/>
  <c r="P55" i="112"/>
  <c r="S55" i="112" s="1"/>
  <c r="U55" i="112" s="1"/>
  <c r="P23" i="112"/>
  <c r="S23" i="112" s="1"/>
  <c r="U23" i="112" s="1"/>
  <c r="P54" i="112"/>
  <c r="S54" i="112" s="1"/>
  <c r="U54" i="112" s="1"/>
  <c r="P38" i="112"/>
  <c r="S38" i="112" s="1"/>
  <c r="U38" i="112" s="1"/>
  <c r="P85" i="112"/>
  <c r="S85" i="112" s="1"/>
  <c r="U85" i="112" s="1"/>
  <c r="P53" i="112"/>
  <c r="S53" i="112" s="1"/>
  <c r="U53" i="112" s="1"/>
  <c r="P37" i="112"/>
  <c r="S37" i="112" s="1"/>
  <c r="U37" i="112" s="1"/>
  <c r="P84" i="112"/>
  <c r="S84" i="112" s="1"/>
  <c r="U84" i="112" s="1"/>
  <c r="P68" i="112"/>
  <c r="S68" i="112" s="1"/>
  <c r="U68" i="112" s="1"/>
  <c r="P52" i="112"/>
  <c r="S52" i="112" s="1"/>
  <c r="U52" i="112" s="1"/>
  <c r="P36" i="112"/>
  <c r="S36" i="112" s="1"/>
  <c r="U36" i="112" s="1"/>
  <c r="P83" i="112"/>
  <c r="S83" i="112" s="1"/>
  <c r="U83" i="112" s="1"/>
  <c r="P67" i="112"/>
  <c r="S67" i="112" s="1"/>
  <c r="U67" i="112" s="1"/>
  <c r="P51" i="112"/>
  <c r="S51" i="112" s="1"/>
  <c r="U51" i="112" s="1"/>
  <c r="P35" i="112"/>
  <c r="S35" i="112" s="1"/>
  <c r="U35" i="112" s="1"/>
  <c r="P19" i="112"/>
  <c r="S19" i="112" s="1"/>
  <c r="U19" i="112" s="1"/>
  <c r="O18" i="112"/>
  <c r="C54" i="110"/>
  <c r="D60" i="111" s="1"/>
  <c r="U384" i="103" s="1"/>
  <c r="C55" i="110"/>
  <c r="E20" i="112" s="1"/>
  <c r="C57" i="110"/>
  <c r="E13" i="112" s="1"/>
  <c r="C58" i="110"/>
  <c r="D64" i="111" s="1"/>
  <c r="U388" i="103" s="1"/>
  <c r="C59" i="110"/>
  <c r="D65" i="111" s="1"/>
  <c r="U389" i="103" s="1"/>
  <c r="C60" i="110"/>
  <c r="E25" i="112" s="1"/>
  <c r="C61" i="110"/>
  <c r="E14" i="112" s="1"/>
  <c r="C62" i="110"/>
  <c r="D68" i="111" s="1"/>
  <c r="C63" i="110"/>
  <c r="C64" i="110"/>
  <c r="E42" i="112" s="1"/>
  <c r="C65" i="110"/>
  <c r="E79" i="112" s="1"/>
  <c r="C66" i="110"/>
  <c r="D72" i="111" s="1"/>
  <c r="U396" i="103" s="1"/>
  <c r="C67" i="110"/>
  <c r="E93" i="112" s="1"/>
  <c r="C68" i="110"/>
  <c r="E94" i="112" s="1"/>
  <c r="C69" i="110"/>
  <c r="C53" i="110"/>
  <c r="D59" i="111" s="1"/>
  <c r="U383" i="103" s="1"/>
  <c r="E16" i="110"/>
  <c r="J52" i="112" s="1"/>
  <c r="E17" i="110"/>
  <c r="E16" i="111" s="1"/>
  <c r="V340" i="103" s="1"/>
  <c r="E18" i="110"/>
  <c r="J54" i="112" s="1"/>
  <c r="E19" i="110"/>
  <c r="J21" i="112" s="1"/>
  <c r="E20" i="110"/>
  <c r="J22" i="112" s="1"/>
  <c r="E21" i="110"/>
  <c r="E22" i="110"/>
  <c r="E23" i="110"/>
  <c r="J18" i="112" s="1"/>
  <c r="E24" i="110"/>
  <c r="E23" i="111" s="1"/>
  <c r="V347" i="103" s="1"/>
  <c r="E25" i="110"/>
  <c r="J56" i="112" s="1"/>
  <c r="E26" i="110"/>
  <c r="J57" i="112" s="1"/>
  <c r="E27" i="110"/>
  <c r="J28" i="112" s="1"/>
  <c r="E28" i="110"/>
  <c r="J29" i="112" s="1"/>
  <c r="E29" i="110"/>
  <c r="J58" i="112" s="1"/>
  <c r="E30" i="110"/>
  <c r="J59" i="112" s="1"/>
  <c r="E31" i="110"/>
  <c r="E31" i="111" s="1"/>
  <c r="V355" i="103" s="1"/>
  <c r="E32" i="110"/>
  <c r="E37" i="111" s="1"/>
  <c r="V361" i="103" s="1"/>
  <c r="E33" i="110"/>
  <c r="J24" i="112" s="1"/>
  <c r="E34" i="110"/>
  <c r="J26" i="112" s="1"/>
  <c r="E35" i="110"/>
  <c r="J27" i="112" s="1"/>
  <c r="E36" i="110"/>
  <c r="J17" i="114" s="1"/>
  <c r="E37" i="110"/>
  <c r="E38" i="110"/>
  <c r="E39" i="110"/>
  <c r="J20" i="114" s="1"/>
  <c r="E40" i="110"/>
  <c r="E36" i="111" s="1"/>
  <c r="V360" i="103" s="1"/>
  <c r="E41" i="110"/>
  <c r="E39" i="111" s="1"/>
  <c r="V363" i="103" s="1"/>
  <c r="E42" i="110"/>
  <c r="J15" i="114" s="1"/>
  <c r="E43" i="110"/>
  <c r="J16" i="114" s="1"/>
  <c r="E44" i="110"/>
  <c r="J37" i="112" s="1"/>
  <c r="E45" i="110"/>
  <c r="E47" i="111" s="1"/>
  <c r="V371" i="103" s="1"/>
  <c r="E46" i="110"/>
  <c r="E48" i="111" s="1"/>
  <c r="V372" i="103" s="1"/>
  <c r="E47" i="110"/>
  <c r="J93" i="112" s="1"/>
  <c r="E48" i="110"/>
  <c r="J113" i="113" s="1"/>
  <c r="E6" i="110"/>
  <c r="E5" i="111" s="1"/>
  <c r="V329" i="103" s="1"/>
  <c r="E7" i="110"/>
  <c r="J43" i="112" s="1"/>
  <c r="E8" i="110"/>
  <c r="E7" i="111" s="1"/>
  <c r="V331" i="103" s="1"/>
  <c r="E9" i="110"/>
  <c r="J45" i="112" s="1"/>
  <c r="E10" i="110"/>
  <c r="E11" i="110"/>
  <c r="E12" i="110"/>
  <c r="J48" i="112" s="1"/>
  <c r="E13" i="110"/>
  <c r="J49" i="112" s="1"/>
  <c r="E14" i="110"/>
  <c r="J50" i="112" s="1"/>
  <c r="E15" i="110"/>
  <c r="J51" i="112" s="1"/>
  <c r="E5" i="110"/>
  <c r="E4" i="111" s="1"/>
  <c r="V328" i="103" s="1"/>
  <c r="I363" i="103"/>
  <c r="M357" i="103"/>
  <c r="M356" i="103"/>
  <c r="M355" i="103"/>
  <c r="M352" i="103"/>
  <c r="M351" i="103"/>
  <c r="M350" i="103"/>
  <c r="M349" i="103"/>
  <c r="M348" i="103"/>
  <c r="M347" i="103"/>
  <c r="M346" i="103"/>
  <c r="M345" i="103"/>
  <c r="N338" i="103"/>
  <c r="N337" i="103"/>
  <c r="N336" i="103"/>
  <c r="N335" i="103"/>
  <c r="N334" i="103"/>
  <c r="N333" i="103"/>
  <c r="N332" i="103"/>
  <c r="N331" i="103"/>
  <c r="N330" i="103"/>
  <c r="N329" i="103"/>
  <c r="N328" i="103"/>
  <c r="N327" i="103"/>
  <c r="N326" i="103"/>
  <c r="N321" i="103"/>
  <c r="N320" i="103"/>
  <c r="N319" i="103"/>
  <c r="N318" i="103"/>
  <c r="N317" i="103"/>
  <c r="N316" i="103"/>
  <c r="N314" i="103"/>
  <c r="N313" i="103"/>
  <c r="N310" i="103"/>
  <c r="N309" i="103"/>
  <c r="N308" i="103"/>
  <c r="L304" i="103"/>
  <c r="E271" i="103"/>
  <c r="E270" i="103"/>
  <c r="E221" i="103"/>
  <c r="E220" i="103"/>
  <c r="E219" i="103"/>
  <c r="E218" i="103"/>
  <c r="E217" i="103"/>
  <c r="E216" i="103"/>
  <c r="E215" i="103"/>
  <c r="D213" i="103"/>
  <c r="D212" i="103"/>
  <c r="E206" i="103"/>
  <c r="E272" i="103" s="1"/>
  <c r="D341" i="103" s="1"/>
  <c r="M353" i="103" s="1"/>
  <c r="E205" i="103"/>
  <c r="M160" i="103"/>
  <c r="R160" i="103" s="1"/>
  <c r="M159" i="103"/>
  <c r="R159" i="103" s="1"/>
  <c r="M158" i="103"/>
  <c r="R158" i="103" s="1"/>
  <c r="M157" i="103"/>
  <c r="R157" i="103" s="1"/>
  <c r="M156" i="103"/>
  <c r="R156" i="103" s="1"/>
  <c r="M155" i="103"/>
  <c r="R155" i="103" s="1"/>
  <c r="M154" i="103"/>
  <c r="R154" i="103" s="1"/>
  <c r="M153" i="103"/>
  <c r="R153" i="103" s="1"/>
  <c r="M152" i="103"/>
  <c r="R152" i="103" s="1"/>
  <c r="M151" i="103"/>
  <c r="R151" i="103" s="1"/>
  <c r="M150" i="103"/>
  <c r="R150" i="103" s="1"/>
  <c r="R149" i="103"/>
  <c r="M149" i="103"/>
  <c r="M148" i="103"/>
  <c r="R148" i="103" s="1"/>
  <c r="M147" i="103"/>
  <c r="R147" i="103" s="1"/>
  <c r="M146" i="103"/>
  <c r="R146" i="103" s="1"/>
  <c r="M145" i="103"/>
  <c r="R145" i="103" s="1"/>
  <c r="M144" i="103"/>
  <c r="R144" i="103" s="1"/>
  <c r="M143" i="103"/>
  <c r="R143" i="103" s="1"/>
  <c r="M142" i="103"/>
  <c r="R142" i="103" s="1"/>
  <c r="M141" i="103"/>
  <c r="R141" i="103" s="1"/>
  <c r="M140" i="103"/>
  <c r="R140" i="103" s="1"/>
  <c r="M139" i="103"/>
  <c r="R139" i="103" s="1"/>
  <c r="M138" i="103"/>
  <c r="R138" i="103" s="1"/>
  <c r="M137" i="103"/>
  <c r="R137" i="103" s="1"/>
  <c r="M136" i="103"/>
  <c r="R136" i="103" s="1"/>
  <c r="M135" i="103"/>
  <c r="R135" i="103" s="1"/>
  <c r="M134" i="103"/>
  <c r="R134" i="103" s="1"/>
  <c r="O133" i="103"/>
  <c r="N133" i="103" s="1"/>
  <c r="M133" i="103"/>
  <c r="R133" i="103" s="1"/>
  <c r="D117" i="103"/>
  <c r="C112" i="103"/>
  <c r="P100" i="103"/>
  <c r="P94" i="103"/>
  <c r="D90" i="103"/>
  <c r="I72" i="103"/>
  <c r="I71" i="103"/>
  <c r="I70" i="103"/>
  <c r="D64" i="103"/>
  <c r="D63" i="103"/>
  <c r="I62" i="103"/>
  <c r="D62" i="103"/>
  <c r="D61" i="103"/>
  <c r="D60" i="103"/>
  <c r="I59" i="103"/>
  <c r="I58" i="103"/>
  <c r="E58" i="103"/>
  <c r="D58" i="103"/>
  <c r="I57" i="103"/>
  <c r="E57" i="103"/>
  <c r="D57" i="103"/>
  <c r="I56" i="103"/>
  <c r="E56" i="103"/>
  <c r="D56" i="103"/>
  <c r="J55" i="103"/>
  <c r="D55" i="103"/>
  <c r="J54" i="103"/>
  <c r="I54" i="103"/>
  <c r="D54" i="103"/>
  <c r="I53" i="103"/>
  <c r="D53" i="103"/>
  <c r="I52" i="103"/>
  <c r="D52" i="103"/>
  <c r="I51" i="103"/>
  <c r="D51" i="103"/>
  <c r="I50" i="103"/>
  <c r="D50" i="103"/>
  <c r="I49" i="103"/>
  <c r="D49" i="103"/>
  <c r="E48" i="103"/>
  <c r="J48" i="103" s="1"/>
  <c r="D48" i="103"/>
  <c r="I63" i="103" s="1"/>
  <c r="D46" i="103"/>
  <c r="I45" i="103"/>
  <c r="I44" i="103"/>
  <c r="D42" i="103"/>
  <c r="I42" i="103" s="1"/>
  <c r="D41" i="103"/>
  <c r="I41" i="103" s="1"/>
  <c r="J24" i="103"/>
  <c r="L7" i="103"/>
  <c r="I22" i="112"/>
  <c r="J49" i="102"/>
  <c r="J51" i="102"/>
  <c r="I51" i="102"/>
  <c r="J37" i="102"/>
  <c r="K39" i="102"/>
  <c r="I39" i="102"/>
  <c r="I37" i="102"/>
  <c r="D37" i="102"/>
  <c r="D29" i="102"/>
  <c r="I13" i="22"/>
  <c r="D13" i="22"/>
  <c r="E51" i="22"/>
  <c r="E30" i="114"/>
  <c r="I113" i="113"/>
  <c r="F75" i="111"/>
  <c r="J25" i="114"/>
  <c r="J24" i="114"/>
  <c r="J23" i="114"/>
  <c r="J21" i="114"/>
  <c r="J19" i="114"/>
  <c r="K19" i="114" s="1"/>
  <c r="J18" i="114"/>
  <c r="K18" i="114" s="1"/>
  <c r="J13" i="114"/>
  <c r="I13" i="114"/>
  <c r="K13" i="114" s="1"/>
  <c r="J30" i="114"/>
  <c r="I30" i="114"/>
  <c r="I20" i="114"/>
  <c r="I19" i="114"/>
  <c r="I18" i="114"/>
  <c r="I17" i="114"/>
  <c r="I16" i="114"/>
  <c r="I14" i="114"/>
  <c r="E23" i="114"/>
  <c r="E21" i="114"/>
  <c r="E24" i="114"/>
  <c r="D30" i="114"/>
  <c r="D13" i="114"/>
  <c r="D21" i="114" s="1"/>
  <c r="J109" i="113"/>
  <c r="J108" i="113"/>
  <c r="J107" i="113"/>
  <c r="K107" i="113" s="1"/>
  <c r="J106" i="113"/>
  <c r="J105" i="113"/>
  <c r="J104" i="113"/>
  <c r="J103" i="113"/>
  <c r="J102" i="113"/>
  <c r="J101" i="113"/>
  <c r="J100" i="113"/>
  <c r="J99" i="113"/>
  <c r="K99" i="113" s="1"/>
  <c r="J98" i="113"/>
  <c r="J97" i="113"/>
  <c r="J94" i="113"/>
  <c r="J93" i="113"/>
  <c r="J92" i="113"/>
  <c r="J91" i="113"/>
  <c r="J90" i="113"/>
  <c r="J89" i="113"/>
  <c r="K89" i="113" s="1"/>
  <c r="J88" i="113"/>
  <c r="J87" i="113"/>
  <c r="J86" i="113"/>
  <c r="J85" i="113"/>
  <c r="J84" i="113"/>
  <c r="J83" i="113"/>
  <c r="J82" i="113"/>
  <c r="J79" i="113"/>
  <c r="J78" i="113"/>
  <c r="J77" i="113"/>
  <c r="J76" i="113"/>
  <c r="J75" i="113"/>
  <c r="J74" i="113"/>
  <c r="J73" i="113"/>
  <c r="J72" i="113"/>
  <c r="J71" i="113"/>
  <c r="J70" i="113"/>
  <c r="K70" i="113" s="1"/>
  <c r="J69" i="113"/>
  <c r="J68" i="113"/>
  <c r="J67" i="113"/>
  <c r="J66" i="113"/>
  <c r="J65" i="113"/>
  <c r="J64" i="113"/>
  <c r="J63" i="113"/>
  <c r="K63" i="113" s="1"/>
  <c r="J62" i="113"/>
  <c r="K62" i="113" s="1"/>
  <c r="J43" i="113"/>
  <c r="J44" i="113"/>
  <c r="J45" i="113"/>
  <c r="J46" i="113"/>
  <c r="J47" i="113"/>
  <c r="J48" i="113"/>
  <c r="J49" i="113"/>
  <c r="J50" i="113"/>
  <c r="J51" i="113"/>
  <c r="J52" i="113"/>
  <c r="J53" i="113"/>
  <c r="J54" i="113"/>
  <c r="J55" i="113"/>
  <c r="J56" i="113"/>
  <c r="J57" i="113"/>
  <c r="J58" i="113"/>
  <c r="J59" i="113"/>
  <c r="J60" i="113"/>
  <c r="J61" i="113"/>
  <c r="J42" i="113"/>
  <c r="J41" i="113"/>
  <c r="J40" i="113"/>
  <c r="J39" i="113"/>
  <c r="J35" i="113"/>
  <c r="J34" i="113"/>
  <c r="J32" i="113"/>
  <c r="J31" i="113"/>
  <c r="J30" i="113"/>
  <c r="J29" i="113"/>
  <c r="J28" i="113"/>
  <c r="J27" i="113"/>
  <c r="J26" i="113"/>
  <c r="J25" i="113"/>
  <c r="J23" i="113"/>
  <c r="J22" i="113"/>
  <c r="J21" i="113"/>
  <c r="J20" i="113"/>
  <c r="J19" i="113"/>
  <c r="J18" i="113"/>
  <c r="J14" i="113"/>
  <c r="J13" i="113"/>
  <c r="I109" i="113"/>
  <c r="K109" i="113" s="1"/>
  <c r="I108" i="113"/>
  <c r="K108" i="113" s="1"/>
  <c r="I107" i="113"/>
  <c r="I106" i="113"/>
  <c r="I105" i="113"/>
  <c r="I104" i="113"/>
  <c r="I103" i="113"/>
  <c r="I102" i="113"/>
  <c r="I101" i="113"/>
  <c r="I100" i="113"/>
  <c r="I99" i="113"/>
  <c r="I98" i="113"/>
  <c r="I97" i="113"/>
  <c r="I94" i="113"/>
  <c r="I93" i="113"/>
  <c r="I92" i="113"/>
  <c r="I91" i="113"/>
  <c r="K91" i="113" s="1"/>
  <c r="I90" i="113"/>
  <c r="K90" i="113" s="1"/>
  <c r="I89" i="113"/>
  <c r="I88" i="113"/>
  <c r="I87" i="113"/>
  <c r="K87" i="113" s="1"/>
  <c r="I86" i="113"/>
  <c r="K86" i="113" s="1"/>
  <c r="I85" i="113"/>
  <c r="I84" i="113"/>
  <c r="I83" i="113"/>
  <c r="I82" i="113"/>
  <c r="K82" i="113" s="1"/>
  <c r="I79" i="113"/>
  <c r="I78" i="113"/>
  <c r="I77" i="113"/>
  <c r="I76" i="113"/>
  <c r="I75" i="113"/>
  <c r="I74" i="113"/>
  <c r="I73" i="113"/>
  <c r="I72" i="113"/>
  <c r="K72" i="113" s="1"/>
  <c r="I71" i="113"/>
  <c r="I70" i="113"/>
  <c r="I69" i="113"/>
  <c r="K69" i="113" s="1"/>
  <c r="I68" i="113"/>
  <c r="I67" i="113"/>
  <c r="K67" i="113" s="1"/>
  <c r="I66" i="113"/>
  <c r="K66" i="113" s="1"/>
  <c r="I65" i="113"/>
  <c r="I64" i="113"/>
  <c r="K64" i="113" s="1"/>
  <c r="I63" i="113"/>
  <c r="I62" i="113"/>
  <c r="I45" i="113"/>
  <c r="I46" i="113"/>
  <c r="I47" i="113"/>
  <c r="I48" i="113"/>
  <c r="I49" i="113"/>
  <c r="I50" i="113"/>
  <c r="I51" i="113"/>
  <c r="I52" i="113"/>
  <c r="I53" i="113"/>
  <c r="I54" i="113"/>
  <c r="I55" i="113"/>
  <c r="I56" i="113"/>
  <c r="I57" i="113"/>
  <c r="I58" i="113"/>
  <c r="I59" i="113"/>
  <c r="I60" i="113"/>
  <c r="I61" i="113"/>
  <c r="I44" i="113"/>
  <c r="I43" i="113"/>
  <c r="I42" i="113"/>
  <c r="I41" i="113"/>
  <c r="I40" i="113"/>
  <c r="I22" i="113"/>
  <c r="I21" i="113"/>
  <c r="I20" i="113"/>
  <c r="I19" i="113"/>
  <c r="I18" i="113"/>
  <c r="E112" i="113"/>
  <c r="E98" i="113"/>
  <c r="E97" i="113"/>
  <c r="E83" i="113"/>
  <c r="E82" i="113"/>
  <c r="E39" i="113"/>
  <c r="E25" i="113"/>
  <c r="E24" i="113"/>
  <c r="E23" i="113"/>
  <c r="E21" i="113"/>
  <c r="E20" i="113"/>
  <c r="E18" i="113"/>
  <c r="E14" i="113"/>
  <c r="E13" i="113"/>
  <c r="J90" i="112"/>
  <c r="J89" i="112"/>
  <c r="J88" i="112"/>
  <c r="J87" i="112"/>
  <c r="J86" i="112"/>
  <c r="J85" i="112"/>
  <c r="J84" i="112"/>
  <c r="J83" i="112"/>
  <c r="J82" i="112"/>
  <c r="J81" i="112"/>
  <c r="J80" i="112"/>
  <c r="J79" i="112"/>
  <c r="J78" i="112"/>
  <c r="J75" i="112"/>
  <c r="J74" i="112"/>
  <c r="J73" i="112"/>
  <c r="J72" i="112"/>
  <c r="J71" i="112"/>
  <c r="J70" i="112"/>
  <c r="J69" i="112"/>
  <c r="J68" i="112"/>
  <c r="J67" i="112"/>
  <c r="J66" i="112"/>
  <c r="J65" i="112"/>
  <c r="J64" i="112"/>
  <c r="J63" i="112"/>
  <c r="J55" i="112"/>
  <c r="J47" i="112"/>
  <c r="J46" i="112"/>
  <c r="J32" i="112"/>
  <c r="J31" i="112"/>
  <c r="J20" i="112"/>
  <c r="I90" i="112"/>
  <c r="I89" i="112"/>
  <c r="I88" i="112"/>
  <c r="I87" i="112"/>
  <c r="I86" i="112"/>
  <c r="I85" i="112"/>
  <c r="I84" i="112"/>
  <c r="K84" i="112" s="1"/>
  <c r="I83" i="112"/>
  <c r="I82" i="112"/>
  <c r="I81" i="112"/>
  <c r="I80" i="112"/>
  <c r="K80" i="112" s="1"/>
  <c r="I79" i="112"/>
  <c r="I78" i="112"/>
  <c r="I75" i="112"/>
  <c r="I74" i="112"/>
  <c r="K74" i="112" s="1"/>
  <c r="I73" i="112"/>
  <c r="I72" i="112"/>
  <c r="I71" i="112"/>
  <c r="I70" i="112"/>
  <c r="K70" i="112" s="1"/>
  <c r="I69" i="112"/>
  <c r="I68" i="112"/>
  <c r="I67" i="112"/>
  <c r="I66" i="112"/>
  <c r="I65" i="112"/>
  <c r="K65" i="112" s="1"/>
  <c r="I64" i="112"/>
  <c r="I63" i="112"/>
  <c r="I59" i="112"/>
  <c r="I58" i="112"/>
  <c r="I57" i="112"/>
  <c r="I56" i="112"/>
  <c r="I55" i="112"/>
  <c r="I54" i="112"/>
  <c r="I53" i="112"/>
  <c r="I52" i="112"/>
  <c r="I51" i="112"/>
  <c r="I50" i="112"/>
  <c r="I49" i="112"/>
  <c r="I48" i="112"/>
  <c r="I47" i="112"/>
  <c r="I46" i="112"/>
  <c r="I45" i="112"/>
  <c r="I44" i="112"/>
  <c r="I43" i="112"/>
  <c r="I42" i="112"/>
  <c r="I41" i="112"/>
  <c r="I28" i="112"/>
  <c r="I21" i="112"/>
  <c r="I20" i="112"/>
  <c r="I19" i="112"/>
  <c r="I18" i="112"/>
  <c r="D42" i="112"/>
  <c r="D41" i="112"/>
  <c r="E21" i="112"/>
  <c r="D13" i="112"/>
  <c r="D21" i="112"/>
  <c r="D25" i="112" s="1"/>
  <c r="D26" i="112" s="1"/>
  <c r="D18" i="112"/>
  <c r="J92" i="111"/>
  <c r="J94" i="111" s="1"/>
  <c r="I25" i="114" s="1"/>
  <c r="K25" i="114" s="1"/>
  <c r="J91" i="111"/>
  <c r="I23" i="114" s="1"/>
  <c r="J49" i="111"/>
  <c r="J48" i="111"/>
  <c r="J47" i="111"/>
  <c r="J46" i="111"/>
  <c r="J45" i="111"/>
  <c r="J40" i="111"/>
  <c r="J39" i="111"/>
  <c r="J38" i="111"/>
  <c r="J37" i="111"/>
  <c r="J36" i="111"/>
  <c r="J35" i="111"/>
  <c r="J34" i="111"/>
  <c r="J33" i="111"/>
  <c r="J32" i="111"/>
  <c r="J31" i="111"/>
  <c r="J60" i="111" s="1"/>
  <c r="J61" i="111" s="1"/>
  <c r="I34" i="113" s="1"/>
  <c r="J30" i="111"/>
  <c r="J29" i="111"/>
  <c r="J28" i="111"/>
  <c r="J55" i="111" s="1"/>
  <c r="I28" i="113" s="1"/>
  <c r="K5" i="111"/>
  <c r="K6" i="111"/>
  <c r="K7" i="111"/>
  <c r="K8" i="111"/>
  <c r="K9" i="111"/>
  <c r="K10" i="111"/>
  <c r="K11" i="111"/>
  <c r="K12" i="111"/>
  <c r="K13" i="111"/>
  <c r="K14" i="111"/>
  <c r="K15" i="111"/>
  <c r="K16" i="111"/>
  <c r="K17" i="111"/>
  <c r="K18" i="111"/>
  <c r="K19" i="111"/>
  <c r="K20" i="111"/>
  <c r="K21" i="111"/>
  <c r="K22" i="111"/>
  <c r="K23" i="111"/>
  <c r="K4" i="111"/>
  <c r="K3" i="111"/>
  <c r="L3" i="111" s="1"/>
  <c r="K2" i="111"/>
  <c r="J5" i="111"/>
  <c r="L5" i="111" s="1"/>
  <c r="J6" i="111"/>
  <c r="J7" i="111"/>
  <c r="J8" i="111"/>
  <c r="J9" i="111"/>
  <c r="J10" i="111"/>
  <c r="L10" i="111" s="1"/>
  <c r="J11" i="111"/>
  <c r="J12" i="111"/>
  <c r="J13" i="111"/>
  <c r="J14" i="111"/>
  <c r="J15" i="111"/>
  <c r="J16" i="111"/>
  <c r="J17" i="111"/>
  <c r="J18" i="111"/>
  <c r="J19" i="111"/>
  <c r="J20" i="111"/>
  <c r="J21" i="111"/>
  <c r="L21" i="111" s="1"/>
  <c r="J22" i="111"/>
  <c r="J23" i="111"/>
  <c r="J4" i="111"/>
  <c r="J3" i="111"/>
  <c r="J2" i="111"/>
  <c r="F38" i="111"/>
  <c r="W362" i="103" s="1"/>
  <c r="E34" i="111"/>
  <c r="V358" i="103" s="1"/>
  <c r="E33" i="111"/>
  <c r="V357" i="103" s="1"/>
  <c r="E21" i="111"/>
  <c r="V345" i="103" s="1"/>
  <c r="E20" i="111"/>
  <c r="V344" i="103" s="1"/>
  <c r="E12" i="111"/>
  <c r="V336" i="103" s="1"/>
  <c r="E10" i="111"/>
  <c r="V334" i="103" s="1"/>
  <c r="E9" i="111"/>
  <c r="V333" i="103" s="1"/>
  <c r="D4" i="111"/>
  <c r="U328" i="103" s="1"/>
  <c r="F72" i="111"/>
  <c r="D97" i="113" s="1"/>
  <c r="F97" i="113" s="1"/>
  <c r="F71" i="111"/>
  <c r="D98" i="113" s="1"/>
  <c r="F98" i="113" s="1"/>
  <c r="E72" i="111"/>
  <c r="D78" i="112" s="1"/>
  <c r="E71" i="111"/>
  <c r="D83" i="113" s="1"/>
  <c r="D69" i="111"/>
  <c r="U393" i="103" s="1"/>
  <c r="D67" i="111"/>
  <c r="U391" i="103" s="1"/>
  <c r="D62" i="111"/>
  <c r="U386" i="103" s="1"/>
  <c r="D61" i="111"/>
  <c r="U385" i="103" s="1"/>
  <c r="D47" i="111"/>
  <c r="D31" i="111"/>
  <c r="D29" i="111"/>
  <c r="U353" i="103" s="1"/>
  <c r="D28" i="111"/>
  <c r="D26" i="111"/>
  <c r="U350" i="103" s="1"/>
  <c r="D25" i="111"/>
  <c r="U349" i="103" s="1"/>
  <c r="D24" i="111"/>
  <c r="U348" i="103" s="1"/>
  <c r="D23" i="111"/>
  <c r="U347" i="103" s="1"/>
  <c r="D22" i="111"/>
  <c r="U346" i="103" s="1"/>
  <c r="D21" i="111"/>
  <c r="D20" i="111"/>
  <c r="U344" i="103" s="1"/>
  <c r="D19" i="111"/>
  <c r="U343" i="103" s="1"/>
  <c r="D18" i="111"/>
  <c r="U342" i="103" s="1"/>
  <c r="D17" i="111"/>
  <c r="U341" i="103" s="1"/>
  <c r="D16" i="111"/>
  <c r="U340" i="103" s="1"/>
  <c r="D15" i="111"/>
  <c r="U339" i="103" s="1"/>
  <c r="D14" i="111"/>
  <c r="U338" i="103" s="1"/>
  <c r="D13" i="111"/>
  <c r="U337" i="103" s="1"/>
  <c r="D12" i="111"/>
  <c r="D11" i="111"/>
  <c r="U335" i="103" s="1"/>
  <c r="D10" i="111"/>
  <c r="U334" i="103" s="1"/>
  <c r="D9" i="111"/>
  <c r="U333" i="103" s="1"/>
  <c r="D8" i="111"/>
  <c r="U332" i="103" s="1"/>
  <c r="D7" i="111"/>
  <c r="D6" i="111"/>
  <c r="U330" i="103" s="1"/>
  <c r="D5" i="111"/>
  <c r="U329" i="103" s="1"/>
  <c r="D3" i="111"/>
  <c r="U327" i="103" s="1"/>
  <c r="F30" i="114"/>
  <c r="K105" i="113"/>
  <c r="K104" i="113"/>
  <c r="K103" i="113"/>
  <c r="K102" i="113"/>
  <c r="K94" i="113"/>
  <c r="K93" i="113"/>
  <c r="K84" i="113"/>
  <c r="K79" i="113"/>
  <c r="K77" i="113"/>
  <c r="K76" i="113"/>
  <c r="K75" i="113"/>
  <c r="K22" i="113"/>
  <c r="K81" i="112"/>
  <c r="L18" i="111"/>
  <c r="L14" i="111"/>
  <c r="L12" i="111"/>
  <c r="K47" i="110"/>
  <c r="I13" i="113" s="1"/>
  <c r="K13" i="113" s="1"/>
  <c r="K26" i="110"/>
  <c r="K25" i="110"/>
  <c r="J25" i="111" s="1"/>
  <c r="J63" i="111" s="1"/>
  <c r="I35" i="113" s="1"/>
  <c r="R3" i="110"/>
  <c r="P18" i="112" a="1"/>
  <c r="E15" i="111" l="1"/>
  <c r="V339" i="103" s="1"/>
  <c r="J44" i="112"/>
  <c r="J41" i="112"/>
  <c r="E26" i="111"/>
  <c r="V350" i="103" s="1"/>
  <c r="E35" i="111"/>
  <c r="V359" i="103" s="1"/>
  <c r="J89" i="111"/>
  <c r="I21" i="114" s="1"/>
  <c r="K21" i="114" s="1"/>
  <c r="G80" i="111"/>
  <c r="X404" i="103" s="1"/>
  <c r="U331" i="103"/>
  <c r="I38" i="112"/>
  <c r="U371" i="103"/>
  <c r="G76" i="111"/>
  <c r="X400" i="103" s="1"/>
  <c r="G81" i="111"/>
  <c r="X405" i="103" s="1"/>
  <c r="G74" i="111"/>
  <c r="X398" i="103" s="1"/>
  <c r="D32" i="111"/>
  <c r="U352" i="103"/>
  <c r="D36" i="111"/>
  <c r="U355" i="103"/>
  <c r="K47" i="112"/>
  <c r="D27" i="111"/>
  <c r="D20" i="112"/>
  <c r="U345" i="103"/>
  <c r="F74" i="111"/>
  <c r="W398" i="103" s="1"/>
  <c r="D46" i="111"/>
  <c r="U336" i="103"/>
  <c r="E19" i="111"/>
  <c r="V343" i="103" s="1"/>
  <c r="J53" i="112"/>
  <c r="E17" i="111"/>
  <c r="V341" i="103" s="1"/>
  <c r="E8" i="111"/>
  <c r="V332" i="103" s="1"/>
  <c r="J30" i="112"/>
  <c r="E32" i="111"/>
  <c r="V356" i="103" s="1"/>
  <c r="E38" i="111"/>
  <c r="V362" i="103" s="1"/>
  <c r="E11" i="111"/>
  <c r="V335" i="103" s="1"/>
  <c r="J33" i="112"/>
  <c r="E14" i="111"/>
  <c r="V338" i="103" s="1"/>
  <c r="J42" i="112"/>
  <c r="K42" i="112" s="1"/>
  <c r="E29" i="111"/>
  <c r="V353" i="103" s="1"/>
  <c r="E23" i="112"/>
  <c r="J112" i="113"/>
  <c r="J23" i="112"/>
  <c r="J25" i="112"/>
  <c r="J94" i="112"/>
  <c r="J24" i="113"/>
  <c r="E18" i="111"/>
  <c r="V342" i="103" s="1"/>
  <c r="E41" i="112"/>
  <c r="M7" i="112"/>
  <c r="E22" i="111"/>
  <c r="V346" i="103" s="1"/>
  <c r="J22" i="114"/>
  <c r="E6" i="111"/>
  <c r="V330" i="103" s="1"/>
  <c r="E24" i="111"/>
  <c r="V348" i="103" s="1"/>
  <c r="E18" i="112"/>
  <c r="F18" i="112" s="1"/>
  <c r="E25" i="111"/>
  <c r="V349" i="103" s="1"/>
  <c r="E24" i="112"/>
  <c r="D63" i="111"/>
  <c r="U387" i="103" s="1"/>
  <c r="E13" i="111"/>
  <c r="V337" i="103" s="1"/>
  <c r="E63" i="112"/>
  <c r="J36" i="112"/>
  <c r="E113" i="113"/>
  <c r="U13" i="112"/>
  <c r="U10" i="112"/>
  <c r="U14" i="112"/>
  <c r="U16" i="112"/>
  <c r="U8" i="112"/>
  <c r="P18" i="112"/>
  <c r="E29" i="114"/>
  <c r="D70" i="111"/>
  <c r="U394" i="103" s="1"/>
  <c r="D71" i="111"/>
  <c r="U395" i="103" s="1"/>
  <c r="E26" i="112"/>
  <c r="D66" i="111"/>
  <c r="U390" i="103" s="1"/>
  <c r="E13" i="114"/>
  <c r="F13" i="114" s="1"/>
  <c r="E78" i="112"/>
  <c r="F78" i="112" s="1"/>
  <c r="E64" i="112"/>
  <c r="F42" i="112"/>
  <c r="F13" i="112"/>
  <c r="D39" i="111"/>
  <c r="D38" i="111"/>
  <c r="F76" i="111"/>
  <c r="W400" i="103" s="1"/>
  <c r="J33" i="113"/>
  <c r="E28" i="111"/>
  <c r="V352" i="103" s="1"/>
  <c r="J29" i="114"/>
  <c r="K52" i="112"/>
  <c r="J34" i="112"/>
  <c r="J35" i="112"/>
  <c r="J19" i="112"/>
  <c r="K19" i="112" s="1"/>
  <c r="J14" i="114"/>
  <c r="K14" i="114" s="1"/>
  <c r="J38" i="112"/>
  <c r="K38" i="112" s="1"/>
  <c r="E41" i="111"/>
  <c r="V365" i="103" s="1"/>
  <c r="K51" i="112"/>
  <c r="S133" i="103"/>
  <c r="D69" i="103"/>
  <c r="O134" i="103"/>
  <c r="I48" i="103"/>
  <c r="K113" i="113"/>
  <c r="I22" i="114"/>
  <c r="I24" i="114"/>
  <c r="K24" i="114" s="1"/>
  <c r="K68" i="112"/>
  <c r="K46" i="112"/>
  <c r="K23" i="114"/>
  <c r="K17" i="114"/>
  <c r="K30" i="114"/>
  <c r="K20" i="114"/>
  <c r="K16" i="114"/>
  <c r="F21" i="114"/>
  <c r="K82" i="112"/>
  <c r="K90" i="112"/>
  <c r="K48" i="112"/>
  <c r="K67" i="112"/>
  <c r="K85" i="112"/>
  <c r="J62" i="111"/>
  <c r="K28" i="112"/>
  <c r="K21" i="112"/>
  <c r="K55" i="112"/>
  <c r="K66" i="112"/>
  <c r="K106" i="113"/>
  <c r="L20" i="111"/>
  <c r="J52" i="111"/>
  <c r="J59" i="111" s="1"/>
  <c r="I25" i="113" s="1"/>
  <c r="K25" i="113" s="1"/>
  <c r="K41" i="112"/>
  <c r="F83" i="113"/>
  <c r="K21" i="113"/>
  <c r="K100" i="113"/>
  <c r="D63" i="112"/>
  <c r="D79" i="112"/>
  <c r="F79" i="112" s="1"/>
  <c r="K13" i="112"/>
  <c r="K50" i="112"/>
  <c r="K79" i="112"/>
  <c r="K87" i="112"/>
  <c r="D82" i="113"/>
  <c r="F82" i="113" s="1"/>
  <c r="K65" i="113"/>
  <c r="K73" i="113"/>
  <c r="K83" i="113"/>
  <c r="D55" i="111"/>
  <c r="U379" i="103" s="1"/>
  <c r="D64" i="112"/>
  <c r="K88" i="112"/>
  <c r="I32" i="113"/>
  <c r="K32" i="113" s="1"/>
  <c r="D20" i="113"/>
  <c r="F20" i="113" s="1"/>
  <c r="L23" i="111"/>
  <c r="L15" i="111"/>
  <c r="L7" i="111"/>
  <c r="K71" i="112"/>
  <c r="K85" i="113"/>
  <c r="L4" i="111"/>
  <c r="L16" i="111"/>
  <c r="L8" i="111"/>
  <c r="L22" i="111"/>
  <c r="L6" i="111"/>
  <c r="F26" i="112"/>
  <c r="K53" i="112"/>
  <c r="L13" i="111"/>
  <c r="K20" i="112"/>
  <c r="K54" i="112"/>
  <c r="K73" i="112"/>
  <c r="K18" i="113"/>
  <c r="D23" i="114"/>
  <c r="D24" i="114" s="1"/>
  <c r="F24" i="114" s="1"/>
  <c r="D13" i="113"/>
  <c r="D18" i="113" s="1"/>
  <c r="D21" i="113" s="1"/>
  <c r="D23" i="113" s="1"/>
  <c r="F23" i="113" s="1"/>
  <c r="K101" i="113"/>
  <c r="K97" i="113"/>
  <c r="K92" i="113"/>
  <c r="K78" i="113"/>
  <c r="K74" i="113"/>
  <c r="K68" i="113"/>
  <c r="K35" i="113"/>
  <c r="K34" i="113"/>
  <c r="K28" i="113"/>
  <c r="K19" i="113"/>
  <c r="K98" i="113"/>
  <c r="K88" i="113"/>
  <c r="K71" i="113"/>
  <c r="K20" i="113"/>
  <c r="F110" i="113"/>
  <c r="J54" i="111"/>
  <c r="D23" i="112"/>
  <c r="K89" i="112"/>
  <c r="K86" i="112"/>
  <c r="K78" i="112"/>
  <c r="K75" i="112"/>
  <c r="K72" i="112"/>
  <c r="K69" i="112"/>
  <c r="K64" i="112"/>
  <c r="K63" i="112"/>
  <c r="K59" i="112"/>
  <c r="K58" i="112"/>
  <c r="K56" i="112"/>
  <c r="K45" i="112"/>
  <c r="K44" i="112"/>
  <c r="K43" i="112"/>
  <c r="K22" i="112"/>
  <c r="K18" i="112"/>
  <c r="K83" i="112"/>
  <c r="K57" i="112"/>
  <c r="K49" i="112"/>
  <c r="F20" i="112"/>
  <c r="F41" i="112"/>
  <c r="F21" i="112"/>
  <c r="F25" i="112"/>
  <c r="L19" i="111"/>
  <c r="L11" i="111"/>
  <c r="L2" i="111"/>
  <c r="L9" i="111"/>
  <c r="L17" i="111"/>
  <c r="D30" i="111"/>
  <c r="U354" i="103" s="1"/>
  <c r="D49" i="111"/>
  <c r="U373" i="103" s="1"/>
  <c r="J90" i="111"/>
  <c r="L96" i="111" s="1"/>
  <c r="K96" i="111" s="1"/>
  <c r="J96" i="111" s="1"/>
  <c r="I29" i="114" s="1"/>
  <c r="F95" i="113"/>
  <c r="D40" i="111"/>
  <c r="D41" i="111"/>
  <c r="J93" i="111"/>
  <c r="D33" i="111"/>
  <c r="D34" i="111"/>
  <c r="U358" i="103" s="1"/>
  <c r="J57" i="111"/>
  <c r="J56" i="111"/>
  <c r="I29" i="113" s="1"/>
  <c r="K29" i="113" s="1"/>
  <c r="D37" i="111"/>
  <c r="U361" i="103" s="1"/>
  <c r="K29" i="114" l="1"/>
  <c r="F64" i="112"/>
  <c r="U351" i="103"/>
  <c r="I29" i="112"/>
  <c r="K29" i="112" s="1"/>
  <c r="I25" i="112"/>
  <c r="U360" i="103"/>
  <c r="I31" i="112"/>
  <c r="K31" i="112" s="1"/>
  <c r="U357" i="103"/>
  <c r="I30" i="112"/>
  <c r="K30" i="112" s="1"/>
  <c r="U356" i="103"/>
  <c r="I15" i="114"/>
  <c r="K15" i="114" s="1"/>
  <c r="U364" i="103"/>
  <c r="I36" i="112"/>
  <c r="K36" i="112" s="1"/>
  <c r="U365" i="103"/>
  <c r="K34" i="112"/>
  <c r="K25" i="112"/>
  <c r="I37" i="112"/>
  <c r="K37" i="112" s="1"/>
  <c r="U370" i="103"/>
  <c r="I26" i="112"/>
  <c r="K26" i="112" s="1"/>
  <c r="U362" i="103"/>
  <c r="I34" i="112"/>
  <c r="U363" i="103"/>
  <c r="F23" i="112"/>
  <c r="F63" i="112"/>
  <c r="R7" i="112"/>
  <c r="K22" i="114"/>
  <c r="S18" i="112"/>
  <c r="U18" i="112" s="1"/>
  <c r="D43" i="111"/>
  <c r="U367" i="103" s="1"/>
  <c r="D51" i="111"/>
  <c r="U375" i="103" s="1"/>
  <c r="F91" i="112"/>
  <c r="F61" i="112"/>
  <c r="G50" i="111"/>
  <c r="O135" i="103"/>
  <c r="N134" i="103"/>
  <c r="D29" i="114"/>
  <c r="F29" i="114" s="1"/>
  <c r="F32" i="114" s="1"/>
  <c r="K26" i="114"/>
  <c r="G39" i="114" s="1"/>
  <c r="K32" i="114"/>
  <c r="G40" i="114" s="1"/>
  <c r="F76" i="112"/>
  <c r="J53" i="111"/>
  <c r="I23" i="113" s="1"/>
  <c r="K23" i="113" s="1"/>
  <c r="F21" i="113"/>
  <c r="J58" i="111"/>
  <c r="I31" i="113" s="1"/>
  <c r="K31" i="113" s="1"/>
  <c r="I30" i="113"/>
  <c r="K30" i="113" s="1"/>
  <c r="D35" i="111"/>
  <c r="I32" i="112"/>
  <c r="K32" i="112" s="1"/>
  <c r="D52" i="111"/>
  <c r="U376" i="103" s="1"/>
  <c r="I23" i="112"/>
  <c r="K23" i="112" s="1"/>
  <c r="I33" i="113"/>
  <c r="K33" i="113" s="1"/>
  <c r="I35" i="112"/>
  <c r="K35" i="112" s="1"/>
  <c r="K95" i="113"/>
  <c r="F23" i="114"/>
  <c r="F26" i="114" s="1"/>
  <c r="G34" i="114" s="1"/>
  <c r="G36" i="114" s="1"/>
  <c r="D25" i="113"/>
  <c r="D39" i="113" s="1"/>
  <c r="F39" i="113" s="1"/>
  <c r="F80" i="113" s="1"/>
  <c r="F18" i="113"/>
  <c r="F13" i="113"/>
  <c r="I26" i="113"/>
  <c r="K26" i="113" s="1"/>
  <c r="K110" i="113"/>
  <c r="K91" i="112"/>
  <c r="K76" i="112"/>
  <c r="K61" i="112"/>
  <c r="J26" i="111"/>
  <c r="D50" i="111"/>
  <c r="U374" i="103" s="1"/>
  <c r="D42" i="111"/>
  <c r="U366" i="103" s="1"/>
  <c r="F36" i="111"/>
  <c r="I27" i="113" l="1"/>
  <c r="K27" i="113" s="1"/>
  <c r="I27" i="112"/>
  <c r="K27" i="112" s="1"/>
  <c r="I33" i="112"/>
  <c r="K33" i="112" s="1"/>
  <c r="U359" i="103"/>
  <c r="D24" i="112"/>
  <c r="F24" i="112" s="1"/>
  <c r="F39" i="112" s="1"/>
  <c r="W360" i="103"/>
  <c r="F52" i="111"/>
  <c r="X374" i="103"/>
  <c r="F48" i="111"/>
  <c r="D24" i="113"/>
  <c r="F24" i="113" s="1"/>
  <c r="J65" i="111"/>
  <c r="D112" i="113" s="1"/>
  <c r="F112" i="113" s="1"/>
  <c r="S134" i="103"/>
  <c r="N135" i="103"/>
  <c r="O136" i="103"/>
  <c r="D93" i="112"/>
  <c r="F93" i="112" s="1"/>
  <c r="G41" i="114"/>
  <c r="F25" i="113"/>
  <c r="I24" i="112"/>
  <c r="K24" i="112" s="1"/>
  <c r="K39" i="112" s="1"/>
  <c r="I24" i="113"/>
  <c r="K24" i="113" s="1"/>
  <c r="L26" i="111"/>
  <c r="I39" i="113"/>
  <c r="K39" i="113" s="1"/>
  <c r="K80" i="113" s="1"/>
  <c r="K37" i="113"/>
  <c r="G35" i="114"/>
  <c r="G37" i="114" s="1"/>
  <c r="D14" i="112"/>
  <c r="F14" i="112" s="1"/>
  <c r="F16" i="112" s="1"/>
  <c r="E52" i="111" l="1"/>
  <c r="W376" i="103"/>
  <c r="F37" i="113"/>
  <c r="D14" i="113"/>
  <c r="F14" i="113" s="1"/>
  <c r="F16" i="113" s="1"/>
  <c r="W372" i="103"/>
  <c r="D48" i="111"/>
  <c r="I14" i="112" s="1"/>
  <c r="K14" i="112" s="1"/>
  <c r="K16" i="112" s="1"/>
  <c r="G102" i="112" s="1"/>
  <c r="N136" i="103"/>
  <c r="O137" i="103"/>
  <c r="S135" i="103"/>
  <c r="G43" i="114"/>
  <c r="J64" i="111" l="1"/>
  <c r="I14" i="113" s="1"/>
  <c r="K14" i="113" s="1"/>
  <c r="K16" i="113" s="1"/>
  <c r="G121" i="113" s="1"/>
  <c r="F78" i="111"/>
  <c r="U372" i="103"/>
  <c r="V376" i="103"/>
  <c r="I93" i="112"/>
  <c r="K93" i="112" s="1"/>
  <c r="I112" i="113"/>
  <c r="K112" i="113" s="1"/>
  <c r="K114" i="113" s="1"/>
  <c r="G122" i="113" s="1"/>
  <c r="G123" i="113" s="1"/>
  <c r="N137" i="103"/>
  <c r="O138" i="103"/>
  <c r="S136" i="103"/>
  <c r="W402" i="103" l="1"/>
  <c r="E75" i="111"/>
  <c r="E74" i="111"/>
  <c r="S137" i="103"/>
  <c r="O139" i="103"/>
  <c r="N138" i="103"/>
  <c r="V398" i="103" l="1"/>
  <c r="D94" i="112"/>
  <c r="F94" i="112" s="1"/>
  <c r="F95" i="112" s="1"/>
  <c r="G98" i="112" s="1"/>
  <c r="D53" i="111"/>
  <c r="D113" i="113"/>
  <c r="F113" i="113" s="1"/>
  <c r="F114" i="113" s="1"/>
  <c r="G117" i="113" s="1"/>
  <c r="V399" i="103"/>
  <c r="S138" i="103"/>
  <c r="O140" i="103"/>
  <c r="N139" i="103"/>
  <c r="XFD66" i="68"/>
  <c r="J52" i="68"/>
  <c r="I52" i="68"/>
  <c r="K52" i="68" s="1"/>
  <c r="K51" i="68"/>
  <c r="J51" i="68"/>
  <c r="I51" i="68"/>
  <c r="J50" i="68"/>
  <c r="K50" i="68" s="1"/>
  <c r="I50" i="68"/>
  <c r="J49" i="68"/>
  <c r="I49" i="68"/>
  <c r="K49" i="68" s="1"/>
  <c r="F48" i="68"/>
  <c r="J47" i="68"/>
  <c r="I47" i="68"/>
  <c r="K47" i="68" s="1"/>
  <c r="K53" i="68" s="1"/>
  <c r="G61" i="68" s="1"/>
  <c r="E47" i="68"/>
  <c r="J44" i="68"/>
  <c r="I44" i="68"/>
  <c r="K44" i="68" s="1"/>
  <c r="J43" i="68"/>
  <c r="I43" i="68"/>
  <c r="K43" i="68" s="1"/>
  <c r="K42" i="68"/>
  <c r="J42" i="68"/>
  <c r="I42" i="68"/>
  <c r="J41" i="68"/>
  <c r="E41" i="68"/>
  <c r="D41" i="68"/>
  <c r="F41" i="68" s="1"/>
  <c r="F45" i="68" s="1"/>
  <c r="J38" i="68"/>
  <c r="K38" i="68" s="1"/>
  <c r="I38" i="68"/>
  <c r="J37" i="68"/>
  <c r="I37" i="68"/>
  <c r="K37" i="68" s="1"/>
  <c r="J36" i="68"/>
  <c r="I36" i="68"/>
  <c r="K36" i="68" s="1"/>
  <c r="J35" i="68"/>
  <c r="F35" i="68"/>
  <c r="F39" i="68" s="1"/>
  <c r="E35" i="68"/>
  <c r="D35" i="68"/>
  <c r="K32" i="68"/>
  <c r="J32" i="68"/>
  <c r="I32" i="68"/>
  <c r="K31" i="68"/>
  <c r="J31" i="68"/>
  <c r="I31" i="68"/>
  <c r="J30" i="68"/>
  <c r="I30" i="68"/>
  <c r="K30" i="68" s="1"/>
  <c r="J29" i="68"/>
  <c r="F29" i="68"/>
  <c r="F33" i="68" s="1"/>
  <c r="E29" i="68"/>
  <c r="D29" i="68"/>
  <c r="J26" i="68"/>
  <c r="I26" i="68"/>
  <c r="K26" i="68" s="1"/>
  <c r="J25" i="68"/>
  <c r="I25" i="68"/>
  <c r="K25" i="68" s="1"/>
  <c r="J24" i="68"/>
  <c r="K24" i="68" s="1"/>
  <c r="I24" i="68"/>
  <c r="J23" i="68"/>
  <c r="E23" i="68"/>
  <c r="D23" i="68"/>
  <c r="F23" i="68" s="1"/>
  <c r="F27" i="68" s="1"/>
  <c r="J20" i="68"/>
  <c r="I20" i="68"/>
  <c r="K20" i="68" s="1"/>
  <c r="J19" i="68"/>
  <c r="I19" i="68"/>
  <c r="K19" i="68" s="1"/>
  <c r="F19" i="68"/>
  <c r="E19" i="68"/>
  <c r="D19" i="68"/>
  <c r="K18" i="68"/>
  <c r="J18" i="68"/>
  <c r="I18" i="68"/>
  <c r="J17" i="68"/>
  <c r="I17" i="68"/>
  <c r="K17" i="68" s="1"/>
  <c r="E17" i="68"/>
  <c r="J16" i="68"/>
  <c r="I16" i="68"/>
  <c r="K16" i="68" s="1"/>
  <c r="J15" i="68"/>
  <c r="K15" i="68" s="1"/>
  <c r="I15" i="68"/>
  <c r="J14" i="68"/>
  <c r="I14" i="68"/>
  <c r="K14" i="68" s="1"/>
  <c r="E14" i="68"/>
  <c r="D14" i="68"/>
  <c r="F14" i="68" s="1"/>
  <c r="K13" i="68"/>
  <c r="K21" i="68" s="1"/>
  <c r="J13" i="68"/>
  <c r="I13" i="68"/>
  <c r="F13" i="68"/>
  <c r="E13" i="68"/>
  <c r="D13" i="68"/>
  <c r="K21" i="66"/>
  <c r="K53" i="66"/>
  <c r="I52" i="66"/>
  <c r="J51" i="66"/>
  <c r="J50" i="66"/>
  <c r="I51" i="66"/>
  <c r="I50" i="66"/>
  <c r="J13" i="66"/>
  <c r="J14" i="66"/>
  <c r="I16" i="66"/>
  <c r="I15" i="66"/>
  <c r="D14" i="66"/>
  <c r="I14" i="66" s="1"/>
  <c r="K14" i="66" s="1"/>
  <c r="I13" i="66"/>
  <c r="K13" i="66" s="1"/>
  <c r="D13" i="66"/>
  <c r="F13" i="66" s="1"/>
  <c r="XFD66" i="66"/>
  <c r="J52" i="66"/>
  <c r="K52" i="66"/>
  <c r="K50" i="66"/>
  <c r="J49" i="66"/>
  <c r="K49" i="66" s="1"/>
  <c r="I49" i="66"/>
  <c r="F48" i="66"/>
  <c r="J47" i="66"/>
  <c r="I47" i="66"/>
  <c r="K47" i="66" s="1"/>
  <c r="E47" i="66"/>
  <c r="J44" i="66"/>
  <c r="I44" i="66"/>
  <c r="K44" i="66" s="1"/>
  <c r="J43" i="66"/>
  <c r="I43" i="66"/>
  <c r="J42" i="66"/>
  <c r="K42" i="66" s="1"/>
  <c r="I42" i="66"/>
  <c r="J41" i="66"/>
  <c r="E41" i="66"/>
  <c r="F41" i="66" s="1"/>
  <c r="F45" i="66" s="1"/>
  <c r="D41" i="66"/>
  <c r="K38" i="66"/>
  <c r="J38" i="66"/>
  <c r="I38" i="66"/>
  <c r="J37" i="66"/>
  <c r="K37" i="66" s="1"/>
  <c r="I37" i="66"/>
  <c r="K36" i="66"/>
  <c r="J36" i="66"/>
  <c r="I36" i="66"/>
  <c r="J35" i="66"/>
  <c r="F35" i="66"/>
  <c r="F39" i="66" s="1"/>
  <c r="E35" i="66"/>
  <c r="D35" i="66"/>
  <c r="J32" i="66"/>
  <c r="I32" i="66"/>
  <c r="K32" i="66" s="1"/>
  <c r="K31" i="66"/>
  <c r="J31" i="66"/>
  <c r="I31" i="66"/>
  <c r="J30" i="66"/>
  <c r="I30" i="66"/>
  <c r="K30" i="66" s="1"/>
  <c r="J29" i="66"/>
  <c r="E29" i="66"/>
  <c r="F29" i="66" s="1"/>
  <c r="F33" i="66" s="1"/>
  <c r="D29" i="66"/>
  <c r="J26" i="66"/>
  <c r="I26" i="66"/>
  <c r="K26" i="66" s="1"/>
  <c r="J25" i="66"/>
  <c r="K25" i="66" s="1"/>
  <c r="I25" i="66"/>
  <c r="K24" i="66"/>
  <c r="J24" i="66"/>
  <c r="I24" i="66"/>
  <c r="J23" i="66"/>
  <c r="E23" i="66"/>
  <c r="D23" i="66"/>
  <c r="F23" i="66" s="1"/>
  <c r="F27" i="66" s="1"/>
  <c r="J20" i="66"/>
  <c r="K20" i="66" s="1"/>
  <c r="I20" i="66"/>
  <c r="J19" i="66"/>
  <c r="I19" i="66"/>
  <c r="K19" i="66" s="1"/>
  <c r="E19" i="66"/>
  <c r="D19" i="66"/>
  <c r="F19" i="66" s="1"/>
  <c r="K18" i="66"/>
  <c r="J18" i="66"/>
  <c r="I18" i="66"/>
  <c r="J17" i="66"/>
  <c r="I17" i="66"/>
  <c r="K17" i="66" s="1"/>
  <c r="E17" i="66"/>
  <c r="D17" i="66"/>
  <c r="F17" i="66" s="1"/>
  <c r="J16" i="66"/>
  <c r="K16" i="66" s="1"/>
  <c r="K15" i="66"/>
  <c r="J15" i="66"/>
  <c r="E14" i="66"/>
  <c r="E13" i="66"/>
  <c r="F21" i="67"/>
  <c r="K21" i="67"/>
  <c r="J51" i="67"/>
  <c r="J50" i="67"/>
  <c r="K50" i="67" s="1"/>
  <c r="I51" i="67"/>
  <c r="I50" i="67"/>
  <c r="E13" i="67"/>
  <c r="J13" i="67"/>
  <c r="I16" i="67"/>
  <c r="I15" i="67"/>
  <c r="D14" i="67"/>
  <c r="I13" i="67"/>
  <c r="K13" i="67" s="1"/>
  <c r="D13" i="67"/>
  <c r="XFD66" i="67"/>
  <c r="J52" i="67"/>
  <c r="K52" i="67" s="1"/>
  <c r="I52" i="67"/>
  <c r="K51" i="67"/>
  <c r="K49" i="67"/>
  <c r="J49" i="67"/>
  <c r="I49" i="67"/>
  <c r="F48" i="67"/>
  <c r="J47" i="67"/>
  <c r="I47" i="67"/>
  <c r="K47" i="67" s="1"/>
  <c r="E47" i="67"/>
  <c r="J44" i="67"/>
  <c r="I44" i="67"/>
  <c r="K44" i="67" s="1"/>
  <c r="J43" i="67"/>
  <c r="K43" i="67" s="1"/>
  <c r="I43" i="67"/>
  <c r="J42" i="67"/>
  <c r="K42" i="67" s="1"/>
  <c r="I42" i="67"/>
  <c r="J41" i="67"/>
  <c r="F41" i="67"/>
  <c r="F45" i="67" s="1"/>
  <c r="E41" i="67"/>
  <c r="D41" i="67"/>
  <c r="J38" i="67"/>
  <c r="I38" i="67"/>
  <c r="K38" i="67" s="1"/>
  <c r="K37" i="67"/>
  <c r="J37" i="67"/>
  <c r="I37" i="67"/>
  <c r="K36" i="67"/>
  <c r="J36" i="67"/>
  <c r="I36" i="67"/>
  <c r="J35" i="67"/>
  <c r="E35" i="67"/>
  <c r="D35" i="67"/>
  <c r="F35" i="67" s="1"/>
  <c r="F39" i="67" s="1"/>
  <c r="J32" i="67"/>
  <c r="I32" i="67"/>
  <c r="K32" i="67" s="1"/>
  <c r="J31" i="67"/>
  <c r="I31" i="67"/>
  <c r="K31" i="67" s="1"/>
  <c r="J30" i="67"/>
  <c r="I30" i="67"/>
  <c r="K30" i="67" s="1"/>
  <c r="J29" i="67"/>
  <c r="E29" i="67"/>
  <c r="F29" i="67" s="1"/>
  <c r="F33" i="67" s="1"/>
  <c r="D29" i="67"/>
  <c r="J26" i="67"/>
  <c r="K26" i="67" s="1"/>
  <c r="I26" i="67"/>
  <c r="J25" i="67"/>
  <c r="K25" i="67" s="1"/>
  <c r="I25" i="67"/>
  <c r="J24" i="67"/>
  <c r="I24" i="67"/>
  <c r="K24" i="67" s="1"/>
  <c r="J23" i="67"/>
  <c r="F23" i="67"/>
  <c r="F27" i="67" s="1"/>
  <c r="E23" i="67"/>
  <c r="D23" i="67"/>
  <c r="K20" i="67"/>
  <c r="J20" i="67"/>
  <c r="I20" i="67"/>
  <c r="K19" i="67"/>
  <c r="J19" i="67"/>
  <c r="I19" i="67"/>
  <c r="E19" i="67"/>
  <c r="D19" i="67"/>
  <c r="F19" i="67" s="1"/>
  <c r="J18" i="67"/>
  <c r="I18" i="67"/>
  <c r="K18" i="67" s="1"/>
  <c r="J17" i="67"/>
  <c r="I17" i="67"/>
  <c r="K17" i="67" s="1"/>
  <c r="E17" i="67"/>
  <c r="J16" i="67"/>
  <c r="K16" i="67" s="1"/>
  <c r="J15" i="67"/>
  <c r="K15" i="67"/>
  <c r="J14" i="67"/>
  <c r="I14" i="67"/>
  <c r="K14" i="67" s="1"/>
  <c r="F14" i="67"/>
  <c r="E14" i="67"/>
  <c r="I52" i="65"/>
  <c r="J51" i="65"/>
  <c r="J50" i="65"/>
  <c r="K50" i="65" s="1"/>
  <c r="I51" i="65"/>
  <c r="I50" i="65"/>
  <c r="I16" i="65"/>
  <c r="I15" i="65"/>
  <c r="D14" i="65"/>
  <c r="I13" i="65"/>
  <c r="K13" i="65" s="1"/>
  <c r="D13" i="65"/>
  <c r="XFD66" i="65"/>
  <c r="J52" i="65"/>
  <c r="K52" i="65" s="1"/>
  <c r="K49" i="65"/>
  <c r="J49" i="65"/>
  <c r="I49" i="65"/>
  <c r="F48" i="65"/>
  <c r="K47" i="65"/>
  <c r="J47" i="65"/>
  <c r="I47" i="65"/>
  <c r="E47" i="65"/>
  <c r="K44" i="65"/>
  <c r="J44" i="65"/>
  <c r="I44" i="65"/>
  <c r="J43" i="65"/>
  <c r="K43" i="65" s="1"/>
  <c r="I43" i="65"/>
  <c r="J42" i="65"/>
  <c r="I42" i="65"/>
  <c r="K42" i="65" s="1"/>
  <c r="J41" i="65"/>
  <c r="F41" i="65"/>
  <c r="F45" i="65" s="1"/>
  <c r="E41" i="65"/>
  <c r="D41" i="65"/>
  <c r="J38" i="65"/>
  <c r="I38" i="65"/>
  <c r="K38" i="65" s="1"/>
  <c r="K37" i="65"/>
  <c r="J37" i="65"/>
  <c r="I37" i="65"/>
  <c r="J36" i="65"/>
  <c r="K36" i="65" s="1"/>
  <c r="I36" i="65"/>
  <c r="J35" i="65"/>
  <c r="E35" i="65"/>
  <c r="D35" i="65"/>
  <c r="F35" i="65" s="1"/>
  <c r="F39" i="65" s="1"/>
  <c r="J32" i="65"/>
  <c r="I32" i="65"/>
  <c r="K32" i="65" s="1"/>
  <c r="J31" i="65"/>
  <c r="I31" i="65"/>
  <c r="K31" i="65" s="1"/>
  <c r="K30" i="65"/>
  <c r="J30" i="65"/>
  <c r="I30" i="65"/>
  <c r="J29" i="65"/>
  <c r="E29" i="65"/>
  <c r="D29" i="65"/>
  <c r="F29" i="65" s="1"/>
  <c r="F33" i="65" s="1"/>
  <c r="J26" i="65"/>
  <c r="K26" i="65" s="1"/>
  <c r="I26" i="65"/>
  <c r="J25" i="65"/>
  <c r="I25" i="65"/>
  <c r="K25" i="65" s="1"/>
  <c r="J24" i="65"/>
  <c r="I24" i="65"/>
  <c r="K24" i="65" s="1"/>
  <c r="J23" i="65"/>
  <c r="E23" i="65"/>
  <c r="F23" i="65" s="1"/>
  <c r="F27" i="65" s="1"/>
  <c r="D23" i="65"/>
  <c r="K20" i="65"/>
  <c r="J20" i="65"/>
  <c r="I20" i="65"/>
  <c r="J19" i="65"/>
  <c r="K19" i="65" s="1"/>
  <c r="I19" i="65"/>
  <c r="E19" i="65"/>
  <c r="D19" i="65"/>
  <c r="F19" i="65" s="1"/>
  <c r="J18" i="65"/>
  <c r="I18" i="65"/>
  <c r="K18" i="65" s="1"/>
  <c r="K17" i="65"/>
  <c r="J17" i="65"/>
  <c r="I17" i="65"/>
  <c r="E17" i="65"/>
  <c r="F17" i="65" s="1"/>
  <c r="D17" i="65"/>
  <c r="J16" i="65"/>
  <c r="K16" i="65"/>
  <c r="J15" i="65"/>
  <c r="K15" i="65"/>
  <c r="J14" i="65"/>
  <c r="E14" i="65"/>
  <c r="F14" i="65" s="1"/>
  <c r="I14" i="65"/>
  <c r="K14" i="65" s="1"/>
  <c r="J13" i="65"/>
  <c r="E13" i="65"/>
  <c r="I52" i="64"/>
  <c r="J51" i="64"/>
  <c r="K51" i="64" s="1"/>
  <c r="J50" i="64"/>
  <c r="I51" i="64"/>
  <c r="I50" i="64"/>
  <c r="J13" i="64"/>
  <c r="E13" i="64"/>
  <c r="XFD66" i="64"/>
  <c r="J52" i="64"/>
  <c r="K52" i="64"/>
  <c r="J49" i="64"/>
  <c r="K49" i="64" s="1"/>
  <c r="I49" i="64"/>
  <c r="F48" i="64"/>
  <c r="J47" i="64"/>
  <c r="I47" i="64"/>
  <c r="K47" i="64" s="1"/>
  <c r="E47" i="64"/>
  <c r="J44" i="64"/>
  <c r="I44" i="64"/>
  <c r="K44" i="64" s="1"/>
  <c r="J43" i="64"/>
  <c r="I43" i="64"/>
  <c r="K43" i="64" s="1"/>
  <c r="J42" i="64"/>
  <c r="I42" i="64"/>
  <c r="K42" i="64" s="1"/>
  <c r="J41" i="64"/>
  <c r="E41" i="64"/>
  <c r="F41" i="64" s="1"/>
  <c r="F45" i="64" s="1"/>
  <c r="D41" i="64"/>
  <c r="K38" i="64"/>
  <c r="J38" i="64"/>
  <c r="I38" i="64"/>
  <c r="J37" i="64"/>
  <c r="K37" i="64" s="1"/>
  <c r="I37" i="64"/>
  <c r="K36" i="64"/>
  <c r="J36" i="64"/>
  <c r="I36" i="64"/>
  <c r="J35" i="64"/>
  <c r="F35" i="64"/>
  <c r="F39" i="64" s="1"/>
  <c r="E35" i="64"/>
  <c r="D35" i="64"/>
  <c r="J32" i="64"/>
  <c r="I32" i="64"/>
  <c r="K32" i="64" s="1"/>
  <c r="K31" i="64"/>
  <c r="J31" i="64"/>
  <c r="I31" i="64"/>
  <c r="J30" i="64"/>
  <c r="I30" i="64"/>
  <c r="K30" i="64" s="1"/>
  <c r="J29" i="64"/>
  <c r="E29" i="64"/>
  <c r="D29" i="64"/>
  <c r="F29" i="64" s="1"/>
  <c r="F33" i="64" s="1"/>
  <c r="J26" i="64"/>
  <c r="I26" i="64"/>
  <c r="K26" i="64" s="1"/>
  <c r="J25" i="64"/>
  <c r="I25" i="64"/>
  <c r="K25" i="64" s="1"/>
  <c r="K24" i="64"/>
  <c r="J24" i="64"/>
  <c r="I24" i="64"/>
  <c r="J23" i="64"/>
  <c r="F23" i="64"/>
  <c r="F27" i="64" s="1"/>
  <c r="E23" i="64"/>
  <c r="D23" i="64"/>
  <c r="J20" i="64"/>
  <c r="K20" i="64" s="1"/>
  <c r="I20" i="64"/>
  <c r="K19" i="64"/>
  <c r="J19" i="64"/>
  <c r="I19" i="64"/>
  <c r="E19" i="64"/>
  <c r="D19" i="64"/>
  <c r="F19" i="64" s="1"/>
  <c r="K18" i="64"/>
  <c r="J18" i="64"/>
  <c r="I18" i="64"/>
  <c r="J17" i="64"/>
  <c r="I17" i="64"/>
  <c r="K17" i="64" s="1"/>
  <c r="E17" i="64"/>
  <c r="D17" i="64"/>
  <c r="F17" i="64" s="1"/>
  <c r="J16" i="64"/>
  <c r="K16" i="64" s="1"/>
  <c r="I16" i="64"/>
  <c r="K15" i="64"/>
  <c r="J15" i="64"/>
  <c r="I15" i="64"/>
  <c r="J14" i="64"/>
  <c r="F14" i="64"/>
  <c r="E14" i="64"/>
  <c r="D14" i="64"/>
  <c r="I14" i="64" s="1"/>
  <c r="K14" i="64" s="1"/>
  <c r="I13" i="64"/>
  <c r="K13" i="64" s="1"/>
  <c r="F13" i="64"/>
  <c r="F21" i="64" s="1"/>
  <c r="D13" i="64"/>
  <c r="K53" i="63"/>
  <c r="J51" i="63"/>
  <c r="K51" i="63" s="1"/>
  <c r="J50" i="63"/>
  <c r="K50" i="63" s="1"/>
  <c r="I52" i="63"/>
  <c r="I51" i="63"/>
  <c r="I50" i="63"/>
  <c r="K21" i="63"/>
  <c r="F21" i="63"/>
  <c r="J14" i="63"/>
  <c r="J13" i="63"/>
  <c r="I16" i="63"/>
  <c r="K16" i="63" s="1"/>
  <c r="I15" i="63"/>
  <c r="D14" i="63"/>
  <c r="I14" i="63" s="1"/>
  <c r="K14" i="63" s="1"/>
  <c r="I13" i="63"/>
  <c r="D13" i="63"/>
  <c r="XFD66" i="63"/>
  <c r="J52" i="63"/>
  <c r="K52" i="63"/>
  <c r="J49" i="63"/>
  <c r="I49" i="63"/>
  <c r="K49" i="63" s="1"/>
  <c r="F48" i="63"/>
  <c r="J47" i="63"/>
  <c r="K47" i="63" s="1"/>
  <c r="I47" i="63"/>
  <c r="E47" i="63"/>
  <c r="J44" i="63"/>
  <c r="K44" i="63" s="1"/>
  <c r="I44" i="63"/>
  <c r="J43" i="63"/>
  <c r="I43" i="63"/>
  <c r="K43" i="63" s="1"/>
  <c r="K42" i="63"/>
  <c r="J42" i="63"/>
  <c r="I42" i="63"/>
  <c r="J41" i="63"/>
  <c r="E41" i="63"/>
  <c r="D41" i="63"/>
  <c r="F41" i="63" s="1"/>
  <c r="F45" i="63" s="1"/>
  <c r="K38" i="63"/>
  <c r="J38" i="63"/>
  <c r="I38" i="63"/>
  <c r="J37" i="63"/>
  <c r="I37" i="63"/>
  <c r="K37" i="63" s="1"/>
  <c r="J36" i="63"/>
  <c r="I36" i="63"/>
  <c r="K36" i="63" s="1"/>
  <c r="J35" i="63"/>
  <c r="E35" i="63"/>
  <c r="D35" i="63"/>
  <c r="F35" i="63" s="1"/>
  <c r="F39" i="63" s="1"/>
  <c r="K32" i="63"/>
  <c r="J32" i="63"/>
  <c r="I32" i="63"/>
  <c r="J31" i="63"/>
  <c r="I31" i="63"/>
  <c r="K31" i="63" s="1"/>
  <c r="J30" i="63"/>
  <c r="K30" i="63" s="1"/>
  <c r="I30" i="63"/>
  <c r="J29" i="63"/>
  <c r="F29" i="63"/>
  <c r="F33" i="63" s="1"/>
  <c r="E29" i="63"/>
  <c r="D29" i="63"/>
  <c r="J26" i="63"/>
  <c r="I26" i="63"/>
  <c r="K26" i="63" s="1"/>
  <c r="K25" i="63"/>
  <c r="J25" i="63"/>
  <c r="I25" i="63"/>
  <c r="K24" i="63"/>
  <c r="J24" i="63"/>
  <c r="I24" i="63"/>
  <c r="J23" i="63"/>
  <c r="E23" i="63"/>
  <c r="D23" i="63"/>
  <c r="F23" i="63" s="1"/>
  <c r="F27" i="63" s="1"/>
  <c r="J20" i="63"/>
  <c r="I20" i="63"/>
  <c r="K20" i="63" s="1"/>
  <c r="J19" i="63"/>
  <c r="I19" i="63"/>
  <c r="K19" i="63" s="1"/>
  <c r="E19" i="63"/>
  <c r="F19" i="63" s="1"/>
  <c r="D19" i="63"/>
  <c r="J18" i="63"/>
  <c r="I18" i="63"/>
  <c r="K18" i="63" s="1"/>
  <c r="J17" i="63"/>
  <c r="K17" i="63" s="1"/>
  <c r="I17" i="63"/>
  <c r="D17" i="63" s="1"/>
  <c r="F17" i="63" s="1"/>
  <c r="E17" i="63"/>
  <c r="J16" i="63"/>
  <c r="K15" i="63"/>
  <c r="J15" i="63"/>
  <c r="E14" i="63"/>
  <c r="E13" i="63"/>
  <c r="K21" i="62"/>
  <c r="I52" i="62"/>
  <c r="K52" i="62" s="1"/>
  <c r="J51" i="62"/>
  <c r="J50" i="62"/>
  <c r="I51" i="62"/>
  <c r="I50" i="62"/>
  <c r="I16" i="62"/>
  <c r="I15" i="62"/>
  <c r="J14" i="62"/>
  <c r="J13" i="62"/>
  <c r="I13" i="62"/>
  <c r="D14" i="62"/>
  <c r="I14" i="62" s="1"/>
  <c r="E13" i="62"/>
  <c r="D13" i="62"/>
  <c r="XFD66" i="62"/>
  <c r="J52" i="62"/>
  <c r="K51" i="62"/>
  <c r="J49" i="62"/>
  <c r="K49" i="62" s="1"/>
  <c r="I49" i="62"/>
  <c r="F48" i="62"/>
  <c r="J47" i="62"/>
  <c r="I47" i="62"/>
  <c r="K47" i="62" s="1"/>
  <c r="E47" i="62"/>
  <c r="J44" i="62"/>
  <c r="I44" i="62"/>
  <c r="K44" i="62" s="1"/>
  <c r="J43" i="62"/>
  <c r="I43" i="62"/>
  <c r="J42" i="62"/>
  <c r="I42" i="62"/>
  <c r="K42" i="62" s="1"/>
  <c r="J41" i="62"/>
  <c r="E41" i="62"/>
  <c r="F41" i="62" s="1"/>
  <c r="F45" i="62" s="1"/>
  <c r="D41" i="62"/>
  <c r="J38" i="62"/>
  <c r="K38" i="62" s="1"/>
  <c r="I38" i="62"/>
  <c r="J37" i="62"/>
  <c r="K37" i="62" s="1"/>
  <c r="I37" i="62"/>
  <c r="K36" i="62"/>
  <c r="J36" i="62"/>
  <c r="I36" i="62"/>
  <c r="J35" i="62"/>
  <c r="F35" i="62"/>
  <c r="F39" i="62" s="1"/>
  <c r="E35" i="62"/>
  <c r="D35" i="62"/>
  <c r="J32" i="62"/>
  <c r="I32" i="62"/>
  <c r="K32" i="62" s="1"/>
  <c r="K31" i="62"/>
  <c r="J31" i="62"/>
  <c r="I31" i="62"/>
  <c r="J30" i="62"/>
  <c r="I30" i="62"/>
  <c r="K30" i="62" s="1"/>
  <c r="J29" i="62"/>
  <c r="E29" i="62"/>
  <c r="D29" i="62"/>
  <c r="F29" i="62" s="1"/>
  <c r="F33" i="62" s="1"/>
  <c r="J26" i="62"/>
  <c r="I26" i="62"/>
  <c r="K26" i="62" s="1"/>
  <c r="J25" i="62"/>
  <c r="I25" i="62"/>
  <c r="K25" i="62" s="1"/>
  <c r="J24" i="62"/>
  <c r="K24" i="62" s="1"/>
  <c r="I24" i="62"/>
  <c r="J23" i="62"/>
  <c r="F23" i="62"/>
  <c r="F27" i="62" s="1"/>
  <c r="E23" i="62"/>
  <c r="D23" i="62"/>
  <c r="J20" i="62"/>
  <c r="K20" i="62" s="1"/>
  <c r="I20" i="62"/>
  <c r="K19" i="62"/>
  <c r="J19" i="62"/>
  <c r="I19" i="62"/>
  <c r="E19" i="62"/>
  <c r="D19" i="62"/>
  <c r="F19" i="62" s="1"/>
  <c r="K18" i="62"/>
  <c r="J18" i="62"/>
  <c r="I18" i="62"/>
  <c r="J17" i="62"/>
  <c r="I17" i="62"/>
  <c r="K17" i="62" s="1"/>
  <c r="E17" i="62"/>
  <c r="D17" i="62"/>
  <c r="F17" i="62" s="1"/>
  <c r="J16" i="62"/>
  <c r="K16" i="62"/>
  <c r="J15" i="62"/>
  <c r="F14" i="62"/>
  <c r="E14" i="62"/>
  <c r="F13" i="62"/>
  <c r="K53" i="61"/>
  <c r="J51" i="61"/>
  <c r="J50" i="61"/>
  <c r="I52" i="61"/>
  <c r="I51" i="61"/>
  <c r="I50" i="61"/>
  <c r="F21" i="61"/>
  <c r="K21" i="61"/>
  <c r="J13" i="61"/>
  <c r="E13" i="61"/>
  <c r="F13" i="61" s="1"/>
  <c r="I16" i="61"/>
  <c r="I15" i="61"/>
  <c r="D14" i="61"/>
  <c r="I14" i="61" s="1"/>
  <c r="K14" i="61" s="1"/>
  <c r="I13" i="61"/>
  <c r="D13" i="61"/>
  <c r="XFD66" i="61"/>
  <c r="J52" i="61"/>
  <c r="K52" i="61"/>
  <c r="K50" i="61"/>
  <c r="J49" i="61"/>
  <c r="I49" i="61"/>
  <c r="K49" i="61" s="1"/>
  <c r="F48" i="61"/>
  <c r="J47" i="61"/>
  <c r="I47" i="61"/>
  <c r="K47" i="61" s="1"/>
  <c r="E47" i="61"/>
  <c r="J44" i="61"/>
  <c r="I44" i="61"/>
  <c r="K44" i="61" s="1"/>
  <c r="J43" i="61"/>
  <c r="I43" i="61"/>
  <c r="K43" i="61" s="1"/>
  <c r="J42" i="61"/>
  <c r="K42" i="61" s="1"/>
  <c r="I42" i="61"/>
  <c r="J41" i="61"/>
  <c r="E41" i="61"/>
  <c r="D41" i="61"/>
  <c r="F41" i="61" s="1"/>
  <c r="F45" i="61" s="1"/>
  <c r="K38" i="61"/>
  <c r="J38" i="61"/>
  <c r="I38" i="61"/>
  <c r="J37" i="61"/>
  <c r="I37" i="61"/>
  <c r="K37" i="61" s="1"/>
  <c r="J36" i="61"/>
  <c r="I36" i="61"/>
  <c r="K36" i="61" s="1"/>
  <c r="J35" i="61"/>
  <c r="F35" i="61"/>
  <c r="F39" i="61" s="1"/>
  <c r="E35" i="61"/>
  <c r="D35" i="61"/>
  <c r="J32" i="61"/>
  <c r="K32" i="61" s="1"/>
  <c r="I32" i="61"/>
  <c r="K31" i="61"/>
  <c r="J31" i="61"/>
  <c r="I31" i="61"/>
  <c r="J30" i="61"/>
  <c r="I30" i="61"/>
  <c r="K30" i="61" s="1"/>
  <c r="J29" i="61"/>
  <c r="E29" i="61"/>
  <c r="F29" i="61" s="1"/>
  <c r="F33" i="61" s="1"/>
  <c r="D29" i="61"/>
  <c r="J26" i="61"/>
  <c r="I26" i="61"/>
  <c r="K26" i="61" s="1"/>
  <c r="J25" i="61"/>
  <c r="K25" i="61" s="1"/>
  <c r="I25" i="61"/>
  <c r="K24" i="61"/>
  <c r="J24" i="61"/>
  <c r="I24" i="61"/>
  <c r="J23" i="61"/>
  <c r="E23" i="61"/>
  <c r="D23" i="61"/>
  <c r="F23" i="61" s="1"/>
  <c r="F27" i="61" s="1"/>
  <c r="J20" i="61"/>
  <c r="I20" i="61"/>
  <c r="K20" i="61" s="1"/>
  <c r="J19" i="61"/>
  <c r="I19" i="61"/>
  <c r="K19" i="61" s="1"/>
  <c r="E19" i="61"/>
  <c r="F19" i="61" s="1"/>
  <c r="D19" i="61"/>
  <c r="K18" i="61"/>
  <c r="J18" i="61"/>
  <c r="I18" i="61"/>
  <c r="J17" i="61"/>
  <c r="I17" i="61"/>
  <c r="K17" i="61" s="1"/>
  <c r="E17" i="61"/>
  <c r="D17" i="61"/>
  <c r="F17" i="61" s="1"/>
  <c r="J16" i="61"/>
  <c r="K15" i="61"/>
  <c r="J15" i="61"/>
  <c r="J14" i="61"/>
  <c r="E14" i="61"/>
  <c r="F21" i="60"/>
  <c r="K21" i="60"/>
  <c r="K53" i="60"/>
  <c r="I52" i="60"/>
  <c r="J51" i="60"/>
  <c r="J50" i="60"/>
  <c r="I51" i="60"/>
  <c r="I50" i="60"/>
  <c r="E13" i="60"/>
  <c r="J13" i="60"/>
  <c r="K13" i="60" s="1"/>
  <c r="I16" i="60"/>
  <c r="K16" i="60" s="1"/>
  <c r="I15" i="60"/>
  <c r="D14" i="60"/>
  <c r="I13" i="60"/>
  <c r="D13" i="60"/>
  <c r="XFD66" i="60"/>
  <c r="J52" i="60"/>
  <c r="K52" i="60"/>
  <c r="J49" i="60"/>
  <c r="I49" i="60"/>
  <c r="K49" i="60" s="1"/>
  <c r="F48" i="60"/>
  <c r="J47" i="60"/>
  <c r="K47" i="60" s="1"/>
  <c r="I47" i="60"/>
  <c r="E47" i="60"/>
  <c r="J44" i="60"/>
  <c r="K44" i="60" s="1"/>
  <c r="I44" i="60"/>
  <c r="J43" i="60"/>
  <c r="I43" i="60"/>
  <c r="K42" i="60"/>
  <c r="J42" i="60"/>
  <c r="I42" i="60"/>
  <c r="J41" i="60"/>
  <c r="E41" i="60"/>
  <c r="D41" i="60"/>
  <c r="F41" i="60" s="1"/>
  <c r="F45" i="60" s="1"/>
  <c r="K38" i="60"/>
  <c r="J38" i="60"/>
  <c r="I38" i="60"/>
  <c r="J37" i="60"/>
  <c r="I37" i="60"/>
  <c r="K37" i="60" s="1"/>
  <c r="J36" i="60"/>
  <c r="I36" i="60"/>
  <c r="K36" i="60" s="1"/>
  <c r="J35" i="60"/>
  <c r="E35" i="60"/>
  <c r="F35" i="60" s="1"/>
  <c r="F39" i="60" s="1"/>
  <c r="D35" i="60"/>
  <c r="J32" i="60"/>
  <c r="I32" i="60"/>
  <c r="K32" i="60" s="1"/>
  <c r="J31" i="60"/>
  <c r="K31" i="60" s="1"/>
  <c r="I31" i="60"/>
  <c r="J30" i="60"/>
  <c r="K30" i="60" s="1"/>
  <c r="I30" i="60"/>
  <c r="J29" i="60"/>
  <c r="F29" i="60"/>
  <c r="F33" i="60" s="1"/>
  <c r="E29" i="60"/>
  <c r="D29" i="60"/>
  <c r="J26" i="60"/>
  <c r="I26" i="60"/>
  <c r="K26" i="60" s="1"/>
  <c r="K25" i="60"/>
  <c r="J25" i="60"/>
  <c r="I25" i="60"/>
  <c r="K24" i="60"/>
  <c r="J24" i="60"/>
  <c r="I24" i="60"/>
  <c r="J23" i="60"/>
  <c r="E23" i="60"/>
  <c r="D23" i="60"/>
  <c r="F23" i="60" s="1"/>
  <c r="F27" i="60" s="1"/>
  <c r="J20" i="60"/>
  <c r="I20" i="60"/>
  <c r="K20" i="60" s="1"/>
  <c r="J19" i="60"/>
  <c r="I19" i="60"/>
  <c r="K19" i="60" s="1"/>
  <c r="E19" i="60"/>
  <c r="D19" i="60"/>
  <c r="F19" i="60" s="1"/>
  <c r="J18" i="60"/>
  <c r="K18" i="60" s="1"/>
  <c r="I18" i="60"/>
  <c r="J17" i="60"/>
  <c r="K17" i="60" s="1"/>
  <c r="I17" i="60"/>
  <c r="E17" i="60"/>
  <c r="D17" i="60"/>
  <c r="F17" i="60" s="1"/>
  <c r="J16" i="60"/>
  <c r="K15" i="60"/>
  <c r="J15" i="60"/>
  <c r="J14" i="60"/>
  <c r="E14" i="60"/>
  <c r="I14" i="60"/>
  <c r="K14" i="60" s="1"/>
  <c r="F13" i="60"/>
  <c r="K53" i="59"/>
  <c r="I52" i="59"/>
  <c r="I51" i="59"/>
  <c r="J51" i="59"/>
  <c r="J50" i="59"/>
  <c r="I50" i="59"/>
  <c r="F21" i="59"/>
  <c r="K21" i="59"/>
  <c r="J13" i="59"/>
  <c r="E13" i="59"/>
  <c r="I16" i="59"/>
  <c r="I15" i="59"/>
  <c r="D14" i="59"/>
  <c r="I13" i="59"/>
  <c r="D13" i="59"/>
  <c r="XFD66" i="59"/>
  <c r="J52" i="59"/>
  <c r="K51" i="59"/>
  <c r="K50" i="59"/>
  <c r="K49" i="59"/>
  <c r="J49" i="59"/>
  <c r="I49" i="59"/>
  <c r="F48" i="59"/>
  <c r="J47" i="59"/>
  <c r="I47" i="59"/>
  <c r="K47" i="59" s="1"/>
  <c r="E47" i="59"/>
  <c r="J44" i="59"/>
  <c r="I44" i="59"/>
  <c r="K44" i="59" s="1"/>
  <c r="J43" i="59"/>
  <c r="K43" i="59" s="1"/>
  <c r="I43" i="59"/>
  <c r="J42" i="59"/>
  <c r="K42" i="59" s="1"/>
  <c r="I42" i="59"/>
  <c r="J41" i="59"/>
  <c r="F41" i="59"/>
  <c r="F45" i="59" s="1"/>
  <c r="E41" i="59"/>
  <c r="D41" i="59"/>
  <c r="J38" i="59"/>
  <c r="I38" i="59"/>
  <c r="K38" i="59" s="1"/>
  <c r="K37" i="59"/>
  <c r="J37" i="59"/>
  <c r="I37" i="59"/>
  <c r="K36" i="59"/>
  <c r="J36" i="59"/>
  <c r="I36" i="59"/>
  <c r="J35" i="59"/>
  <c r="E35" i="59"/>
  <c r="D35" i="59"/>
  <c r="F35" i="59" s="1"/>
  <c r="F39" i="59" s="1"/>
  <c r="J32" i="59"/>
  <c r="I32" i="59"/>
  <c r="K32" i="59" s="1"/>
  <c r="J31" i="59"/>
  <c r="I31" i="59"/>
  <c r="K31" i="59" s="1"/>
  <c r="J30" i="59"/>
  <c r="I30" i="59"/>
  <c r="K30" i="59" s="1"/>
  <c r="J29" i="59"/>
  <c r="E29" i="59"/>
  <c r="F29" i="59" s="1"/>
  <c r="F33" i="59" s="1"/>
  <c r="D29" i="59"/>
  <c r="J26" i="59"/>
  <c r="K26" i="59" s="1"/>
  <c r="I26" i="59"/>
  <c r="J25" i="59"/>
  <c r="K25" i="59" s="1"/>
  <c r="I25" i="59"/>
  <c r="J24" i="59"/>
  <c r="I24" i="59"/>
  <c r="K24" i="59" s="1"/>
  <c r="J23" i="59"/>
  <c r="F23" i="59"/>
  <c r="F27" i="59" s="1"/>
  <c r="E23" i="59"/>
  <c r="D23" i="59"/>
  <c r="K20" i="59"/>
  <c r="J20" i="59"/>
  <c r="I20" i="59"/>
  <c r="K19" i="59"/>
  <c r="J19" i="59"/>
  <c r="I19" i="59"/>
  <c r="E19" i="59"/>
  <c r="D19" i="59"/>
  <c r="F19" i="59" s="1"/>
  <c r="J18" i="59"/>
  <c r="I18" i="59"/>
  <c r="K18" i="59" s="1"/>
  <c r="J17" i="59"/>
  <c r="I17" i="59"/>
  <c r="K17" i="59" s="1"/>
  <c r="E17" i="59"/>
  <c r="J16" i="59"/>
  <c r="J15" i="59"/>
  <c r="K15" i="59"/>
  <c r="K14" i="59"/>
  <c r="J14" i="59"/>
  <c r="I14" i="59"/>
  <c r="F14" i="59"/>
  <c r="E14" i="59"/>
  <c r="E13" i="58"/>
  <c r="J13" i="58"/>
  <c r="K53" i="58"/>
  <c r="I52" i="58"/>
  <c r="K52" i="58" s="1"/>
  <c r="J51" i="58"/>
  <c r="K51" i="58" s="1"/>
  <c r="J50" i="58"/>
  <c r="I51" i="58"/>
  <c r="I50" i="58"/>
  <c r="J14" i="58"/>
  <c r="I16" i="58"/>
  <c r="I15" i="58"/>
  <c r="D14" i="58"/>
  <c r="I14" i="58" s="1"/>
  <c r="K14" i="58" s="1"/>
  <c r="I13" i="58"/>
  <c r="D13" i="58"/>
  <c r="XFD66" i="58"/>
  <c r="J52" i="58"/>
  <c r="J49" i="58"/>
  <c r="I49" i="58"/>
  <c r="K49" i="58" s="1"/>
  <c r="F48" i="58"/>
  <c r="J47" i="58"/>
  <c r="I47" i="58"/>
  <c r="K47" i="58" s="1"/>
  <c r="E47" i="58"/>
  <c r="J44" i="58"/>
  <c r="I44" i="58"/>
  <c r="K44" i="58" s="1"/>
  <c r="J43" i="58"/>
  <c r="I43" i="58"/>
  <c r="K42" i="58"/>
  <c r="J42" i="58"/>
  <c r="I42" i="58"/>
  <c r="J41" i="58"/>
  <c r="E41" i="58"/>
  <c r="D41" i="58"/>
  <c r="F41" i="58" s="1"/>
  <c r="F45" i="58" s="1"/>
  <c r="J38" i="58"/>
  <c r="K38" i="58" s="1"/>
  <c r="I38" i="58"/>
  <c r="J37" i="58"/>
  <c r="I37" i="58"/>
  <c r="K37" i="58" s="1"/>
  <c r="J36" i="58"/>
  <c r="I36" i="58"/>
  <c r="K36" i="58" s="1"/>
  <c r="J35" i="58"/>
  <c r="F35" i="58"/>
  <c r="F39" i="58" s="1"/>
  <c r="E35" i="58"/>
  <c r="D35" i="58"/>
  <c r="K32" i="58"/>
  <c r="J32" i="58"/>
  <c r="I32" i="58"/>
  <c r="K31" i="58"/>
  <c r="J31" i="58"/>
  <c r="I31" i="58"/>
  <c r="J30" i="58"/>
  <c r="I30" i="58"/>
  <c r="K30" i="58" s="1"/>
  <c r="J29" i="58"/>
  <c r="F29" i="58"/>
  <c r="F33" i="58" s="1"/>
  <c r="E29" i="58"/>
  <c r="D29" i="58"/>
  <c r="J26" i="58"/>
  <c r="I26" i="58"/>
  <c r="K26" i="58" s="1"/>
  <c r="K25" i="58"/>
  <c r="J25" i="58"/>
  <c r="I25" i="58"/>
  <c r="J24" i="58"/>
  <c r="K24" i="58" s="1"/>
  <c r="I24" i="58"/>
  <c r="J23" i="58"/>
  <c r="E23" i="58"/>
  <c r="D23" i="58"/>
  <c r="F23" i="58" s="1"/>
  <c r="F27" i="58" s="1"/>
  <c r="J20" i="58"/>
  <c r="I20" i="58"/>
  <c r="K20" i="58" s="1"/>
  <c r="J19" i="58"/>
  <c r="I19" i="58"/>
  <c r="K19" i="58" s="1"/>
  <c r="F19" i="58"/>
  <c r="E19" i="58"/>
  <c r="D19" i="58"/>
  <c r="K18" i="58"/>
  <c r="J18" i="58"/>
  <c r="I18" i="58"/>
  <c r="J17" i="58"/>
  <c r="I17" i="58"/>
  <c r="K17" i="58" s="1"/>
  <c r="E17" i="58"/>
  <c r="D17" i="58"/>
  <c r="F17" i="58" s="1"/>
  <c r="K16" i="58"/>
  <c r="J16" i="58"/>
  <c r="J15" i="58"/>
  <c r="K15" i="58" s="1"/>
  <c r="E14" i="58"/>
  <c r="F13" i="58"/>
  <c r="K21" i="57"/>
  <c r="K53" i="57"/>
  <c r="J51" i="57"/>
  <c r="J50" i="57"/>
  <c r="I51" i="57"/>
  <c r="I50" i="57"/>
  <c r="I52" i="57"/>
  <c r="K52" i="57" s="1"/>
  <c r="J13" i="57"/>
  <c r="E13" i="57"/>
  <c r="F13" i="57" s="1"/>
  <c r="I16" i="57"/>
  <c r="K16" i="57" s="1"/>
  <c r="I15" i="57"/>
  <c r="K15" i="57" s="1"/>
  <c r="D14" i="57"/>
  <c r="I13" i="57"/>
  <c r="D13" i="57"/>
  <c r="XFD66" i="57"/>
  <c r="J52" i="57"/>
  <c r="K50" i="57"/>
  <c r="J49" i="57"/>
  <c r="K49" i="57" s="1"/>
  <c r="I49" i="57"/>
  <c r="F48" i="57"/>
  <c r="J47" i="57"/>
  <c r="I47" i="57"/>
  <c r="K47" i="57" s="1"/>
  <c r="E47" i="57"/>
  <c r="J44" i="57"/>
  <c r="I44" i="57"/>
  <c r="K44" i="57" s="1"/>
  <c r="J43" i="57"/>
  <c r="I43" i="57"/>
  <c r="J42" i="57"/>
  <c r="I42" i="57"/>
  <c r="K42" i="57" s="1"/>
  <c r="J41" i="57"/>
  <c r="E41" i="57"/>
  <c r="D41" i="57"/>
  <c r="F41" i="57" s="1"/>
  <c r="F45" i="57" s="1"/>
  <c r="J38" i="57"/>
  <c r="I38" i="57"/>
  <c r="K38" i="57" s="1"/>
  <c r="J37" i="57"/>
  <c r="I37" i="57"/>
  <c r="K37" i="57" s="1"/>
  <c r="K36" i="57"/>
  <c r="J36" i="57"/>
  <c r="I36" i="57"/>
  <c r="J35" i="57"/>
  <c r="F35" i="57"/>
  <c r="F39" i="57" s="1"/>
  <c r="E35" i="57"/>
  <c r="D35" i="57"/>
  <c r="K32" i="57"/>
  <c r="J32" i="57"/>
  <c r="I32" i="57"/>
  <c r="K31" i="57"/>
  <c r="J31" i="57"/>
  <c r="I31" i="57"/>
  <c r="J30" i="57"/>
  <c r="I30" i="57"/>
  <c r="K30" i="57" s="1"/>
  <c r="J29" i="57"/>
  <c r="E29" i="57"/>
  <c r="D29" i="57"/>
  <c r="F29" i="57" s="1"/>
  <c r="F33" i="57" s="1"/>
  <c r="F27" i="57"/>
  <c r="J26" i="57"/>
  <c r="I26" i="57"/>
  <c r="K26" i="57" s="1"/>
  <c r="J25" i="57"/>
  <c r="I25" i="57"/>
  <c r="K25" i="57" s="1"/>
  <c r="J24" i="57"/>
  <c r="I24" i="57"/>
  <c r="K24" i="57" s="1"/>
  <c r="J23" i="57"/>
  <c r="F23" i="57"/>
  <c r="E23" i="57"/>
  <c r="D23" i="57"/>
  <c r="J20" i="57"/>
  <c r="K20" i="57" s="1"/>
  <c r="I20" i="57"/>
  <c r="K19" i="57"/>
  <c r="J19" i="57"/>
  <c r="I19" i="57"/>
  <c r="F19" i="57"/>
  <c r="E19" i="57"/>
  <c r="D19" i="57"/>
  <c r="K18" i="57"/>
  <c r="J18" i="57"/>
  <c r="I18" i="57"/>
  <c r="J17" i="57"/>
  <c r="I17" i="57"/>
  <c r="K17" i="57" s="1"/>
  <c r="E17" i="57"/>
  <c r="D17" i="57"/>
  <c r="F17" i="57" s="1"/>
  <c r="J16" i="57"/>
  <c r="J15" i="57"/>
  <c r="J14" i="57"/>
  <c r="F14" i="57"/>
  <c r="E14" i="57"/>
  <c r="I14" i="57"/>
  <c r="K14" i="57" s="1"/>
  <c r="K13" i="57"/>
  <c r="K53" i="55"/>
  <c r="J51" i="55"/>
  <c r="J50" i="55"/>
  <c r="K50" i="55" s="1"/>
  <c r="J51" i="54"/>
  <c r="J50" i="54"/>
  <c r="J51" i="53"/>
  <c r="J50" i="53"/>
  <c r="J51" i="52"/>
  <c r="J50" i="52"/>
  <c r="J51" i="51"/>
  <c r="J50" i="51"/>
  <c r="K50" i="51" s="1"/>
  <c r="J51" i="50"/>
  <c r="K51" i="50" s="1"/>
  <c r="K53" i="50" s="1"/>
  <c r="J50" i="50"/>
  <c r="J51" i="49"/>
  <c r="J50" i="49"/>
  <c r="F21" i="56"/>
  <c r="K21" i="56"/>
  <c r="K13" i="56"/>
  <c r="K53" i="56"/>
  <c r="I52" i="56"/>
  <c r="K52" i="56" s="1"/>
  <c r="J51" i="56"/>
  <c r="K51" i="56" s="1"/>
  <c r="J50" i="56"/>
  <c r="I51" i="56"/>
  <c r="I50" i="56"/>
  <c r="E13" i="56"/>
  <c r="J13" i="56"/>
  <c r="I15" i="56"/>
  <c r="I16" i="56"/>
  <c r="D14" i="56"/>
  <c r="I13" i="56"/>
  <c r="D13" i="56"/>
  <c r="XFD66" i="56"/>
  <c r="J52" i="56"/>
  <c r="J49" i="56"/>
  <c r="K49" i="56" s="1"/>
  <c r="I49" i="56"/>
  <c r="F48" i="56"/>
  <c r="K47" i="56"/>
  <c r="J47" i="56"/>
  <c r="I47" i="56"/>
  <c r="E47" i="56"/>
  <c r="K44" i="56"/>
  <c r="J44" i="56"/>
  <c r="I44" i="56"/>
  <c r="J43" i="56"/>
  <c r="I43" i="56"/>
  <c r="J42" i="56"/>
  <c r="I42" i="56"/>
  <c r="K42" i="56" s="1"/>
  <c r="J41" i="56"/>
  <c r="E41" i="56"/>
  <c r="F41" i="56" s="1"/>
  <c r="F45" i="56" s="1"/>
  <c r="D41" i="56"/>
  <c r="J38" i="56"/>
  <c r="I38" i="56"/>
  <c r="K38" i="56" s="1"/>
  <c r="J37" i="56"/>
  <c r="K37" i="56" s="1"/>
  <c r="I37" i="56"/>
  <c r="J36" i="56"/>
  <c r="K36" i="56" s="1"/>
  <c r="I36" i="56"/>
  <c r="J35" i="56"/>
  <c r="F35" i="56"/>
  <c r="F39" i="56" s="1"/>
  <c r="E35" i="56"/>
  <c r="D35" i="56"/>
  <c r="J32" i="56"/>
  <c r="I32" i="56"/>
  <c r="K32" i="56" s="1"/>
  <c r="K31" i="56"/>
  <c r="J31" i="56"/>
  <c r="I31" i="56"/>
  <c r="K30" i="56"/>
  <c r="J30" i="56"/>
  <c r="I30" i="56"/>
  <c r="J29" i="56"/>
  <c r="E29" i="56"/>
  <c r="D29" i="56"/>
  <c r="F29" i="56" s="1"/>
  <c r="F33" i="56" s="1"/>
  <c r="J26" i="56"/>
  <c r="I26" i="56"/>
  <c r="K26" i="56" s="1"/>
  <c r="J25" i="56"/>
  <c r="I25" i="56"/>
  <c r="K25" i="56" s="1"/>
  <c r="J24" i="56"/>
  <c r="I24" i="56"/>
  <c r="K24" i="56" s="1"/>
  <c r="J23" i="56"/>
  <c r="E23" i="56"/>
  <c r="F23" i="56" s="1"/>
  <c r="F27" i="56" s="1"/>
  <c r="D23" i="56"/>
  <c r="J20" i="56"/>
  <c r="K20" i="56" s="1"/>
  <c r="I20" i="56"/>
  <c r="J19" i="56"/>
  <c r="K19" i="56" s="1"/>
  <c r="I19" i="56"/>
  <c r="E19" i="56"/>
  <c r="D19" i="56"/>
  <c r="F19" i="56" s="1"/>
  <c r="K18" i="56"/>
  <c r="J18" i="56"/>
  <c r="I18" i="56"/>
  <c r="K17" i="56"/>
  <c r="J17" i="56"/>
  <c r="I17" i="56"/>
  <c r="E17" i="56"/>
  <c r="D17" i="56"/>
  <c r="F17" i="56" s="1"/>
  <c r="J16" i="56"/>
  <c r="K16" i="56"/>
  <c r="J15" i="56"/>
  <c r="K15" i="56"/>
  <c r="J14" i="56"/>
  <c r="E14" i="56"/>
  <c r="F14" i="56" s="1"/>
  <c r="I14" i="56"/>
  <c r="K14" i="56" s="1"/>
  <c r="F13" i="56"/>
  <c r="J41" i="54"/>
  <c r="J35" i="54"/>
  <c r="J29" i="54"/>
  <c r="J23" i="54"/>
  <c r="F21" i="54"/>
  <c r="K21" i="54"/>
  <c r="E13" i="54"/>
  <c r="J13" i="54"/>
  <c r="K13" i="54" s="1"/>
  <c r="J41" i="53"/>
  <c r="J35" i="53"/>
  <c r="J29" i="53"/>
  <c r="J23" i="53"/>
  <c r="F21" i="53"/>
  <c r="K21" i="53"/>
  <c r="F21" i="52"/>
  <c r="K21" i="52"/>
  <c r="E13" i="52"/>
  <c r="F21" i="51"/>
  <c r="E13" i="51"/>
  <c r="K21" i="51"/>
  <c r="J13" i="51"/>
  <c r="K13" i="51" s="1"/>
  <c r="K21" i="50"/>
  <c r="F21" i="50"/>
  <c r="E13" i="50"/>
  <c r="K21" i="49"/>
  <c r="F21" i="49"/>
  <c r="E13" i="49"/>
  <c r="E13" i="53"/>
  <c r="J13" i="53"/>
  <c r="J13" i="52"/>
  <c r="E41" i="52"/>
  <c r="F41" i="52" s="1"/>
  <c r="F45" i="52" s="1"/>
  <c r="E35" i="52"/>
  <c r="F35" i="52" s="1"/>
  <c r="F39" i="52" s="1"/>
  <c r="E29" i="52"/>
  <c r="E23" i="52"/>
  <c r="J41" i="52"/>
  <c r="J35" i="52"/>
  <c r="J29" i="52"/>
  <c r="J23" i="52"/>
  <c r="E41" i="51"/>
  <c r="F41" i="51" s="1"/>
  <c r="F45" i="51" s="1"/>
  <c r="E35" i="51"/>
  <c r="F35" i="51" s="1"/>
  <c r="F39" i="51" s="1"/>
  <c r="E29" i="51"/>
  <c r="E23" i="51"/>
  <c r="J41" i="51"/>
  <c r="J35" i="51"/>
  <c r="J29" i="51"/>
  <c r="J23" i="51"/>
  <c r="E41" i="50"/>
  <c r="E35" i="50"/>
  <c r="E29" i="50"/>
  <c r="E23" i="50"/>
  <c r="J41" i="50"/>
  <c r="J35" i="50"/>
  <c r="J29" i="50"/>
  <c r="J23" i="50"/>
  <c r="E41" i="49"/>
  <c r="E35" i="49"/>
  <c r="E29" i="49"/>
  <c r="E23" i="49"/>
  <c r="J41" i="49"/>
  <c r="J35" i="49"/>
  <c r="J29" i="49"/>
  <c r="I26" i="49"/>
  <c r="I25" i="49"/>
  <c r="I24" i="49"/>
  <c r="J23" i="49"/>
  <c r="K21" i="55"/>
  <c r="E41" i="55"/>
  <c r="D41" i="55"/>
  <c r="E35" i="55"/>
  <c r="D35" i="55"/>
  <c r="E29" i="55"/>
  <c r="D29" i="55"/>
  <c r="E23" i="55"/>
  <c r="F23" i="55" s="1"/>
  <c r="F27" i="55" s="1"/>
  <c r="D23" i="55"/>
  <c r="J41" i="55"/>
  <c r="J35" i="55"/>
  <c r="J29" i="55"/>
  <c r="I44" i="55"/>
  <c r="I43" i="55"/>
  <c r="I42" i="55"/>
  <c r="I38" i="55"/>
  <c r="I37" i="55"/>
  <c r="K37" i="55" s="1"/>
  <c r="I36" i="55"/>
  <c r="K36" i="55" s="1"/>
  <c r="I32" i="55"/>
  <c r="K32" i="55" s="1"/>
  <c r="I31" i="55"/>
  <c r="I30" i="55"/>
  <c r="I26" i="55"/>
  <c r="I25" i="55"/>
  <c r="I24" i="55"/>
  <c r="J23" i="55"/>
  <c r="E13" i="55"/>
  <c r="I16" i="55"/>
  <c r="I15" i="55"/>
  <c r="D14" i="55"/>
  <c r="J13" i="55"/>
  <c r="I13" i="55"/>
  <c r="D13" i="55"/>
  <c r="F13" i="55" s="1"/>
  <c r="XFD66" i="55"/>
  <c r="J52" i="55"/>
  <c r="I52" i="55"/>
  <c r="K52" i="55" s="1"/>
  <c r="K51" i="55"/>
  <c r="I51" i="55"/>
  <c r="I50" i="55"/>
  <c r="J49" i="55"/>
  <c r="I49" i="55"/>
  <c r="K49" i="55" s="1"/>
  <c r="F48" i="55"/>
  <c r="J47" i="55"/>
  <c r="I47" i="55"/>
  <c r="K47" i="55" s="1"/>
  <c r="E47" i="55"/>
  <c r="J44" i="55"/>
  <c r="K44" i="55"/>
  <c r="J43" i="55"/>
  <c r="K43" i="55"/>
  <c r="J42" i="55"/>
  <c r="K42" i="55" s="1"/>
  <c r="J38" i="55"/>
  <c r="K38" i="55" s="1"/>
  <c r="J37" i="55"/>
  <c r="J36" i="55"/>
  <c r="F35" i="55"/>
  <c r="F39" i="55" s="1"/>
  <c r="J32" i="55"/>
  <c r="K31" i="55"/>
  <c r="J31" i="55"/>
  <c r="J30" i="55"/>
  <c r="K30" i="55"/>
  <c r="J26" i="55"/>
  <c r="K26" i="55"/>
  <c r="J25" i="55"/>
  <c r="J24" i="55"/>
  <c r="J20" i="55"/>
  <c r="I20" i="55"/>
  <c r="K20" i="55" s="1"/>
  <c r="J19" i="55"/>
  <c r="I19" i="55"/>
  <c r="K19" i="55" s="1"/>
  <c r="F19" i="55"/>
  <c r="E19" i="55"/>
  <c r="D19" i="55"/>
  <c r="K18" i="55"/>
  <c r="J18" i="55"/>
  <c r="I18" i="55"/>
  <c r="J17" i="55"/>
  <c r="I17" i="55"/>
  <c r="K17" i="55" s="1"/>
  <c r="E17" i="55"/>
  <c r="D17" i="55"/>
  <c r="F17" i="55" s="1"/>
  <c r="J16" i="55"/>
  <c r="J15" i="55"/>
  <c r="K15" i="55" s="1"/>
  <c r="J14" i="55"/>
  <c r="E14" i="55"/>
  <c r="I14" i="55"/>
  <c r="K14" i="55" s="1"/>
  <c r="K13" i="55"/>
  <c r="I52" i="54"/>
  <c r="K52" i="54" s="1"/>
  <c r="I51" i="54"/>
  <c r="K51" i="54" s="1"/>
  <c r="I50" i="54"/>
  <c r="K50" i="54" s="1"/>
  <c r="I16" i="54"/>
  <c r="I15" i="54"/>
  <c r="D14" i="54"/>
  <c r="I13" i="54"/>
  <c r="D13" i="54"/>
  <c r="XFD66" i="54"/>
  <c r="J52" i="54"/>
  <c r="K49" i="54"/>
  <c r="J49" i="54"/>
  <c r="I49" i="54"/>
  <c r="F48" i="54"/>
  <c r="J47" i="54"/>
  <c r="I47" i="54"/>
  <c r="K47" i="54" s="1"/>
  <c r="E47" i="54"/>
  <c r="J44" i="54"/>
  <c r="I44" i="54"/>
  <c r="K44" i="54" s="1"/>
  <c r="J43" i="54"/>
  <c r="I43" i="54"/>
  <c r="K43" i="54" s="1"/>
  <c r="J42" i="54"/>
  <c r="K42" i="54" s="1"/>
  <c r="I42" i="54"/>
  <c r="F41" i="54"/>
  <c r="F45" i="54" s="1"/>
  <c r="E41" i="54"/>
  <c r="D41" i="54"/>
  <c r="J38" i="54"/>
  <c r="I38" i="54"/>
  <c r="K38" i="54" s="1"/>
  <c r="K37" i="54"/>
  <c r="J37" i="54"/>
  <c r="I37" i="54"/>
  <c r="K36" i="54"/>
  <c r="J36" i="54"/>
  <c r="I36" i="54"/>
  <c r="E35" i="54"/>
  <c r="D35" i="54"/>
  <c r="F35" i="54" s="1"/>
  <c r="F39" i="54" s="1"/>
  <c r="J32" i="54"/>
  <c r="I32" i="54"/>
  <c r="K32" i="54" s="1"/>
  <c r="J31" i="54"/>
  <c r="I31" i="54"/>
  <c r="K31" i="54" s="1"/>
  <c r="J30" i="54"/>
  <c r="I30" i="54"/>
  <c r="K30" i="54" s="1"/>
  <c r="E29" i="54"/>
  <c r="D29" i="54"/>
  <c r="F29" i="54" s="1"/>
  <c r="F33" i="54" s="1"/>
  <c r="J26" i="54"/>
  <c r="K26" i="54" s="1"/>
  <c r="I26" i="54"/>
  <c r="K25" i="54"/>
  <c r="J25" i="54"/>
  <c r="I25" i="54"/>
  <c r="J24" i="54"/>
  <c r="I24" i="54"/>
  <c r="K24" i="54" s="1"/>
  <c r="E23" i="54"/>
  <c r="D23" i="54"/>
  <c r="F23" i="54" s="1"/>
  <c r="F27" i="54" s="1"/>
  <c r="K20" i="54"/>
  <c r="J20" i="54"/>
  <c r="I20" i="54"/>
  <c r="J19" i="54"/>
  <c r="I19" i="54"/>
  <c r="K19" i="54" s="1"/>
  <c r="E19" i="54"/>
  <c r="D19" i="54"/>
  <c r="F19" i="54" s="1"/>
  <c r="J18" i="54"/>
  <c r="I18" i="54"/>
  <c r="K18" i="54" s="1"/>
  <c r="J17" i="54"/>
  <c r="I17" i="54"/>
  <c r="K17" i="54" s="1"/>
  <c r="E17" i="54"/>
  <c r="F17" i="54" s="1"/>
  <c r="D17" i="54"/>
  <c r="K16" i="54"/>
  <c r="J16" i="54"/>
  <c r="J15" i="54"/>
  <c r="K15" i="54"/>
  <c r="J14" i="54"/>
  <c r="I14" i="54"/>
  <c r="K14" i="54" s="1"/>
  <c r="F14" i="54"/>
  <c r="E14" i="54"/>
  <c r="I52" i="53"/>
  <c r="K52" i="53" s="1"/>
  <c r="I51" i="53"/>
  <c r="K51" i="53" s="1"/>
  <c r="I50" i="53"/>
  <c r="I16" i="53"/>
  <c r="K16" i="53" s="1"/>
  <c r="I15" i="53"/>
  <c r="D14" i="53"/>
  <c r="I13" i="53"/>
  <c r="K13" i="53" s="1"/>
  <c r="D13" i="53"/>
  <c r="F13" i="53" s="1"/>
  <c r="XFD66" i="53"/>
  <c r="J52" i="53"/>
  <c r="J49" i="53"/>
  <c r="I49" i="53"/>
  <c r="K49" i="53" s="1"/>
  <c r="F48" i="53"/>
  <c r="J47" i="53"/>
  <c r="I47" i="53"/>
  <c r="K47" i="53" s="1"/>
  <c r="E47" i="53"/>
  <c r="J44" i="53"/>
  <c r="I44" i="53"/>
  <c r="K44" i="53" s="1"/>
  <c r="J43" i="53"/>
  <c r="I43" i="53"/>
  <c r="K43" i="53" s="1"/>
  <c r="K42" i="53"/>
  <c r="J42" i="53"/>
  <c r="I42" i="53"/>
  <c r="E41" i="53"/>
  <c r="D41" i="53"/>
  <c r="F41" i="53" s="1"/>
  <c r="F45" i="53" s="1"/>
  <c r="J38" i="53"/>
  <c r="I38" i="53"/>
  <c r="K38" i="53" s="1"/>
  <c r="J37" i="53"/>
  <c r="I37" i="53"/>
  <c r="K37" i="53" s="1"/>
  <c r="K36" i="53"/>
  <c r="J36" i="53"/>
  <c r="I36" i="53"/>
  <c r="F35" i="53"/>
  <c r="F39" i="53" s="1"/>
  <c r="E35" i="53"/>
  <c r="D35" i="53"/>
  <c r="K32" i="53"/>
  <c r="J32" i="53"/>
  <c r="I32" i="53"/>
  <c r="K31" i="53"/>
  <c r="J31" i="53"/>
  <c r="I31" i="53"/>
  <c r="J30" i="53"/>
  <c r="I30" i="53"/>
  <c r="K30" i="53" s="1"/>
  <c r="E29" i="53"/>
  <c r="D29" i="53"/>
  <c r="F29" i="53" s="1"/>
  <c r="F33" i="53" s="1"/>
  <c r="J26" i="53"/>
  <c r="I26" i="53"/>
  <c r="K26" i="53" s="1"/>
  <c r="K25" i="53"/>
  <c r="J25" i="53"/>
  <c r="I25" i="53"/>
  <c r="J24" i="53"/>
  <c r="I24" i="53"/>
  <c r="K24" i="53" s="1"/>
  <c r="E23" i="53"/>
  <c r="D23" i="53"/>
  <c r="F23" i="53" s="1"/>
  <c r="F27" i="53" s="1"/>
  <c r="J20" i="53"/>
  <c r="I20" i="53"/>
  <c r="K20" i="53" s="1"/>
  <c r="K19" i="53"/>
  <c r="J19" i="53"/>
  <c r="I19" i="53"/>
  <c r="F19" i="53"/>
  <c r="E19" i="53"/>
  <c r="D19" i="53"/>
  <c r="K18" i="53"/>
  <c r="J18" i="53"/>
  <c r="I18" i="53"/>
  <c r="J17" i="53"/>
  <c r="I17" i="53"/>
  <c r="K17" i="53" s="1"/>
  <c r="E17" i="53"/>
  <c r="D17" i="53"/>
  <c r="F17" i="53" s="1"/>
  <c r="J16" i="53"/>
  <c r="J15" i="53"/>
  <c r="K15" i="53"/>
  <c r="J14" i="53"/>
  <c r="I14" i="53"/>
  <c r="K14" i="53" s="1"/>
  <c r="F14" i="53"/>
  <c r="E14" i="53"/>
  <c r="J13" i="50"/>
  <c r="J13" i="49"/>
  <c r="I52" i="52"/>
  <c r="F40" i="44"/>
  <c r="F41" i="44"/>
  <c r="F42" i="44"/>
  <c r="F43" i="44"/>
  <c r="F44" i="44"/>
  <c r="F48" i="44"/>
  <c r="F49" i="44"/>
  <c r="F50" i="44"/>
  <c r="F51" i="44"/>
  <c r="F35" i="44"/>
  <c r="F36" i="44"/>
  <c r="F37" i="44"/>
  <c r="F34" i="44"/>
  <c r="K52" i="52" s="1"/>
  <c r="I51" i="52"/>
  <c r="K51" i="52" s="1"/>
  <c r="I50" i="52"/>
  <c r="I16" i="52"/>
  <c r="K16" i="52" s="1"/>
  <c r="I15" i="52"/>
  <c r="D14" i="52"/>
  <c r="I14" i="52" s="1"/>
  <c r="I13" i="52"/>
  <c r="D13" i="52"/>
  <c r="F13" i="52" s="1"/>
  <c r="XFD66" i="52"/>
  <c r="J52" i="52"/>
  <c r="J49" i="52"/>
  <c r="K49" i="52" s="1"/>
  <c r="I49" i="52"/>
  <c r="F48" i="52"/>
  <c r="J47" i="52"/>
  <c r="I47" i="52"/>
  <c r="K47" i="52" s="1"/>
  <c r="E47" i="52"/>
  <c r="J44" i="52"/>
  <c r="I44" i="52"/>
  <c r="K44" i="52" s="1"/>
  <c r="J43" i="52"/>
  <c r="I43" i="52"/>
  <c r="K43" i="52" s="1"/>
  <c r="K42" i="52"/>
  <c r="J42" i="52"/>
  <c r="I42" i="52"/>
  <c r="D41" i="52"/>
  <c r="J38" i="52"/>
  <c r="K38" i="52" s="1"/>
  <c r="I38" i="52"/>
  <c r="J37" i="52"/>
  <c r="K37" i="52" s="1"/>
  <c r="I37" i="52"/>
  <c r="J36" i="52"/>
  <c r="I36" i="52"/>
  <c r="K36" i="52" s="1"/>
  <c r="D35" i="52"/>
  <c r="J32" i="52"/>
  <c r="I32" i="52"/>
  <c r="K32" i="52" s="1"/>
  <c r="K31" i="52"/>
  <c r="J31" i="52"/>
  <c r="I31" i="52"/>
  <c r="J30" i="52"/>
  <c r="I30" i="52"/>
  <c r="K30" i="52" s="1"/>
  <c r="D29" i="52"/>
  <c r="J26" i="52"/>
  <c r="I26" i="52"/>
  <c r="K26" i="52" s="1"/>
  <c r="K25" i="52"/>
  <c r="J25" i="52"/>
  <c r="I25" i="52"/>
  <c r="J24" i="52"/>
  <c r="K24" i="52" s="1"/>
  <c r="I24" i="52"/>
  <c r="D23" i="52"/>
  <c r="F23" i="52" s="1"/>
  <c r="F27" i="52" s="1"/>
  <c r="J20" i="52"/>
  <c r="K20" i="52" s="1"/>
  <c r="I20" i="52"/>
  <c r="J19" i="52"/>
  <c r="I19" i="52"/>
  <c r="K19" i="52" s="1"/>
  <c r="E19" i="52"/>
  <c r="D19" i="52"/>
  <c r="F19" i="52" s="1"/>
  <c r="K18" i="52"/>
  <c r="J18" i="52"/>
  <c r="I18" i="52"/>
  <c r="J17" i="52"/>
  <c r="I17" i="52"/>
  <c r="K17" i="52" s="1"/>
  <c r="E17" i="52"/>
  <c r="D17" i="52"/>
  <c r="F17" i="52" s="1"/>
  <c r="J16" i="52"/>
  <c r="J15" i="52"/>
  <c r="J14" i="52"/>
  <c r="E14" i="52"/>
  <c r="K13" i="52"/>
  <c r="J52" i="50"/>
  <c r="I52" i="51"/>
  <c r="K52" i="51" s="1"/>
  <c r="J52" i="51"/>
  <c r="I51" i="51"/>
  <c r="I50" i="51"/>
  <c r="I16" i="51"/>
  <c r="I15" i="51"/>
  <c r="J14" i="50"/>
  <c r="J14" i="51"/>
  <c r="D14" i="51"/>
  <c r="I13" i="51"/>
  <c r="D13" i="51"/>
  <c r="XFD66" i="51"/>
  <c r="J49" i="51"/>
  <c r="K49" i="51" s="1"/>
  <c r="I49" i="51"/>
  <c r="F48" i="51"/>
  <c r="J47" i="51"/>
  <c r="I47" i="51"/>
  <c r="K47" i="51" s="1"/>
  <c r="E47" i="51"/>
  <c r="J44" i="51"/>
  <c r="I44" i="51"/>
  <c r="K44" i="51" s="1"/>
  <c r="J43" i="51"/>
  <c r="I43" i="51"/>
  <c r="J42" i="51"/>
  <c r="K42" i="51" s="1"/>
  <c r="I42" i="51"/>
  <c r="D41" i="51"/>
  <c r="J38" i="51"/>
  <c r="I38" i="51"/>
  <c r="K38" i="51" s="1"/>
  <c r="J37" i="51"/>
  <c r="K37" i="51" s="1"/>
  <c r="I37" i="51"/>
  <c r="K36" i="51"/>
  <c r="J36" i="51"/>
  <c r="I36" i="51"/>
  <c r="D35" i="51"/>
  <c r="J32" i="51"/>
  <c r="I32" i="51"/>
  <c r="K32" i="51" s="1"/>
  <c r="K31" i="51"/>
  <c r="J31" i="51"/>
  <c r="I31" i="51"/>
  <c r="J30" i="51"/>
  <c r="I30" i="51"/>
  <c r="K30" i="51" s="1"/>
  <c r="D29" i="51"/>
  <c r="F29" i="51" s="1"/>
  <c r="F33" i="51" s="1"/>
  <c r="J26" i="51"/>
  <c r="I26" i="51"/>
  <c r="K26" i="51" s="1"/>
  <c r="K25" i="51"/>
  <c r="J25" i="51"/>
  <c r="I25" i="51"/>
  <c r="J24" i="51"/>
  <c r="I24" i="51"/>
  <c r="K24" i="51" s="1"/>
  <c r="D23" i="51"/>
  <c r="F23" i="51" s="1"/>
  <c r="F27" i="51" s="1"/>
  <c r="J20" i="51"/>
  <c r="K20" i="51" s="1"/>
  <c r="I20" i="51"/>
  <c r="K19" i="51"/>
  <c r="J19" i="51"/>
  <c r="I19" i="51"/>
  <c r="E19" i="51"/>
  <c r="D19" i="51"/>
  <c r="F19" i="51" s="1"/>
  <c r="K18" i="51"/>
  <c r="J18" i="51"/>
  <c r="I18" i="51"/>
  <c r="J17" i="51"/>
  <c r="I17" i="51"/>
  <c r="K17" i="51" s="1"/>
  <c r="E17" i="51"/>
  <c r="D17" i="51"/>
  <c r="F17" i="51" s="1"/>
  <c r="K16" i="51"/>
  <c r="J16" i="51"/>
  <c r="J15" i="51"/>
  <c r="K15" i="51"/>
  <c r="I14" i="51"/>
  <c r="F14" i="51"/>
  <c r="E14" i="51"/>
  <c r="I51" i="50"/>
  <c r="I50" i="50"/>
  <c r="K50" i="50" s="1"/>
  <c r="I51" i="49"/>
  <c r="I50" i="49"/>
  <c r="I16" i="50"/>
  <c r="K16" i="50" s="1"/>
  <c r="I15" i="50"/>
  <c r="K15" i="50" s="1"/>
  <c r="D14" i="50"/>
  <c r="I14" i="50" s="1"/>
  <c r="I13" i="50"/>
  <c r="D13" i="50"/>
  <c r="XFD66" i="50"/>
  <c r="K52" i="50"/>
  <c r="K49" i="50"/>
  <c r="J49" i="50"/>
  <c r="I49" i="50"/>
  <c r="F48" i="50"/>
  <c r="J47" i="50"/>
  <c r="I47" i="50"/>
  <c r="K47" i="50" s="1"/>
  <c r="E47" i="50"/>
  <c r="J44" i="50"/>
  <c r="I44" i="50"/>
  <c r="K44" i="50" s="1"/>
  <c r="J43" i="50"/>
  <c r="K43" i="50" s="1"/>
  <c r="I43" i="50"/>
  <c r="K42" i="50"/>
  <c r="J42" i="50"/>
  <c r="I42" i="50"/>
  <c r="F41" i="50"/>
  <c r="F45" i="50" s="1"/>
  <c r="D41" i="50"/>
  <c r="J38" i="50"/>
  <c r="I38" i="50"/>
  <c r="K38" i="50" s="1"/>
  <c r="K37" i="50"/>
  <c r="J37" i="50"/>
  <c r="I37" i="50"/>
  <c r="J36" i="50"/>
  <c r="I36" i="50"/>
  <c r="K36" i="50" s="1"/>
  <c r="F35" i="50"/>
  <c r="F39" i="50" s="1"/>
  <c r="D35" i="50"/>
  <c r="J32" i="50"/>
  <c r="I32" i="50"/>
  <c r="K32" i="50" s="1"/>
  <c r="J31" i="50"/>
  <c r="K31" i="50" s="1"/>
  <c r="I31" i="50"/>
  <c r="J30" i="50"/>
  <c r="I30" i="50"/>
  <c r="K30" i="50" s="1"/>
  <c r="D29" i="50"/>
  <c r="J26" i="50"/>
  <c r="K26" i="50" s="1"/>
  <c r="I26" i="50"/>
  <c r="K25" i="50"/>
  <c r="J25" i="50"/>
  <c r="I25" i="50"/>
  <c r="J24" i="50"/>
  <c r="I24" i="50"/>
  <c r="K24" i="50" s="1"/>
  <c r="D23" i="50"/>
  <c r="K20" i="50"/>
  <c r="J20" i="50"/>
  <c r="I20" i="50"/>
  <c r="J19" i="50"/>
  <c r="I19" i="50"/>
  <c r="K19" i="50" s="1"/>
  <c r="E19" i="50"/>
  <c r="D19" i="50"/>
  <c r="F19" i="50" s="1"/>
  <c r="J18" i="50"/>
  <c r="K18" i="50" s="1"/>
  <c r="I18" i="50"/>
  <c r="J17" i="50"/>
  <c r="I17" i="50"/>
  <c r="K17" i="50" s="1"/>
  <c r="E17" i="50"/>
  <c r="J16" i="50"/>
  <c r="J15" i="50"/>
  <c r="E14" i="50"/>
  <c r="K13" i="50"/>
  <c r="F13" i="50"/>
  <c r="I52" i="49"/>
  <c r="K52" i="49" s="1"/>
  <c r="J52" i="49"/>
  <c r="D27" i="10"/>
  <c r="D29" i="10"/>
  <c r="D2" i="44"/>
  <c r="E55" i="44" s="1"/>
  <c r="J18" i="49"/>
  <c r="J16" i="49"/>
  <c r="I16" i="49"/>
  <c r="J15" i="49"/>
  <c r="I15" i="49"/>
  <c r="J14" i="49"/>
  <c r="D14" i="49"/>
  <c r="I14" i="49" s="1"/>
  <c r="I13" i="49"/>
  <c r="D13" i="49"/>
  <c r="D47" i="44"/>
  <c r="D48" i="44"/>
  <c r="D49" i="44"/>
  <c r="D50" i="44"/>
  <c r="D51" i="44"/>
  <c r="D46" i="44"/>
  <c r="D40" i="44"/>
  <c r="D41" i="44"/>
  <c r="D42" i="44"/>
  <c r="D43" i="44"/>
  <c r="D44" i="44"/>
  <c r="D39" i="44"/>
  <c r="D32" i="44"/>
  <c r="D33" i="44"/>
  <c r="D34" i="44"/>
  <c r="D35" i="44"/>
  <c r="D36" i="44"/>
  <c r="D37" i="44"/>
  <c r="D31" i="44"/>
  <c r="E202" i="13"/>
  <c r="O259" i="13"/>
  <c r="O258" i="13"/>
  <c r="O257" i="13"/>
  <c r="I16" i="40" s="1"/>
  <c r="K16" i="40" s="1"/>
  <c r="O256" i="13"/>
  <c r="I16" i="39" s="1"/>
  <c r="K16" i="39" s="1"/>
  <c r="O255" i="13"/>
  <c r="O254" i="13"/>
  <c r="O253" i="13"/>
  <c r="O251" i="13"/>
  <c r="O250" i="13"/>
  <c r="I16" i="33" s="1"/>
  <c r="O249" i="13"/>
  <c r="O252" i="13"/>
  <c r="I16" i="35" s="1"/>
  <c r="K16" i="35" s="1"/>
  <c r="O248" i="13"/>
  <c r="I16" i="38"/>
  <c r="K16" i="38" s="1"/>
  <c r="I16" i="34"/>
  <c r="K16" i="34" s="1"/>
  <c r="I16" i="42"/>
  <c r="K16" i="42" s="1"/>
  <c r="O246" i="13"/>
  <c r="O243" i="13"/>
  <c r="O242" i="13"/>
  <c r="O244" i="13"/>
  <c r="O245" i="13"/>
  <c r="O241" i="13"/>
  <c r="H249" i="13"/>
  <c r="H250" i="13"/>
  <c r="H251" i="13"/>
  <c r="H252" i="13"/>
  <c r="H253" i="13"/>
  <c r="H254" i="13"/>
  <c r="H255" i="13"/>
  <c r="D14" i="38" s="1"/>
  <c r="I14" i="38" s="1"/>
  <c r="H256" i="13"/>
  <c r="D14" i="39" s="1"/>
  <c r="H257" i="13"/>
  <c r="H258" i="13"/>
  <c r="H259" i="13"/>
  <c r="H248" i="13"/>
  <c r="D14" i="31" s="1"/>
  <c r="H240" i="13"/>
  <c r="H241" i="13"/>
  <c r="H242" i="13"/>
  <c r="H243" i="13"/>
  <c r="H244" i="13"/>
  <c r="H245" i="13"/>
  <c r="H246" i="13"/>
  <c r="H239" i="13"/>
  <c r="H234" i="13"/>
  <c r="H235" i="13"/>
  <c r="H236" i="13"/>
  <c r="H237" i="13"/>
  <c r="H233" i="13"/>
  <c r="H232" i="13"/>
  <c r="D18" i="10"/>
  <c r="D19" i="10"/>
  <c r="D20" i="10"/>
  <c r="D21" i="10"/>
  <c r="D22" i="10"/>
  <c r="D23" i="10"/>
  <c r="D17" i="10"/>
  <c r="M254" i="44"/>
  <c r="D4" i="44"/>
  <c r="E254" i="44" s="1"/>
  <c r="D3" i="44"/>
  <c r="D254" i="44" s="1"/>
  <c r="O254" i="44" s="1"/>
  <c r="D20" i="44"/>
  <c r="D18" i="44"/>
  <c r="D5" i="44"/>
  <c r="D26" i="10"/>
  <c r="D5" i="10"/>
  <c r="XFD66" i="49"/>
  <c r="J49" i="49"/>
  <c r="I49" i="49"/>
  <c r="F48" i="49"/>
  <c r="J47" i="49"/>
  <c r="I47" i="49"/>
  <c r="E47" i="49"/>
  <c r="J44" i="49"/>
  <c r="I44" i="49"/>
  <c r="J43" i="49"/>
  <c r="I43" i="49"/>
  <c r="J42" i="49"/>
  <c r="I42" i="49"/>
  <c r="D41" i="49"/>
  <c r="J38" i="49"/>
  <c r="I38" i="49"/>
  <c r="J37" i="49"/>
  <c r="I37" i="49"/>
  <c r="J36" i="49"/>
  <c r="I36" i="49"/>
  <c r="D35" i="49"/>
  <c r="J32" i="49"/>
  <c r="I32" i="49"/>
  <c r="J31" i="49"/>
  <c r="I31" i="49"/>
  <c r="J30" i="49"/>
  <c r="I30" i="49"/>
  <c r="D29" i="49"/>
  <c r="F29" i="49" s="1"/>
  <c r="F33" i="49" s="1"/>
  <c r="J26" i="49"/>
  <c r="J25" i="49"/>
  <c r="J24" i="49"/>
  <c r="D23" i="49"/>
  <c r="J20" i="49"/>
  <c r="I20" i="49"/>
  <c r="J19" i="49"/>
  <c r="I19" i="49"/>
  <c r="E19" i="49"/>
  <c r="D19" i="49"/>
  <c r="J17" i="49"/>
  <c r="I17" i="49"/>
  <c r="D17" i="49" s="1"/>
  <c r="E17" i="49"/>
  <c r="E14" i="49"/>
  <c r="J53" i="42"/>
  <c r="J52" i="42"/>
  <c r="I53" i="42"/>
  <c r="I52" i="42"/>
  <c r="J13" i="42"/>
  <c r="I18" i="42"/>
  <c r="I17" i="42"/>
  <c r="K17" i="42" s="1"/>
  <c r="D14" i="42"/>
  <c r="D13" i="42"/>
  <c r="I13" i="42" s="1"/>
  <c r="K13" i="42" s="1"/>
  <c r="XFD67" i="42"/>
  <c r="K52" i="42"/>
  <c r="J51" i="42"/>
  <c r="K51" i="42" s="1"/>
  <c r="I51" i="42"/>
  <c r="F50" i="42"/>
  <c r="K49" i="42"/>
  <c r="J49" i="42"/>
  <c r="I49" i="42"/>
  <c r="E49" i="42"/>
  <c r="K46" i="42"/>
  <c r="J46" i="42"/>
  <c r="I46" i="42"/>
  <c r="J45" i="42"/>
  <c r="I45" i="42"/>
  <c r="J44" i="42"/>
  <c r="I44" i="42"/>
  <c r="K44" i="42" s="1"/>
  <c r="J43" i="42"/>
  <c r="E43" i="42"/>
  <c r="F43" i="42" s="1"/>
  <c r="F47" i="42" s="1"/>
  <c r="D43" i="42"/>
  <c r="J40" i="42"/>
  <c r="I40" i="42"/>
  <c r="K40" i="42" s="1"/>
  <c r="J39" i="42"/>
  <c r="I39" i="42"/>
  <c r="K39" i="42" s="1"/>
  <c r="J38" i="42"/>
  <c r="K38" i="42" s="1"/>
  <c r="I38" i="42"/>
  <c r="J37" i="42"/>
  <c r="E37" i="42"/>
  <c r="D37" i="42"/>
  <c r="F37" i="42" s="1"/>
  <c r="F41" i="42" s="1"/>
  <c r="J34" i="42"/>
  <c r="I34" i="42"/>
  <c r="K34" i="42" s="1"/>
  <c r="J33" i="42"/>
  <c r="I33" i="42"/>
  <c r="K33" i="42" s="1"/>
  <c r="K32" i="42"/>
  <c r="J32" i="42"/>
  <c r="I32" i="42"/>
  <c r="J31" i="42"/>
  <c r="E31" i="42"/>
  <c r="D31" i="42"/>
  <c r="F31" i="42" s="1"/>
  <c r="F35" i="42" s="1"/>
  <c r="J28" i="42"/>
  <c r="I28" i="42"/>
  <c r="K28" i="42" s="1"/>
  <c r="J27" i="42"/>
  <c r="I27" i="42"/>
  <c r="K27" i="42" s="1"/>
  <c r="J26" i="42"/>
  <c r="I26" i="42"/>
  <c r="K26" i="42" s="1"/>
  <c r="J25" i="42"/>
  <c r="E25" i="42"/>
  <c r="F25" i="42" s="1"/>
  <c r="F29" i="42" s="1"/>
  <c r="D25" i="42"/>
  <c r="J22" i="42"/>
  <c r="I22" i="42"/>
  <c r="K22" i="42" s="1"/>
  <c r="J21" i="42"/>
  <c r="K21" i="42" s="1"/>
  <c r="I21" i="42"/>
  <c r="E21" i="42"/>
  <c r="F21" i="42" s="1"/>
  <c r="D21" i="42"/>
  <c r="J20" i="42"/>
  <c r="J19" i="42"/>
  <c r="I19" i="42"/>
  <c r="D19" i="42" s="1"/>
  <c r="F19" i="42" s="1"/>
  <c r="E19" i="42"/>
  <c r="J18" i="42"/>
  <c r="K18" i="42"/>
  <c r="J17" i="42"/>
  <c r="J16" i="42"/>
  <c r="J15" i="42"/>
  <c r="J14" i="42"/>
  <c r="E14" i="42"/>
  <c r="I14" i="42"/>
  <c r="K14" i="42" s="1"/>
  <c r="E13" i="42"/>
  <c r="J53" i="41"/>
  <c r="K53" i="41" s="1"/>
  <c r="J52" i="41"/>
  <c r="I53" i="41"/>
  <c r="I52" i="41"/>
  <c r="I18" i="41"/>
  <c r="I17" i="41"/>
  <c r="K17" i="41" s="1"/>
  <c r="I16" i="41"/>
  <c r="K16" i="41" s="1"/>
  <c r="D14" i="41"/>
  <c r="I14" i="41" s="1"/>
  <c r="K14" i="41" s="1"/>
  <c r="D13" i="41"/>
  <c r="F13" i="41" s="1"/>
  <c r="XFD67" i="41"/>
  <c r="J51" i="41"/>
  <c r="I51" i="41"/>
  <c r="K51" i="41" s="1"/>
  <c r="F50" i="41"/>
  <c r="J49" i="41"/>
  <c r="I49" i="41"/>
  <c r="K49" i="41" s="1"/>
  <c r="E49" i="41"/>
  <c r="J46" i="41"/>
  <c r="I46" i="41"/>
  <c r="K46" i="41" s="1"/>
  <c r="J45" i="41"/>
  <c r="I45" i="41"/>
  <c r="K45" i="41" s="1"/>
  <c r="J44" i="41"/>
  <c r="K44" i="41" s="1"/>
  <c r="I44" i="41"/>
  <c r="J43" i="41"/>
  <c r="E43" i="41"/>
  <c r="D43" i="41"/>
  <c r="F43" i="41" s="1"/>
  <c r="F47" i="41" s="1"/>
  <c r="K40" i="41"/>
  <c r="J40" i="41"/>
  <c r="I40" i="41"/>
  <c r="J39" i="41"/>
  <c r="I39" i="41"/>
  <c r="K39" i="41" s="1"/>
  <c r="K38" i="41"/>
  <c r="J38" i="41"/>
  <c r="I38" i="41"/>
  <c r="J37" i="41"/>
  <c r="E37" i="41"/>
  <c r="D37" i="41"/>
  <c r="F37" i="41" s="1"/>
  <c r="F41" i="41" s="1"/>
  <c r="K34" i="41"/>
  <c r="J34" i="41"/>
  <c r="I34" i="41"/>
  <c r="J33" i="41"/>
  <c r="I33" i="41"/>
  <c r="K33" i="41" s="1"/>
  <c r="J32" i="41"/>
  <c r="I32" i="41"/>
  <c r="K32" i="41" s="1"/>
  <c r="J31" i="41"/>
  <c r="E31" i="41"/>
  <c r="D31" i="41"/>
  <c r="J28" i="41"/>
  <c r="I28" i="41"/>
  <c r="K28" i="41" s="1"/>
  <c r="J27" i="41"/>
  <c r="K27" i="41" s="1"/>
  <c r="I27" i="41"/>
  <c r="K26" i="41"/>
  <c r="J26" i="41"/>
  <c r="I26" i="41"/>
  <c r="J25" i="41"/>
  <c r="E25" i="41"/>
  <c r="D25" i="41"/>
  <c r="F25" i="41" s="1"/>
  <c r="F29" i="41" s="1"/>
  <c r="J22" i="41"/>
  <c r="I22" i="41"/>
  <c r="K22" i="41" s="1"/>
  <c r="K21" i="41"/>
  <c r="J21" i="41"/>
  <c r="I21" i="41"/>
  <c r="F21" i="41"/>
  <c r="E21" i="41"/>
  <c r="D21" i="41"/>
  <c r="J20" i="41"/>
  <c r="J19" i="41"/>
  <c r="I19" i="41"/>
  <c r="D19" i="41" s="1"/>
  <c r="F19" i="41" s="1"/>
  <c r="E19" i="41"/>
  <c r="J18" i="41"/>
  <c r="K18" i="41" s="1"/>
  <c r="J17" i="41"/>
  <c r="J16" i="41"/>
  <c r="J15" i="41"/>
  <c r="J14" i="41"/>
  <c r="E14" i="41"/>
  <c r="J13" i="41"/>
  <c r="E13" i="41"/>
  <c r="J53" i="40"/>
  <c r="K53" i="40" s="1"/>
  <c r="J52" i="40"/>
  <c r="I53" i="40"/>
  <c r="I52" i="40"/>
  <c r="I18" i="40"/>
  <c r="I17" i="40"/>
  <c r="K17" i="40" s="1"/>
  <c r="D14" i="40"/>
  <c r="D13" i="40"/>
  <c r="I13" i="40" s="1"/>
  <c r="K13" i="40" s="1"/>
  <c r="XFD67" i="40"/>
  <c r="K52" i="40"/>
  <c r="J51" i="40"/>
  <c r="I51" i="40"/>
  <c r="K51" i="40" s="1"/>
  <c r="F50" i="40"/>
  <c r="J49" i="40"/>
  <c r="I49" i="40"/>
  <c r="K49" i="40" s="1"/>
  <c r="E49" i="40"/>
  <c r="J46" i="40"/>
  <c r="I46" i="40"/>
  <c r="K46" i="40" s="1"/>
  <c r="J45" i="40"/>
  <c r="K45" i="40" s="1"/>
  <c r="I45" i="40"/>
  <c r="J44" i="40"/>
  <c r="K44" i="40" s="1"/>
  <c r="I44" i="40"/>
  <c r="J43" i="40"/>
  <c r="E43" i="40"/>
  <c r="D43" i="40"/>
  <c r="F43" i="40" s="1"/>
  <c r="F47" i="40" s="1"/>
  <c r="J40" i="40"/>
  <c r="I40" i="40"/>
  <c r="K40" i="40" s="1"/>
  <c r="J39" i="40"/>
  <c r="I39" i="40"/>
  <c r="K39" i="40" s="1"/>
  <c r="K38" i="40"/>
  <c r="J38" i="40"/>
  <c r="I38" i="40"/>
  <c r="J37" i="40"/>
  <c r="E37" i="40"/>
  <c r="D37" i="40"/>
  <c r="F37" i="40" s="1"/>
  <c r="F41" i="40" s="1"/>
  <c r="J34" i="40"/>
  <c r="I34" i="40"/>
  <c r="K34" i="40" s="1"/>
  <c r="J33" i="40"/>
  <c r="I33" i="40"/>
  <c r="K33" i="40" s="1"/>
  <c r="J32" i="40"/>
  <c r="I32" i="40"/>
  <c r="K32" i="40" s="1"/>
  <c r="J31" i="40"/>
  <c r="E31" i="40"/>
  <c r="F31" i="40" s="1"/>
  <c r="F35" i="40" s="1"/>
  <c r="D31" i="40"/>
  <c r="K28" i="40"/>
  <c r="J28" i="40"/>
  <c r="I28" i="40"/>
  <c r="J27" i="40"/>
  <c r="K27" i="40" s="1"/>
  <c r="I27" i="40"/>
  <c r="J26" i="40"/>
  <c r="I26" i="40"/>
  <c r="K26" i="40" s="1"/>
  <c r="J25" i="40"/>
  <c r="F25" i="40"/>
  <c r="F29" i="40" s="1"/>
  <c r="E25" i="40"/>
  <c r="D25" i="40"/>
  <c r="J22" i="40"/>
  <c r="I22" i="40"/>
  <c r="K22" i="40" s="1"/>
  <c r="K21" i="40"/>
  <c r="J21" i="40"/>
  <c r="I21" i="40"/>
  <c r="E21" i="40"/>
  <c r="F21" i="40" s="1"/>
  <c r="D21" i="40"/>
  <c r="J20" i="40"/>
  <c r="J19" i="40"/>
  <c r="I19" i="40"/>
  <c r="D19" i="40" s="1"/>
  <c r="F19" i="40" s="1"/>
  <c r="E19" i="40"/>
  <c r="J18" i="40"/>
  <c r="K18" i="40" s="1"/>
  <c r="J17" i="40"/>
  <c r="J16" i="40"/>
  <c r="J15" i="40"/>
  <c r="J14" i="40"/>
  <c r="E14" i="40"/>
  <c r="I14" i="40"/>
  <c r="K14" i="40" s="1"/>
  <c r="J13" i="40"/>
  <c r="E13" i="40"/>
  <c r="J53" i="39"/>
  <c r="J52" i="39"/>
  <c r="I53" i="39"/>
  <c r="I52" i="39"/>
  <c r="I18" i="39"/>
  <c r="I17" i="39"/>
  <c r="D13" i="39"/>
  <c r="XFD67" i="39"/>
  <c r="K51" i="39"/>
  <c r="J51" i="39"/>
  <c r="I51" i="39"/>
  <c r="F50" i="39"/>
  <c r="K49" i="39"/>
  <c r="J49" i="39"/>
  <c r="I49" i="39"/>
  <c r="E49" i="39"/>
  <c r="K46" i="39"/>
  <c r="J46" i="39"/>
  <c r="I46" i="39"/>
  <c r="J45" i="39"/>
  <c r="I45" i="39"/>
  <c r="J44" i="39"/>
  <c r="I44" i="39"/>
  <c r="K44" i="39" s="1"/>
  <c r="J43" i="39"/>
  <c r="F43" i="39"/>
  <c r="F47" i="39" s="1"/>
  <c r="E43" i="39"/>
  <c r="D43" i="39"/>
  <c r="J40" i="39"/>
  <c r="I40" i="39"/>
  <c r="K40" i="39" s="1"/>
  <c r="K39" i="39"/>
  <c r="J39" i="39"/>
  <c r="I39" i="39"/>
  <c r="J38" i="39"/>
  <c r="I38" i="39"/>
  <c r="K38" i="39" s="1"/>
  <c r="J37" i="39"/>
  <c r="E37" i="39"/>
  <c r="D37" i="39"/>
  <c r="F37" i="39" s="1"/>
  <c r="F41" i="39" s="1"/>
  <c r="J34" i="39"/>
  <c r="I34" i="39"/>
  <c r="K34" i="39" s="1"/>
  <c r="J33" i="39"/>
  <c r="I33" i="39"/>
  <c r="K33" i="39" s="1"/>
  <c r="K32" i="39"/>
  <c r="J32" i="39"/>
  <c r="I32" i="39"/>
  <c r="J31" i="39"/>
  <c r="E31" i="39"/>
  <c r="D31" i="39"/>
  <c r="F31" i="39" s="1"/>
  <c r="F35" i="39" s="1"/>
  <c r="J28" i="39"/>
  <c r="I28" i="39"/>
  <c r="K28" i="39" s="1"/>
  <c r="J27" i="39"/>
  <c r="I27" i="39"/>
  <c r="K27" i="39" s="1"/>
  <c r="J26" i="39"/>
  <c r="I26" i="39"/>
  <c r="K26" i="39" s="1"/>
  <c r="J25" i="39"/>
  <c r="E25" i="39"/>
  <c r="D25" i="39"/>
  <c r="F25" i="39" s="1"/>
  <c r="F29" i="39" s="1"/>
  <c r="K22" i="39"/>
  <c r="J22" i="39"/>
  <c r="I22" i="39"/>
  <c r="J21" i="39"/>
  <c r="I21" i="39"/>
  <c r="K21" i="39" s="1"/>
  <c r="E21" i="39"/>
  <c r="D21" i="39"/>
  <c r="F21" i="39" s="1"/>
  <c r="J20" i="39"/>
  <c r="K19" i="39"/>
  <c r="J19" i="39"/>
  <c r="I19" i="39"/>
  <c r="D19" i="39" s="1"/>
  <c r="F19" i="39" s="1"/>
  <c r="E19" i="39"/>
  <c r="J18" i="39"/>
  <c r="K18" i="39"/>
  <c r="J17" i="39"/>
  <c r="K17" i="39"/>
  <c r="J16" i="39"/>
  <c r="J15" i="39"/>
  <c r="J14" i="39"/>
  <c r="E14" i="39"/>
  <c r="K13" i="39"/>
  <c r="J13" i="39"/>
  <c r="I13" i="39"/>
  <c r="E13" i="39"/>
  <c r="F13" i="39" s="1"/>
  <c r="J53" i="38"/>
  <c r="J52" i="38"/>
  <c r="K52" i="38" s="1"/>
  <c r="I53" i="38"/>
  <c r="I52" i="38"/>
  <c r="I18" i="38"/>
  <c r="I17" i="38"/>
  <c r="J13" i="38"/>
  <c r="D13" i="38"/>
  <c r="I13" i="38" s="1"/>
  <c r="K13" i="38" s="1"/>
  <c r="XFD67" i="38"/>
  <c r="K53" i="38"/>
  <c r="J51" i="38"/>
  <c r="I51" i="38"/>
  <c r="K51" i="38" s="1"/>
  <c r="F50" i="38"/>
  <c r="K49" i="38"/>
  <c r="J49" i="38"/>
  <c r="I49" i="38"/>
  <c r="E49" i="38"/>
  <c r="K46" i="38"/>
  <c r="J46" i="38"/>
  <c r="I46" i="38"/>
  <c r="K45" i="38"/>
  <c r="J45" i="38"/>
  <c r="I45" i="38"/>
  <c r="J44" i="38"/>
  <c r="I44" i="38"/>
  <c r="K44" i="38" s="1"/>
  <c r="J43" i="38"/>
  <c r="E43" i="38"/>
  <c r="D43" i="38"/>
  <c r="F43" i="38" s="1"/>
  <c r="F47" i="38" s="1"/>
  <c r="J40" i="38"/>
  <c r="I40" i="38"/>
  <c r="K40" i="38" s="1"/>
  <c r="J39" i="38"/>
  <c r="I39" i="38"/>
  <c r="K39" i="38" s="1"/>
  <c r="J38" i="38"/>
  <c r="I38" i="38"/>
  <c r="K38" i="38" s="1"/>
  <c r="J37" i="38"/>
  <c r="E37" i="38"/>
  <c r="F37" i="38" s="1"/>
  <c r="F41" i="38" s="1"/>
  <c r="D37" i="38"/>
  <c r="J34" i="38"/>
  <c r="I34" i="38"/>
  <c r="K34" i="38" s="1"/>
  <c r="J33" i="38"/>
  <c r="K33" i="38" s="1"/>
  <c r="I33" i="38"/>
  <c r="K32" i="38"/>
  <c r="J32" i="38"/>
  <c r="I32" i="38"/>
  <c r="J31" i="38"/>
  <c r="E31" i="38"/>
  <c r="D31" i="38"/>
  <c r="F31" i="38" s="1"/>
  <c r="F35" i="38" s="1"/>
  <c r="K28" i="38"/>
  <c r="J28" i="38"/>
  <c r="I28" i="38"/>
  <c r="J27" i="38"/>
  <c r="I27" i="38"/>
  <c r="K27" i="38" s="1"/>
  <c r="J26" i="38"/>
  <c r="I26" i="38"/>
  <c r="K26" i="38" s="1"/>
  <c r="J25" i="38"/>
  <c r="E25" i="38"/>
  <c r="D25" i="38"/>
  <c r="F25" i="38" s="1"/>
  <c r="F29" i="38" s="1"/>
  <c r="J22" i="38"/>
  <c r="I22" i="38"/>
  <c r="K22" i="38" s="1"/>
  <c r="J21" i="38"/>
  <c r="I21" i="38"/>
  <c r="K21" i="38" s="1"/>
  <c r="E21" i="38"/>
  <c r="F21" i="38" s="1"/>
  <c r="D21" i="38"/>
  <c r="J20" i="38"/>
  <c r="K19" i="38"/>
  <c r="J19" i="38"/>
  <c r="I19" i="38"/>
  <c r="D19" i="38" s="1"/>
  <c r="F19" i="38" s="1"/>
  <c r="E19" i="38"/>
  <c r="J18" i="38"/>
  <c r="K18" i="38"/>
  <c r="J17" i="38"/>
  <c r="K17" i="38"/>
  <c r="J16" i="38"/>
  <c r="J15" i="38"/>
  <c r="J14" i="38"/>
  <c r="E14" i="38"/>
  <c r="E13" i="38"/>
  <c r="J53" i="37"/>
  <c r="J52" i="37"/>
  <c r="I53" i="37"/>
  <c r="I52" i="37"/>
  <c r="I18" i="37"/>
  <c r="K18" i="37" s="1"/>
  <c r="I17" i="37"/>
  <c r="I16" i="37"/>
  <c r="K16" i="37" s="1"/>
  <c r="D14" i="37"/>
  <c r="I14" i="37" s="1"/>
  <c r="K14" i="37" s="1"/>
  <c r="J13" i="37"/>
  <c r="D13" i="37"/>
  <c r="I13" i="37" s="1"/>
  <c r="K13" i="37" s="1"/>
  <c r="XFD67" i="37"/>
  <c r="K52" i="37"/>
  <c r="J51" i="37"/>
  <c r="I51" i="37"/>
  <c r="K51" i="37" s="1"/>
  <c r="F50" i="37"/>
  <c r="K49" i="37"/>
  <c r="J49" i="37"/>
  <c r="I49" i="37"/>
  <c r="E49" i="37"/>
  <c r="K46" i="37"/>
  <c r="J46" i="37"/>
  <c r="I46" i="37"/>
  <c r="J45" i="37"/>
  <c r="I45" i="37"/>
  <c r="K45" i="37" s="1"/>
  <c r="J44" i="37"/>
  <c r="I44" i="37"/>
  <c r="K44" i="37" s="1"/>
  <c r="J43" i="37"/>
  <c r="E43" i="37"/>
  <c r="D43" i="37"/>
  <c r="F43" i="37" s="1"/>
  <c r="F47" i="37" s="1"/>
  <c r="K40" i="37"/>
  <c r="J40" i="37"/>
  <c r="I40" i="37"/>
  <c r="J39" i="37"/>
  <c r="I39" i="37"/>
  <c r="K39" i="37" s="1"/>
  <c r="J38" i="37"/>
  <c r="K38" i="37" s="1"/>
  <c r="I38" i="37"/>
  <c r="J37" i="37"/>
  <c r="E37" i="37"/>
  <c r="D37" i="37"/>
  <c r="F37" i="37" s="1"/>
  <c r="F41" i="37" s="1"/>
  <c r="K34" i="37"/>
  <c r="J34" i="37"/>
  <c r="I34" i="37"/>
  <c r="J33" i="37"/>
  <c r="I33" i="37"/>
  <c r="K33" i="37" s="1"/>
  <c r="K32" i="37"/>
  <c r="J32" i="37"/>
  <c r="I32" i="37"/>
  <c r="J31" i="37"/>
  <c r="E31" i="37"/>
  <c r="D31" i="37"/>
  <c r="F31" i="37" s="1"/>
  <c r="F35" i="37" s="1"/>
  <c r="J28" i="37"/>
  <c r="I28" i="37"/>
  <c r="K28" i="37" s="1"/>
  <c r="J27" i="37"/>
  <c r="I27" i="37"/>
  <c r="K27" i="37" s="1"/>
  <c r="J26" i="37"/>
  <c r="K26" i="37" s="1"/>
  <c r="I26" i="37"/>
  <c r="J25" i="37"/>
  <c r="E25" i="37"/>
  <c r="D25" i="37"/>
  <c r="J22" i="37"/>
  <c r="I22" i="37"/>
  <c r="K22" i="37" s="1"/>
  <c r="J21" i="37"/>
  <c r="K21" i="37" s="1"/>
  <c r="I21" i="37"/>
  <c r="F21" i="37"/>
  <c r="E21" i="37"/>
  <c r="D21" i="37"/>
  <c r="J20" i="37"/>
  <c r="K19" i="37"/>
  <c r="J19" i="37"/>
  <c r="I19" i="37"/>
  <c r="D19" i="37" s="1"/>
  <c r="F19" i="37" s="1"/>
  <c r="E19" i="37"/>
  <c r="J18" i="37"/>
  <c r="J17" i="37"/>
  <c r="K17" i="37"/>
  <c r="J16" i="37"/>
  <c r="J15" i="37"/>
  <c r="J14" i="37"/>
  <c r="E14" i="37"/>
  <c r="F13" i="37"/>
  <c r="E13" i="37"/>
  <c r="J53" i="36"/>
  <c r="J52" i="36"/>
  <c r="I53" i="36"/>
  <c r="I52" i="36"/>
  <c r="I18" i="36"/>
  <c r="I17" i="36"/>
  <c r="K17" i="36" s="1"/>
  <c r="D14" i="36"/>
  <c r="I14" i="36" s="1"/>
  <c r="K14" i="36" s="1"/>
  <c r="J13" i="36"/>
  <c r="D13" i="36"/>
  <c r="XFD67" i="36"/>
  <c r="J51" i="36"/>
  <c r="I51" i="36"/>
  <c r="K51" i="36" s="1"/>
  <c r="F50" i="36"/>
  <c r="J49" i="36"/>
  <c r="I49" i="36"/>
  <c r="K49" i="36" s="1"/>
  <c r="E49" i="36"/>
  <c r="J46" i="36"/>
  <c r="I46" i="36"/>
  <c r="K46" i="36" s="1"/>
  <c r="J45" i="36"/>
  <c r="I45" i="36"/>
  <c r="K45" i="36" s="1"/>
  <c r="J44" i="36"/>
  <c r="K44" i="36" s="1"/>
  <c r="I44" i="36"/>
  <c r="J43" i="36"/>
  <c r="E43" i="36"/>
  <c r="D43" i="36"/>
  <c r="F43" i="36" s="1"/>
  <c r="F47" i="36" s="1"/>
  <c r="J40" i="36"/>
  <c r="I40" i="36"/>
  <c r="K40" i="36" s="1"/>
  <c r="J39" i="36"/>
  <c r="I39" i="36"/>
  <c r="K39" i="36" s="1"/>
  <c r="K38" i="36"/>
  <c r="J38" i="36"/>
  <c r="I38" i="36"/>
  <c r="J37" i="36"/>
  <c r="E37" i="36"/>
  <c r="D37" i="36"/>
  <c r="F37" i="36" s="1"/>
  <c r="F41" i="36" s="1"/>
  <c r="J34" i="36"/>
  <c r="K34" i="36" s="1"/>
  <c r="I34" i="36"/>
  <c r="J33" i="36"/>
  <c r="I33" i="36"/>
  <c r="K33" i="36" s="1"/>
  <c r="J32" i="36"/>
  <c r="I32" i="36"/>
  <c r="K32" i="36" s="1"/>
  <c r="J31" i="36"/>
  <c r="E31" i="36"/>
  <c r="F31" i="36" s="1"/>
  <c r="F35" i="36" s="1"/>
  <c r="D31" i="36"/>
  <c r="J28" i="36"/>
  <c r="I28" i="36"/>
  <c r="K28" i="36" s="1"/>
  <c r="J27" i="36"/>
  <c r="K27" i="36" s="1"/>
  <c r="I27" i="36"/>
  <c r="J26" i="36"/>
  <c r="I26" i="36"/>
  <c r="K26" i="36" s="1"/>
  <c r="J25" i="36"/>
  <c r="E25" i="36"/>
  <c r="D25" i="36"/>
  <c r="F25" i="36" s="1"/>
  <c r="F29" i="36" s="1"/>
  <c r="J22" i="36"/>
  <c r="I22" i="36"/>
  <c r="K22" i="36" s="1"/>
  <c r="K21" i="36"/>
  <c r="J21" i="36"/>
  <c r="I21" i="36"/>
  <c r="E21" i="36"/>
  <c r="F21" i="36" s="1"/>
  <c r="D21" i="36"/>
  <c r="J20" i="36"/>
  <c r="J19" i="36"/>
  <c r="I19" i="36"/>
  <c r="D19" i="36" s="1"/>
  <c r="F19" i="36" s="1"/>
  <c r="E19" i="36"/>
  <c r="J18" i="36"/>
  <c r="J17" i="36"/>
  <c r="J16" i="36"/>
  <c r="J15" i="36"/>
  <c r="J14" i="36"/>
  <c r="E14" i="36"/>
  <c r="E13" i="36"/>
  <c r="J13" i="35"/>
  <c r="J53" i="35"/>
  <c r="J52" i="35"/>
  <c r="I53" i="35"/>
  <c r="I52" i="35"/>
  <c r="I18" i="35"/>
  <c r="K18" i="35" s="1"/>
  <c r="I17" i="35"/>
  <c r="D14" i="35"/>
  <c r="I14" i="35" s="1"/>
  <c r="K14" i="35" s="1"/>
  <c r="D13" i="35"/>
  <c r="I13" i="35" s="1"/>
  <c r="K13" i="35" s="1"/>
  <c r="XFD67" i="35"/>
  <c r="J51" i="35"/>
  <c r="I51" i="35"/>
  <c r="K51" i="35" s="1"/>
  <c r="F50" i="35"/>
  <c r="K49" i="35"/>
  <c r="J49" i="35"/>
  <c r="I49" i="35"/>
  <c r="E49" i="35"/>
  <c r="K46" i="35"/>
  <c r="J46" i="35"/>
  <c r="I46" i="35"/>
  <c r="J45" i="35"/>
  <c r="I45" i="35"/>
  <c r="J44" i="35"/>
  <c r="I44" i="35"/>
  <c r="K44" i="35" s="1"/>
  <c r="J43" i="35"/>
  <c r="E43" i="35"/>
  <c r="D43" i="35"/>
  <c r="F43" i="35" s="1"/>
  <c r="F47" i="35" s="1"/>
  <c r="J40" i="35"/>
  <c r="I40" i="35"/>
  <c r="K40" i="35" s="1"/>
  <c r="J39" i="35"/>
  <c r="I39" i="35"/>
  <c r="K39" i="35" s="1"/>
  <c r="J38" i="35"/>
  <c r="K38" i="35" s="1"/>
  <c r="I38" i="35"/>
  <c r="J37" i="35"/>
  <c r="E37" i="35"/>
  <c r="D37" i="35"/>
  <c r="F37" i="35" s="1"/>
  <c r="F41" i="35" s="1"/>
  <c r="K34" i="35"/>
  <c r="J34" i="35"/>
  <c r="I34" i="35"/>
  <c r="J33" i="35"/>
  <c r="I33" i="35"/>
  <c r="K33" i="35" s="1"/>
  <c r="K32" i="35"/>
  <c r="J32" i="35"/>
  <c r="I32" i="35"/>
  <c r="J31" i="35"/>
  <c r="E31" i="35"/>
  <c r="D31" i="35"/>
  <c r="F31" i="35" s="1"/>
  <c r="F35" i="35" s="1"/>
  <c r="J28" i="35"/>
  <c r="I28" i="35"/>
  <c r="K28" i="35" s="1"/>
  <c r="J27" i="35"/>
  <c r="I27" i="35"/>
  <c r="K27" i="35" s="1"/>
  <c r="J26" i="35"/>
  <c r="I26" i="35"/>
  <c r="K26" i="35" s="1"/>
  <c r="J25" i="35"/>
  <c r="E25" i="35"/>
  <c r="D25" i="35"/>
  <c r="J22" i="35"/>
  <c r="I22" i="35"/>
  <c r="K22" i="35" s="1"/>
  <c r="J21" i="35"/>
  <c r="I21" i="35"/>
  <c r="K21" i="35" s="1"/>
  <c r="F21" i="35"/>
  <c r="E21" i="35"/>
  <c r="D21" i="35"/>
  <c r="J20" i="35"/>
  <c r="K19" i="35"/>
  <c r="J19" i="35"/>
  <c r="I19" i="35"/>
  <c r="D19" i="35" s="1"/>
  <c r="F19" i="35" s="1"/>
  <c r="E19" i="35"/>
  <c r="J18" i="35"/>
  <c r="J17" i="35"/>
  <c r="K17" i="35"/>
  <c r="J16" i="35"/>
  <c r="J15" i="35"/>
  <c r="J14" i="35"/>
  <c r="E14" i="35"/>
  <c r="E13" i="35"/>
  <c r="I53" i="33"/>
  <c r="K53" i="33" s="1"/>
  <c r="I52" i="33"/>
  <c r="K52" i="33" s="1"/>
  <c r="I53" i="32"/>
  <c r="I52" i="32"/>
  <c r="K52" i="32" s="1"/>
  <c r="I53" i="31"/>
  <c r="I52" i="31"/>
  <c r="J53" i="30"/>
  <c r="J52" i="30"/>
  <c r="I53" i="30"/>
  <c r="I52" i="30"/>
  <c r="I53" i="29"/>
  <c r="I52" i="29"/>
  <c r="I53" i="28"/>
  <c r="I52" i="28"/>
  <c r="I53" i="27"/>
  <c r="I52" i="27"/>
  <c r="J53" i="26"/>
  <c r="J52" i="26"/>
  <c r="I53" i="26"/>
  <c r="I52" i="26"/>
  <c r="I53" i="25"/>
  <c r="I52" i="25"/>
  <c r="I55" i="24"/>
  <c r="I54" i="24"/>
  <c r="J55" i="23"/>
  <c r="J54" i="23"/>
  <c r="I55" i="23"/>
  <c r="I54" i="23"/>
  <c r="J55" i="22"/>
  <c r="J54" i="22"/>
  <c r="I55" i="22"/>
  <c r="I54" i="22"/>
  <c r="J55" i="21"/>
  <c r="J54" i="21"/>
  <c r="I55" i="21"/>
  <c r="I54" i="21"/>
  <c r="I55" i="19"/>
  <c r="I54" i="19"/>
  <c r="J54" i="17"/>
  <c r="I55" i="17"/>
  <c r="I54" i="17"/>
  <c r="I48" i="20"/>
  <c r="I47" i="20"/>
  <c r="I53" i="16"/>
  <c r="I52" i="16"/>
  <c r="J53" i="34"/>
  <c r="J52" i="34"/>
  <c r="I53" i="34"/>
  <c r="I52" i="34"/>
  <c r="K52" i="34" s="1"/>
  <c r="D14" i="34"/>
  <c r="F14" i="34" s="1"/>
  <c r="D13" i="34"/>
  <c r="XFD67" i="34"/>
  <c r="K53" i="34"/>
  <c r="J51" i="34"/>
  <c r="I51" i="34"/>
  <c r="K51" i="34" s="1"/>
  <c r="F50" i="34"/>
  <c r="J49" i="34"/>
  <c r="K49" i="34" s="1"/>
  <c r="I49" i="34"/>
  <c r="E49" i="34"/>
  <c r="J46" i="34"/>
  <c r="K46" i="34" s="1"/>
  <c r="I46" i="34"/>
  <c r="J45" i="34"/>
  <c r="I45" i="34"/>
  <c r="K45" i="34" s="1"/>
  <c r="J44" i="34"/>
  <c r="K44" i="34" s="1"/>
  <c r="I44" i="34"/>
  <c r="J43" i="34"/>
  <c r="E43" i="34"/>
  <c r="D43" i="34"/>
  <c r="F43" i="34" s="1"/>
  <c r="F47" i="34" s="1"/>
  <c r="K40" i="34"/>
  <c r="J40" i="34"/>
  <c r="I40" i="34"/>
  <c r="J39" i="34"/>
  <c r="I39" i="34"/>
  <c r="K39" i="34" s="1"/>
  <c r="K38" i="34"/>
  <c r="J38" i="34"/>
  <c r="I38" i="34"/>
  <c r="J37" i="34"/>
  <c r="E37" i="34"/>
  <c r="D37" i="34"/>
  <c r="F37" i="34" s="1"/>
  <c r="F41" i="34" s="1"/>
  <c r="J34" i="34"/>
  <c r="I34" i="34"/>
  <c r="K34" i="34" s="1"/>
  <c r="J33" i="34"/>
  <c r="I33" i="34"/>
  <c r="K33" i="34" s="1"/>
  <c r="J32" i="34"/>
  <c r="K32" i="34" s="1"/>
  <c r="I32" i="34"/>
  <c r="J31" i="34"/>
  <c r="E31" i="34"/>
  <c r="D31" i="34"/>
  <c r="J28" i="34"/>
  <c r="I28" i="34"/>
  <c r="K28" i="34" s="1"/>
  <c r="J27" i="34"/>
  <c r="K27" i="34" s="1"/>
  <c r="I27" i="34"/>
  <c r="K26" i="34"/>
  <c r="J26" i="34"/>
  <c r="I26" i="34"/>
  <c r="J25" i="34"/>
  <c r="E25" i="34"/>
  <c r="D25" i="34"/>
  <c r="F25" i="34" s="1"/>
  <c r="F29" i="34" s="1"/>
  <c r="J22" i="34"/>
  <c r="I22" i="34"/>
  <c r="K22" i="34" s="1"/>
  <c r="K21" i="34"/>
  <c r="J21" i="34"/>
  <c r="I21" i="34"/>
  <c r="E21" i="34"/>
  <c r="D21" i="34"/>
  <c r="F21" i="34" s="1"/>
  <c r="J20" i="34"/>
  <c r="J19" i="34"/>
  <c r="I19" i="34"/>
  <c r="K19" i="34" s="1"/>
  <c r="E19" i="34"/>
  <c r="J18" i="34"/>
  <c r="K18" i="34" s="1"/>
  <c r="I18" i="34"/>
  <c r="K17" i="34"/>
  <c r="J17" i="34"/>
  <c r="I17" i="34"/>
  <c r="J16" i="34"/>
  <c r="J15" i="34"/>
  <c r="J14" i="34"/>
  <c r="E14" i="34"/>
  <c r="J13" i="34"/>
  <c r="E13" i="34"/>
  <c r="J53" i="31"/>
  <c r="J52" i="31"/>
  <c r="J43" i="31"/>
  <c r="J37" i="31"/>
  <c r="J31" i="31"/>
  <c r="J25" i="31"/>
  <c r="J53" i="32"/>
  <c r="J52" i="32"/>
  <c r="J43" i="32"/>
  <c r="J37" i="32"/>
  <c r="J31" i="32"/>
  <c r="J25" i="32"/>
  <c r="J53" i="33"/>
  <c r="J52" i="33"/>
  <c r="J43" i="33"/>
  <c r="J37" i="33"/>
  <c r="J31" i="33"/>
  <c r="J25" i="33"/>
  <c r="I18" i="33"/>
  <c r="I17" i="33"/>
  <c r="J13" i="33"/>
  <c r="D14" i="33"/>
  <c r="I14" i="33" s="1"/>
  <c r="K14" i="33" s="1"/>
  <c r="D13" i="33"/>
  <c r="I13" i="33" s="1"/>
  <c r="K13" i="33" s="1"/>
  <c r="XFD67" i="33"/>
  <c r="J51" i="33"/>
  <c r="I51" i="33"/>
  <c r="K51" i="33" s="1"/>
  <c r="F50" i="33"/>
  <c r="K49" i="33"/>
  <c r="J49" i="33"/>
  <c r="I49" i="33"/>
  <c r="E49" i="33"/>
  <c r="K46" i="33"/>
  <c r="J46" i="33"/>
  <c r="I46" i="33"/>
  <c r="J45" i="33"/>
  <c r="I45" i="33"/>
  <c r="K45" i="33" s="1"/>
  <c r="J44" i="33"/>
  <c r="I44" i="33"/>
  <c r="K44" i="33" s="1"/>
  <c r="E43" i="33"/>
  <c r="F43" i="33" s="1"/>
  <c r="F47" i="33" s="1"/>
  <c r="D43" i="33"/>
  <c r="K40" i="33"/>
  <c r="J40" i="33"/>
  <c r="I40" i="33"/>
  <c r="J39" i="33"/>
  <c r="K39" i="33" s="1"/>
  <c r="I39" i="33"/>
  <c r="J38" i="33"/>
  <c r="I38" i="33"/>
  <c r="K38" i="33" s="1"/>
  <c r="E37" i="33"/>
  <c r="D37" i="33"/>
  <c r="F37" i="33" s="1"/>
  <c r="F41" i="33" s="1"/>
  <c r="K34" i="33"/>
  <c r="J34" i="33"/>
  <c r="I34" i="33"/>
  <c r="J33" i="33"/>
  <c r="I33" i="33"/>
  <c r="K33" i="33" s="1"/>
  <c r="K32" i="33"/>
  <c r="J32" i="33"/>
  <c r="I32" i="33"/>
  <c r="E31" i="33"/>
  <c r="D31" i="33"/>
  <c r="F31" i="33" s="1"/>
  <c r="F35" i="33" s="1"/>
  <c r="J28" i="33"/>
  <c r="I28" i="33"/>
  <c r="K28" i="33" s="1"/>
  <c r="J27" i="33"/>
  <c r="I27" i="33"/>
  <c r="K27" i="33" s="1"/>
  <c r="K26" i="33"/>
  <c r="J26" i="33"/>
  <c r="I26" i="33"/>
  <c r="E25" i="33"/>
  <c r="D25" i="33"/>
  <c r="F25" i="33" s="1"/>
  <c r="F29" i="33" s="1"/>
  <c r="J22" i="33"/>
  <c r="K22" i="33" s="1"/>
  <c r="I22" i="33"/>
  <c r="J21" i="33"/>
  <c r="I21" i="33"/>
  <c r="K21" i="33" s="1"/>
  <c r="F21" i="33"/>
  <c r="E21" i="33"/>
  <c r="D21" i="33"/>
  <c r="J20" i="33"/>
  <c r="J19" i="33"/>
  <c r="I19" i="33"/>
  <c r="D19" i="33" s="1"/>
  <c r="F19" i="33" s="1"/>
  <c r="E19" i="33"/>
  <c r="J18" i="33"/>
  <c r="K18" i="33"/>
  <c r="K17" i="33"/>
  <c r="J17" i="33"/>
  <c r="J16" i="33"/>
  <c r="J15" i="33"/>
  <c r="J14" i="33"/>
  <c r="E14" i="33"/>
  <c r="E13" i="33"/>
  <c r="I18" i="31"/>
  <c r="I18" i="32"/>
  <c r="K18" i="32" s="1"/>
  <c r="I17" i="32"/>
  <c r="I16" i="32"/>
  <c r="K16" i="32" s="1"/>
  <c r="D14" i="32"/>
  <c r="F14" i="32" s="1"/>
  <c r="J13" i="32"/>
  <c r="D13" i="32"/>
  <c r="XFD67" i="32"/>
  <c r="K53" i="32"/>
  <c r="J51" i="32"/>
  <c r="I51" i="32"/>
  <c r="K51" i="32" s="1"/>
  <c r="F50" i="32"/>
  <c r="K49" i="32"/>
  <c r="J49" i="32"/>
  <c r="I49" i="32"/>
  <c r="E49" i="32"/>
  <c r="K46" i="32"/>
  <c r="J46" i="32"/>
  <c r="I46" i="32"/>
  <c r="J45" i="32"/>
  <c r="I45" i="32"/>
  <c r="K45" i="32" s="1"/>
  <c r="J44" i="32"/>
  <c r="I44" i="32"/>
  <c r="K44" i="32" s="1"/>
  <c r="E43" i="32"/>
  <c r="F43" i="32" s="1"/>
  <c r="F47" i="32" s="1"/>
  <c r="D43" i="32"/>
  <c r="J40" i="32"/>
  <c r="K40" i="32" s="1"/>
  <c r="I40" i="32"/>
  <c r="J39" i="32"/>
  <c r="K39" i="32" s="1"/>
  <c r="I39" i="32"/>
  <c r="J38" i="32"/>
  <c r="K38" i="32" s="1"/>
  <c r="I38" i="32"/>
  <c r="E37" i="32"/>
  <c r="D37" i="32"/>
  <c r="F37" i="32" s="1"/>
  <c r="F41" i="32" s="1"/>
  <c r="K34" i="32"/>
  <c r="J34" i="32"/>
  <c r="I34" i="32"/>
  <c r="J33" i="32"/>
  <c r="I33" i="32"/>
  <c r="K33" i="32" s="1"/>
  <c r="K32" i="32"/>
  <c r="J32" i="32"/>
  <c r="I32" i="32"/>
  <c r="E31" i="32"/>
  <c r="D31" i="32"/>
  <c r="F31" i="32" s="1"/>
  <c r="F35" i="32" s="1"/>
  <c r="J28" i="32"/>
  <c r="I28" i="32"/>
  <c r="K28" i="32" s="1"/>
  <c r="J27" i="32"/>
  <c r="I27" i="32"/>
  <c r="K27" i="32" s="1"/>
  <c r="J26" i="32"/>
  <c r="K26" i="32" s="1"/>
  <c r="I26" i="32"/>
  <c r="E25" i="32"/>
  <c r="F25" i="32" s="1"/>
  <c r="F29" i="32" s="1"/>
  <c r="D25" i="32"/>
  <c r="J22" i="32"/>
  <c r="I22" i="32"/>
  <c r="K22" i="32" s="1"/>
  <c r="J21" i="32"/>
  <c r="K21" i="32" s="1"/>
  <c r="I21" i="32"/>
  <c r="F21" i="32"/>
  <c r="E21" i="32"/>
  <c r="D21" i="32"/>
  <c r="J20" i="32"/>
  <c r="J19" i="32"/>
  <c r="I19" i="32"/>
  <c r="D19" i="32" s="1"/>
  <c r="F19" i="32" s="1"/>
  <c r="E19" i="32"/>
  <c r="J18" i="32"/>
  <c r="J17" i="32"/>
  <c r="K17" i="32" s="1"/>
  <c r="J16" i="32"/>
  <c r="J15" i="32"/>
  <c r="J14" i="32"/>
  <c r="E14" i="32"/>
  <c r="I13" i="32"/>
  <c r="K13" i="32" s="1"/>
  <c r="E13" i="32"/>
  <c r="F13" i="32"/>
  <c r="E13" i="31"/>
  <c r="I17" i="31"/>
  <c r="I16" i="31"/>
  <c r="J14" i="31"/>
  <c r="J13" i="31"/>
  <c r="E142" i="12"/>
  <c r="E143" i="12"/>
  <c r="E144" i="12"/>
  <c r="E145" i="12"/>
  <c r="E146" i="12"/>
  <c r="E147" i="12"/>
  <c r="E148" i="12"/>
  <c r="E149" i="12"/>
  <c r="E150" i="12"/>
  <c r="E140" i="12"/>
  <c r="E141" i="12"/>
  <c r="E139" i="12"/>
  <c r="D13" i="31" s="1"/>
  <c r="F249" i="13"/>
  <c r="F250" i="13"/>
  <c r="F251" i="13"/>
  <c r="F252" i="13"/>
  <c r="F253" i="13"/>
  <c r="F254" i="13"/>
  <c r="F255" i="13"/>
  <c r="F256" i="13"/>
  <c r="F257" i="13"/>
  <c r="F258" i="13"/>
  <c r="F259" i="13"/>
  <c r="F248" i="13"/>
  <c r="X248" i="13"/>
  <c r="E248" i="13" s="1"/>
  <c r="E259" i="13"/>
  <c r="E258" i="13"/>
  <c r="E257" i="13"/>
  <c r="E256" i="13"/>
  <c r="E255" i="13"/>
  <c r="E254" i="13"/>
  <c r="E253" i="13"/>
  <c r="E252" i="13"/>
  <c r="E251" i="13"/>
  <c r="E250" i="13"/>
  <c r="E249" i="13"/>
  <c r="XFD67" i="31"/>
  <c r="J51" i="31"/>
  <c r="I51" i="31"/>
  <c r="K51" i="31" s="1"/>
  <c r="F50" i="31"/>
  <c r="J49" i="31"/>
  <c r="K49" i="31" s="1"/>
  <c r="I49" i="31"/>
  <c r="E49" i="31"/>
  <c r="I46" i="31"/>
  <c r="I45" i="31"/>
  <c r="I44" i="31"/>
  <c r="I40" i="31"/>
  <c r="I39" i="31"/>
  <c r="I38" i="31"/>
  <c r="I34" i="31"/>
  <c r="I33" i="31"/>
  <c r="I32" i="31"/>
  <c r="I28" i="31"/>
  <c r="I27" i="31"/>
  <c r="I26" i="31"/>
  <c r="J22" i="31"/>
  <c r="J21" i="31"/>
  <c r="D21" i="31"/>
  <c r="J20" i="31"/>
  <c r="J19" i="31"/>
  <c r="E19" i="31"/>
  <c r="J18" i="31"/>
  <c r="J17" i="31"/>
  <c r="J16" i="31"/>
  <c r="J15" i="31"/>
  <c r="E14" i="31"/>
  <c r="J13" i="30"/>
  <c r="XFD67" i="30"/>
  <c r="J51" i="30"/>
  <c r="I51" i="30"/>
  <c r="F50" i="30"/>
  <c r="J49" i="30"/>
  <c r="I49" i="30"/>
  <c r="K49" i="30" s="1"/>
  <c r="E49" i="30"/>
  <c r="I46" i="30"/>
  <c r="I45" i="30"/>
  <c r="I44" i="30"/>
  <c r="I40" i="30"/>
  <c r="I39" i="30"/>
  <c r="I38" i="30"/>
  <c r="I34" i="30"/>
  <c r="I33" i="30"/>
  <c r="I32" i="30"/>
  <c r="I28" i="30"/>
  <c r="I27" i="30"/>
  <c r="I26" i="30"/>
  <c r="J22" i="30"/>
  <c r="J21" i="30"/>
  <c r="D21" i="30"/>
  <c r="J20" i="30"/>
  <c r="J19" i="30"/>
  <c r="E19" i="30"/>
  <c r="J18" i="30"/>
  <c r="J17" i="30"/>
  <c r="J16" i="30"/>
  <c r="J15" i="30"/>
  <c r="J14" i="30"/>
  <c r="E14" i="30"/>
  <c r="E13" i="30"/>
  <c r="J53" i="29"/>
  <c r="J52" i="29"/>
  <c r="XFD67" i="29"/>
  <c r="J51" i="29"/>
  <c r="I51" i="29"/>
  <c r="F50" i="29"/>
  <c r="J49" i="29"/>
  <c r="I49" i="29"/>
  <c r="E49" i="29"/>
  <c r="I46" i="29"/>
  <c r="I45" i="29"/>
  <c r="I44" i="29"/>
  <c r="I40" i="29"/>
  <c r="I39" i="29"/>
  <c r="I38" i="29"/>
  <c r="I34" i="29"/>
  <c r="I33" i="29"/>
  <c r="I32" i="29"/>
  <c r="I28" i="29"/>
  <c r="I27" i="29"/>
  <c r="I26" i="29"/>
  <c r="J22" i="29"/>
  <c r="J21" i="29"/>
  <c r="D21" i="29"/>
  <c r="J20" i="29"/>
  <c r="J19" i="29"/>
  <c r="E19" i="29"/>
  <c r="J18" i="29"/>
  <c r="J17" i="29"/>
  <c r="J16" i="29"/>
  <c r="J15" i="29"/>
  <c r="J14" i="29"/>
  <c r="E14" i="29"/>
  <c r="J13" i="29"/>
  <c r="E13" i="29"/>
  <c r="J53" i="28"/>
  <c r="J52" i="28"/>
  <c r="J13" i="28"/>
  <c r="XFD67" i="28"/>
  <c r="J51" i="28"/>
  <c r="I51" i="28"/>
  <c r="K51" i="28" s="1"/>
  <c r="F50" i="28"/>
  <c r="J49" i="28"/>
  <c r="I49" i="28"/>
  <c r="E49" i="28"/>
  <c r="I46" i="28"/>
  <c r="I45" i="28"/>
  <c r="I44" i="28"/>
  <c r="I40" i="28"/>
  <c r="I39" i="28"/>
  <c r="I38" i="28"/>
  <c r="I34" i="28"/>
  <c r="I33" i="28"/>
  <c r="I32" i="28"/>
  <c r="I28" i="28"/>
  <c r="I27" i="28"/>
  <c r="I26" i="28"/>
  <c r="J22" i="28"/>
  <c r="J21" i="28"/>
  <c r="D21" i="28"/>
  <c r="J20" i="28"/>
  <c r="J19" i="28"/>
  <c r="E19" i="28"/>
  <c r="J18" i="28"/>
  <c r="J17" i="28"/>
  <c r="J16" i="28"/>
  <c r="J15" i="28"/>
  <c r="J14" i="28"/>
  <c r="E14" i="28"/>
  <c r="E13" i="28"/>
  <c r="J53" i="27"/>
  <c r="J52" i="27"/>
  <c r="XFD67" i="27"/>
  <c r="J51" i="27"/>
  <c r="K51" i="27" s="1"/>
  <c r="I51" i="27"/>
  <c r="F50" i="27"/>
  <c r="J49" i="27"/>
  <c r="I49" i="27"/>
  <c r="K49" i="27" s="1"/>
  <c r="E49" i="27"/>
  <c r="I46" i="27"/>
  <c r="I45" i="27"/>
  <c r="I44" i="27"/>
  <c r="I40" i="27"/>
  <c r="I39" i="27"/>
  <c r="I38" i="27"/>
  <c r="I34" i="27"/>
  <c r="I33" i="27"/>
  <c r="I32" i="27"/>
  <c r="I28" i="27"/>
  <c r="I27" i="27"/>
  <c r="I26" i="27"/>
  <c r="J22" i="27"/>
  <c r="J21" i="27"/>
  <c r="D21" i="27"/>
  <c r="J20" i="27"/>
  <c r="J19" i="27"/>
  <c r="E19" i="27"/>
  <c r="J18" i="27"/>
  <c r="J17" i="27"/>
  <c r="J16" i="27"/>
  <c r="J15" i="27"/>
  <c r="J14" i="27"/>
  <c r="E14" i="27"/>
  <c r="J13" i="27"/>
  <c r="E13" i="27"/>
  <c r="J55" i="24"/>
  <c r="J54" i="24"/>
  <c r="XFD67" i="26"/>
  <c r="J51" i="26"/>
  <c r="I51" i="26"/>
  <c r="K51" i="26" s="1"/>
  <c r="F50" i="26"/>
  <c r="J49" i="26"/>
  <c r="I49" i="26"/>
  <c r="K49" i="26" s="1"/>
  <c r="E49" i="26"/>
  <c r="I46" i="26"/>
  <c r="I45" i="26"/>
  <c r="I44" i="26"/>
  <c r="I40" i="26"/>
  <c r="I39" i="26"/>
  <c r="I38" i="26"/>
  <c r="I34" i="26"/>
  <c r="I33" i="26"/>
  <c r="I32" i="26"/>
  <c r="I28" i="26"/>
  <c r="I27" i="26"/>
  <c r="I26" i="26"/>
  <c r="J22" i="26"/>
  <c r="J21" i="26"/>
  <c r="D21" i="26"/>
  <c r="J20" i="26"/>
  <c r="J19" i="26"/>
  <c r="E19" i="26"/>
  <c r="J18" i="26"/>
  <c r="J17" i="26"/>
  <c r="J16" i="26"/>
  <c r="J15" i="26"/>
  <c r="J14" i="26"/>
  <c r="E14" i="26"/>
  <c r="J13" i="26"/>
  <c r="E13" i="26"/>
  <c r="J53" i="25"/>
  <c r="J52" i="25"/>
  <c r="J13" i="25"/>
  <c r="XFD67" i="25"/>
  <c r="J51" i="25"/>
  <c r="I51" i="25"/>
  <c r="F50" i="25"/>
  <c r="J49" i="25"/>
  <c r="I49" i="25"/>
  <c r="K49" i="25" s="1"/>
  <c r="E49" i="25"/>
  <c r="I46" i="25"/>
  <c r="I45" i="25"/>
  <c r="I44" i="25"/>
  <c r="I40" i="25"/>
  <c r="I39" i="25"/>
  <c r="I38" i="25"/>
  <c r="I34" i="25"/>
  <c r="I33" i="25"/>
  <c r="I32" i="25"/>
  <c r="I28" i="25"/>
  <c r="I27" i="25"/>
  <c r="I26" i="25"/>
  <c r="J22" i="25"/>
  <c r="J21" i="25"/>
  <c r="D21" i="25"/>
  <c r="J20" i="25"/>
  <c r="J19" i="25"/>
  <c r="E19" i="25"/>
  <c r="J18" i="25"/>
  <c r="J17" i="25"/>
  <c r="J16" i="25"/>
  <c r="J15" i="25"/>
  <c r="J14" i="25"/>
  <c r="E14" i="25"/>
  <c r="E13" i="25"/>
  <c r="XFD69" i="24"/>
  <c r="J53" i="24"/>
  <c r="I53" i="24"/>
  <c r="F52" i="24"/>
  <c r="J51" i="24"/>
  <c r="I51" i="24"/>
  <c r="K51" i="24" s="1"/>
  <c r="E51" i="24"/>
  <c r="I47" i="24"/>
  <c r="I46" i="24"/>
  <c r="I45" i="24"/>
  <c r="I41" i="24"/>
  <c r="I40" i="24"/>
  <c r="I39" i="24"/>
  <c r="I35" i="24"/>
  <c r="I34" i="24"/>
  <c r="I33" i="24"/>
  <c r="I28" i="24"/>
  <c r="I27" i="24"/>
  <c r="I26" i="24"/>
  <c r="J22" i="24"/>
  <c r="J21" i="24"/>
  <c r="D21" i="24"/>
  <c r="J20" i="24"/>
  <c r="J19" i="24"/>
  <c r="E19" i="24"/>
  <c r="J18" i="24"/>
  <c r="J17" i="24"/>
  <c r="J16" i="24"/>
  <c r="J15" i="24"/>
  <c r="J14" i="24"/>
  <c r="E14" i="24"/>
  <c r="J13" i="24"/>
  <c r="E13" i="24"/>
  <c r="XFD69" i="23"/>
  <c r="J53" i="23"/>
  <c r="I53" i="23"/>
  <c r="K53" i="23" s="1"/>
  <c r="F52" i="23"/>
  <c r="J51" i="23"/>
  <c r="I51" i="23"/>
  <c r="K51" i="23" s="1"/>
  <c r="E51" i="23"/>
  <c r="I47" i="23"/>
  <c r="I46" i="23"/>
  <c r="I45" i="23"/>
  <c r="I41" i="23"/>
  <c r="I40" i="23"/>
  <c r="I39" i="23"/>
  <c r="I35" i="23"/>
  <c r="I34" i="23"/>
  <c r="I33" i="23"/>
  <c r="I28" i="23"/>
  <c r="I27" i="23"/>
  <c r="I26" i="23"/>
  <c r="J22" i="23"/>
  <c r="J21" i="23"/>
  <c r="D21" i="23"/>
  <c r="J20" i="23"/>
  <c r="J19" i="23"/>
  <c r="E19" i="23"/>
  <c r="J18" i="23"/>
  <c r="J17" i="23"/>
  <c r="J16" i="23"/>
  <c r="J15" i="23"/>
  <c r="J14" i="23"/>
  <c r="E14" i="23"/>
  <c r="J13" i="23"/>
  <c r="E13" i="23"/>
  <c r="J13" i="22"/>
  <c r="E13" i="22"/>
  <c r="XFD69" i="22"/>
  <c r="J53" i="22"/>
  <c r="I53" i="22"/>
  <c r="F52" i="22"/>
  <c r="J51" i="22"/>
  <c r="I51" i="22"/>
  <c r="I47" i="22"/>
  <c r="I46" i="22"/>
  <c r="I45" i="22"/>
  <c r="I41" i="22"/>
  <c r="I40" i="22"/>
  <c r="I39" i="22"/>
  <c r="I35" i="22"/>
  <c r="I34" i="22"/>
  <c r="I33" i="22"/>
  <c r="I28" i="22"/>
  <c r="I27" i="22"/>
  <c r="I26" i="22"/>
  <c r="J22" i="22"/>
  <c r="J21" i="22"/>
  <c r="D21" i="22"/>
  <c r="J20" i="22"/>
  <c r="J19" i="22"/>
  <c r="E19" i="22"/>
  <c r="J18" i="22"/>
  <c r="J17" i="22"/>
  <c r="J16" i="22"/>
  <c r="J15" i="22"/>
  <c r="J14" i="22"/>
  <c r="E14" i="22"/>
  <c r="J13" i="21"/>
  <c r="XFD69" i="21"/>
  <c r="J53" i="21"/>
  <c r="I53" i="21"/>
  <c r="K53" i="21" s="1"/>
  <c r="F52" i="21"/>
  <c r="J51" i="21"/>
  <c r="I51" i="21"/>
  <c r="E51" i="21"/>
  <c r="I47" i="21"/>
  <c r="I46" i="21"/>
  <c r="I45" i="21"/>
  <c r="I41" i="21"/>
  <c r="I40" i="21"/>
  <c r="I39" i="21"/>
  <c r="I35" i="21"/>
  <c r="I34" i="21"/>
  <c r="I33" i="21"/>
  <c r="I28" i="21"/>
  <c r="I27" i="21"/>
  <c r="I26" i="21"/>
  <c r="J22" i="21"/>
  <c r="J21" i="21"/>
  <c r="D21" i="21"/>
  <c r="J20" i="21"/>
  <c r="J19" i="21"/>
  <c r="E19" i="21"/>
  <c r="J18" i="21"/>
  <c r="J17" i="21"/>
  <c r="J16" i="21"/>
  <c r="J15" i="21"/>
  <c r="J14" i="21"/>
  <c r="E14" i="21"/>
  <c r="E13" i="21"/>
  <c r="J15" i="19"/>
  <c r="E14" i="19"/>
  <c r="J14" i="19"/>
  <c r="J13" i="19"/>
  <c r="E13" i="19"/>
  <c r="XFD69" i="19"/>
  <c r="J55" i="19"/>
  <c r="J54" i="19"/>
  <c r="J53" i="19"/>
  <c r="I53" i="19"/>
  <c r="K53" i="19" s="1"/>
  <c r="F52" i="19"/>
  <c r="J51" i="19"/>
  <c r="I51" i="19"/>
  <c r="E51" i="19"/>
  <c r="I47" i="19"/>
  <c r="I46" i="19"/>
  <c r="I45" i="19"/>
  <c r="I41" i="19"/>
  <c r="I40" i="19"/>
  <c r="I39" i="19"/>
  <c r="I35" i="19"/>
  <c r="I34" i="19"/>
  <c r="I33" i="19"/>
  <c r="I28" i="19"/>
  <c r="I27" i="19"/>
  <c r="I26" i="19"/>
  <c r="J22" i="19"/>
  <c r="J21" i="19"/>
  <c r="D21" i="19"/>
  <c r="J20" i="19"/>
  <c r="J19" i="19"/>
  <c r="E19" i="19"/>
  <c r="J18" i="19"/>
  <c r="J17" i="19"/>
  <c r="J16" i="19"/>
  <c r="E51" i="17"/>
  <c r="I47" i="17"/>
  <c r="I46" i="17"/>
  <c r="I45" i="17"/>
  <c r="I41" i="17"/>
  <c r="I40" i="17"/>
  <c r="I39" i="17"/>
  <c r="I35" i="17"/>
  <c r="I34" i="17"/>
  <c r="I33" i="17"/>
  <c r="I28" i="17"/>
  <c r="I27" i="17"/>
  <c r="I26" i="17"/>
  <c r="G118" i="113" l="1"/>
  <c r="G119" i="113"/>
  <c r="G120" i="113" s="1"/>
  <c r="G124" i="113" s="1"/>
  <c r="G125" i="113"/>
  <c r="I94" i="112"/>
  <c r="K94" i="112" s="1"/>
  <c r="K95" i="112" s="1"/>
  <c r="G103" i="112" s="1"/>
  <c r="G104" i="112" s="1"/>
  <c r="U377" i="103"/>
  <c r="G100" i="112"/>
  <c r="G106" i="112"/>
  <c r="G99" i="112"/>
  <c r="S139" i="103"/>
  <c r="N140" i="103"/>
  <c r="O141" i="103"/>
  <c r="K45" i="35"/>
  <c r="K43" i="66"/>
  <c r="K43" i="58"/>
  <c r="K43" i="62"/>
  <c r="K43" i="56"/>
  <c r="K45" i="39"/>
  <c r="K45" i="42"/>
  <c r="K43" i="60"/>
  <c r="K43" i="51"/>
  <c r="K43" i="57"/>
  <c r="F31" i="34"/>
  <c r="F35" i="34" s="1"/>
  <c r="F31" i="41"/>
  <c r="F35" i="41" s="1"/>
  <c r="F29" i="50"/>
  <c r="F33" i="50" s="1"/>
  <c r="F29" i="52"/>
  <c r="F33" i="52" s="1"/>
  <c r="F25" i="35"/>
  <c r="F29" i="35" s="1"/>
  <c r="F25" i="37"/>
  <c r="F29" i="37" s="1"/>
  <c r="D17" i="68"/>
  <c r="F17" i="68" s="1"/>
  <c r="F21" i="68" s="1"/>
  <c r="K51" i="66"/>
  <c r="G61" i="66"/>
  <c r="F14" i="66"/>
  <c r="F21" i="66" s="1"/>
  <c r="K53" i="67"/>
  <c r="G61" i="67" s="1"/>
  <c r="F13" i="67"/>
  <c r="D17" i="67"/>
  <c r="F17" i="67" s="1"/>
  <c r="K51" i="65"/>
  <c r="K53" i="65"/>
  <c r="G61" i="65" s="1"/>
  <c r="K21" i="65"/>
  <c r="F13" i="65"/>
  <c r="F21" i="65" s="1"/>
  <c r="K50" i="64"/>
  <c r="K21" i="64"/>
  <c r="K53" i="64"/>
  <c r="G61" i="64" s="1"/>
  <c r="G61" i="63"/>
  <c r="K13" i="63"/>
  <c r="F13" i="63"/>
  <c r="F14" i="63"/>
  <c r="K50" i="62"/>
  <c r="K53" i="62" s="1"/>
  <c r="G61" i="62" s="1"/>
  <c r="K15" i="62"/>
  <c r="K14" i="62"/>
  <c r="K13" i="62"/>
  <c r="F21" i="62"/>
  <c r="K51" i="61"/>
  <c r="G61" i="61" s="1"/>
  <c r="K16" i="61"/>
  <c r="K13" i="61"/>
  <c r="F14" i="61"/>
  <c r="K51" i="60"/>
  <c r="K50" i="60"/>
  <c r="G61" i="60" s="1"/>
  <c r="F14" i="60"/>
  <c r="K52" i="59"/>
  <c r="G61" i="59" s="1"/>
  <c r="K13" i="59"/>
  <c r="K16" i="59"/>
  <c r="F13" i="59"/>
  <c r="D17" i="59"/>
  <c r="F17" i="59" s="1"/>
  <c r="K13" i="58"/>
  <c r="K21" i="58" s="1"/>
  <c r="K50" i="58"/>
  <c r="G61" i="58" s="1"/>
  <c r="F14" i="58"/>
  <c r="F21" i="58" s="1"/>
  <c r="K51" i="57"/>
  <c r="F21" i="57"/>
  <c r="G61" i="57"/>
  <c r="K53" i="54"/>
  <c r="K50" i="53"/>
  <c r="K53" i="53" s="1"/>
  <c r="G61" i="53" s="1"/>
  <c r="K51" i="51"/>
  <c r="K53" i="51" s="1"/>
  <c r="G61" i="51" s="1"/>
  <c r="K50" i="56"/>
  <c r="G61" i="56" s="1"/>
  <c r="F23" i="50"/>
  <c r="F27" i="50" s="1"/>
  <c r="F41" i="55"/>
  <c r="F45" i="55" s="1"/>
  <c r="F29" i="55"/>
  <c r="F33" i="55" s="1"/>
  <c r="K25" i="55"/>
  <c r="K24" i="55"/>
  <c r="K16" i="55"/>
  <c r="F21" i="55"/>
  <c r="G61" i="55"/>
  <c r="F14" i="55"/>
  <c r="G61" i="54"/>
  <c r="F13" i="54"/>
  <c r="K50" i="52"/>
  <c r="K53" i="52" s="1"/>
  <c r="G61" i="52" s="1"/>
  <c r="K15" i="52"/>
  <c r="F14" i="52"/>
  <c r="K14" i="52"/>
  <c r="K14" i="50"/>
  <c r="K14" i="51"/>
  <c r="F13" i="51"/>
  <c r="F14" i="50"/>
  <c r="G61" i="50"/>
  <c r="D17" i="50"/>
  <c r="F17" i="50" s="1"/>
  <c r="K47" i="49"/>
  <c r="K20" i="49"/>
  <c r="K25" i="49"/>
  <c r="K30" i="49"/>
  <c r="K44" i="49"/>
  <c r="K50" i="49"/>
  <c r="K53" i="49" s="1"/>
  <c r="K51" i="49"/>
  <c r="K24" i="49"/>
  <c r="K43" i="49"/>
  <c r="K19" i="33"/>
  <c r="K19" i="32"/>
  <c r="D19" i="34"/>
  <c r="F19" i="34" s="1"/>
  <c r="K19" i="42"/>
  <c r="D23" i="44"/>
  <c r="F19" i="49"/>
  <c r="K17" i="49"/>
  <c r="K26" i="49"/>
  <c r="K31" i="49"/>
  <c r="F13" i="49"/>
  <c r="F23" i="49"/>
  <c r="F27" i="49" s="1"/>
  <c r="F41" i="49"/>
  <c r="F45" i="49" s="1"/>
  <c r="K13" i="49"/>
  <c r="K49" i="49"/>
  <c r="K36" i="49"/>
  <c r="K14" i="49"/>
  <c r="F17" i="49"/>
  <c r="K19" i="49"/>
  <c r="K32" i="49"/>
  <c r="K37" i="49"/>
  <c r="K42" i="49"/>
  <c r="F35" i="49"/>
  <c r="F39" i="49" s="1"/>
  <c r="K38" i="49"/>
  <c r="I16" i="36"/>
  <c r="K16" i="36" s="1"/>
  <c r="K16" i="49"/>
  <c r="I14" i="39"/>
  <c r="K14" i="39" s="1"/>
  <c r="F14" i="39"/>
  <c r="H254" i="44"/>
  <c r="E255" i="44"/>
  <c r="E262" i="44" s="1"/>
  <c r="E261" i="44"/>
  <c r="F14" i="49"/>
  <c r="K53" i="42"/>
  <c r="F13" i="42"/>
  <c r="K54" i="42"/>
  <c r="G62" i="42" s="1"/>
  <c r="F14" i="42"/>
  <c r="F23" i="42" s="1"/>
  <c r="K52" i="41"/>
  <c r="I13" i="41"/>
  <c r="K13" i="41" s="1"/>
  <c r="K54" i="41"/>
  <c r="G62" i="41" s="1"/>
  <c r="K19" i="41"/>
  <c r="F14" i="41"/>
  <c r="F23" i="41" s="1"/>
  <c r="F13" i="40"/>
  <c r="K54" i="40"/>
  <c r="G62" i="40" s="1"/>
  <c r="K19" i="40"/>
  <c r="F14" i="40"/>
  <c r="K53" i="39"/>
  <c r="K52" i="39"/>
  <c r="K54" i="39" s="1"/>
  <c r="G62" i="39" s="1"/>
  <c r="F23" i="39"/>
  <c r="K54" i="38"/>
  <c r="G62" i="38" s="1"/>
  <c r="F14" i="38"/>
  <c r="F23" i="38" s="1"/>
  <c r="K14" i="38"/>
  <c r="F13" i="38"/>
  <c r="K53" i="37"/>
  <c r="K54" i="37"/>
  <c r="G62" i="37" s="1"/>
  <c r="F14" i="37"/>
  <c r="F23" i="37" s="1"/>
  <c r="K52" i="36"/>
  <c r="K53" i="36"/>
  <c r="K54" i="36" s="1"/>
  <c r="G62" i="36" s="1"/>
  <c r="K18" i="36"/>
  <c r="I13" i="36"/>
  <c r="K13" i="36" s="1"/>
  <c r="F13" i="36"/>
  <c r="K19" i="36"/>
  <c r="F14" i="36"/>
  <c r="F23" i="36" s="1"/>
  <c r="K53" i="35"/>
  <c r="K54" i="35" s="1"/>
  <c r="G62" i="35" s="1"/>
  <c r="K52" i="35"/>
  <c r="F13" i="35"/>
  <c r="F14" i="35"/>
  <c r="K16" i="33"/>
  <c r="K54" i="34"/>
  <c r="G62" i="34" s="1"/>
  <c r="I14" i="34"/>
  <c r="K14" i="34" s="1"/>
  <c r="F13" i="34"/>
  <c r="I13" i="34"/>
  <c r="K13" i="34" s="1"/>
  <c r="F13" i="33"/>
  <c r="K54" i="33"/>
  <c r="G62" i="33" s="1"/>
  <c r="F14" i="33"/>
  <c r="F23" i="33" s="1"/>
  <c r="K54" i="32"/>
  <c r="G62" i="32" s="1"/>
  <c r="F23" i="32"/>
  <c r="I14" i="32"/>
  <c r="K14" i="32" s="1"/>
  <c r="K49" i="29"/>
  <c r="K51" i="19"/>
  <c r="K49" i="28"/>
  <c r="K51" i="22"/>
  <c r="K53" i="22"/>
  <c r="K53" i="24"/>
  <c r="K51" i="29"/>
  <c r="K51" i="21"/>
  <c r="K51" i="30"/>
  <c r="K51" i="25"/>
  <c r="I41" i="20"/>
  <c r="I40" i="20"/>
  <c r="I39" i="20"/>
  <c r="I35" i="20"/>
  <c r="I34" i="20"/>
  <c r="I33" i="20"/>
  <c r="E44" i="20"/>
  <c r="E49" i="16"/>
  <c r="I29" i="20"/>
  <c r="I28" i="20"/>
  <c r="I27" i="20"/>
  <c r="I38" i="16"/>
  <c r="I37" i="16"/>
  <c r="I36" i="16"/>
  <c r="G101" i="112" l="1"/>
  <c r="G105" i="112" s="1"/>
  <c r="G107" i="112" s="1"/>
  <c r="G126" i="113"/>
  <c r="S140" i="103"/>
  <c r="O142" i="103"/>
  <c r="N141" i="103"/>
  <c r="G61" i="49"/>
  <c r="F23" i="34"/>
  <c r="E256" i="44"/>
  <c r="F23" i="40"/>
  <c r="F23" i="35"/>
  <c r="I29" i="101"/>
  <c r="S141" i="103" l="1"/>
  <c r="N142" i="103"/>
  <c r="O143" i="103"/>
  <c r="E257" i="44"/>
  <c r="E263" i="44"/>
  <c r="J53" i="17"/>
  <c r="I53" i="17"/>
  <c r="J51" i="16"/>
  <c r="I51" i="16"/>
  <c r="J46" i="20"/>
  <c r="I46" i="20"/>
  <c r="J51" i="17"/>
  <c r="I51" i="17"/>
  <c r="J49" i="16"/>
  <c r="I49" i="16"/>
  <c r="J44" i="20"/>
  <c r="I44" i="20"/>
  <c r="D21" i="20"/>
  <c r="D21" i="17"/>
  <c r="J22" i="17"/>
  <c r="J21" i="17"/>
  <c r="E19" i="17"/>
  <c r="J20" i="17"/>
  <c r="J19" i="17"/>
  <c r="J18" i="17"/>
  <c r="J17" i="17"/>
  <c r="J16" i="17"/>
  <c r="J15" i="17"/>
  <c r="J13" i="17"/>
  <c r="E13" i="17"/>
  <c r="E14" i="17"/>
  <c r="J14" i="17"/>
  <c r="D30" i="13"/>
  <c r="D10" i="13"/>
  <c r="D9" i="13" s="1"/>
  <c r="D32" i="13" s="1"/>
  <c r="D7" i="13"/>
  <c r="J14" i="16"/>
  <c r="J13" i="20"/>
  <c r="J12" i="20"/>
  <c r="O144" i="103" l="1"/>
  <c r="N143" i="103"/>
  <c r="S142" i="103"/>
  <c r="E258" i="44"/>
  <c r="E264" i="44"/>
  <c r="D33" i="13"/>
  <c r="K8" i="109"/>
  <c r="J8" i="109"/>
  <c r="K49" i="109"/>
  <c r="L52" i="109"/>
  <c r="L51" i="109"/>
  <c r="L50" i="109"/>
  <c r="L49" i="109"/>
  <c r="F84" i="105"/>
  <c r="E74" i="105"/>
  <c r="E73" i="105"/>
  <c r="E72" i="105"/>
  <c r="G64" i="105"/>
  <c r="L63" i="104"/>
  <c r="L62" i="104"/>
  <c r="E44" i="109" s="1"/>
  <c r="I63" i="104"/>
  <c r="H63" i="104"/>
  <c r="I62" i="104"/>
  <c r="H62" i="104" s="1"/>
  <c r="K60" i="104"/>
  <c r="I60" i="104"/>
  <c r="J60" i="104" s="1"/>
  <c r="I59" i="104"/>
  <c r="J59" i="104" s="1"/>
  <c r="H60" i="104"/>
  <c r="H59" i="104"/>
  <c r="K52" i="104"/>
  <c r="H52" i="104"/>
  <c r="K51" i="104"/>
  <c r="H51" i="104"/>
  <c r="L50" i="104"/>
  <c r="J50" i="104"/>
  <c r="K56" i="104" s="1"/>
  <c r="K26" i="109" s="1"/>
  <c r="H50" i="104"/>
  <c r="H54" i="104" s="1"/>
  <c r="N39" i="104"/>
  <c r="K13" i="109" s="1"/>
  <c r="K48" i="104"/>
  <c r="I48" i="104"/>
  <c r="H48" i="104"/>
  <c r="K17" i="109" s="1"/>
  <c r="H11" i="104"/>
  <c r="H42" i="104"/>
  <c r="H44" i="104" s="1"/>
  <c r="H40" i="104"/>
  <c r="A66" i="104"/>
  <c r="E38" i="109" s="1"/>
  <c r="C60" i="104"/>
  <c r="C59" i="104"/>
  <c r="B60" i="104"/>
  <c r="B59" i="104"/>
  <c r="C55" i="104"/>
  <c r="C54" i="104"/>
  <c r="C52" i="104"/>
  <c r="K44" i="109" l="1"/>
  <c r="E30" i="109"/>
  <c r="S143" i="103"/>
  <c r="N144" i="103"/>
  <c r="O145" i="103"/>
  <c r="E259" i="44"/>
  <c r="E266" i="44" s="1"/>
  <c r="E265" i="44"/>
  <c r="K28" i="109"/>
  <c r="M28" i="109" s="1"/>
  <c r="F83" i="105"/>
  <c r="E17" i="109"/>
  <c r="G17" i="109" s="1"/>
  <c r="E37" i="109"/>
  <c r="G37" i="109" s="1"/>
  <c r="E21" i="109"/>
  <c r="G21" i="109" s="1"/>
  <c r="C50" i="104"/>
  <c r="B48" i="104"/>
  <c r="C48" i="104" s="1"/>
  <c r="B46" i="104"/>
  <c r="C46" i="104" s="1"/>
  <c r="B44" i="104"/>
  <c r="C44" i="104" s="1"/>
  <c r="B42" i="104"/>
  <c r="C42" i="104" s="1"/>
  <c r="B40" i="104"/>
  <c r="C40" i="104" s="1"/>
  <c r="L68" i="104"/>
  <c r="N62" i="104"/>
  <c r="N64" i="104" s="1"/>
  <c r="K45" i="109" s="1"/>
  <c r="M45" i="109" s="1"/>
  <c r="J62" i="104"/>
  <c r="E60" i="104"/>
  <c r="K59" i="104"/>
  <c r="K37" i="109" s="1"/>
  <c r="M37" i="109" s="1"/>
  <c r="E59" i="104"/>
  <c r="K30" i="109" s="1"/>
  <c r="M30" i="109" s="1"/>
  <c r="C57" i="104"/>
  <c r="P52" i="104"/>
  <c r="P51" i="104"/>
  <c r="K50" i="104"/>
  <c r="K57" i="104" s="1"/>
  <c r="K27" i="109" s="1"/>
  <c r="I42" i="104"/>
  <c r="I44" i="104"/>
  <c r="E16" i="109" s="1"/>
  <c r="K16" i="109" s="1"/>
  <c r="M16" i="109" s="1"/>
  <c r="K68" i="104"/>
  <c r="E13" i="109"/>
  <c r="M49" i="109"/>
  <c r="F48" i="109"/>
  <c r="L45" i="109"/>
  <c r="L44" i="109"/>
  <c r="M44" i="109"/>
  <c r="F44" i="109"/>
  <c r="G44" i="109"/>
  <c r="L43" i="109"/>
  <c r="L42" i="109"/>
  <c r="L41" i="109"/>
  <c r="L39" i="109"/>
  <c r="L38" i="109"/>
  <c r="G38" i="109"/>
  <c r="F38" i="109"/>
  <c r="K38" i="109"/>
  <c r="M38" i="109" s="1"/>
  <c r="L37" i="109"/>
  <c r="F37" i="109"/>
  <c r="L36" i="109"/>
  <c r="L35" i="109"/>
  <c r="F35" i="109"/>
  <c r="L34" i="109"/>
  <c r="F34" i="109"/>
  <c r="L33" i="109"/>
  <c r="F33" i="109"/>
  <c r="L32" i="109"/>
  <c r="F32" i="109"/>
  <c r="L31" i="109"/>
  <c r="F31" i="109"/>
  <c r="L30" i="109"/>
  <c r="F30" i="109"/>
  <c r="G30" i="109"/>
  <c r="L29" i="109"/>
  <c r="F29" i="109"/>
  <c r="L28" i="109"/>
  <c r="L27" i="109"/>
  <c r="L26" i="109"/>
  <c r="M26" i="109"/>
  <c r="L25" i="109"/>
  <c r="L24" i="109"/>
  <c r="L23" i="109"/>
  <c r="L22" i="109"/>
  <c r="L21" i="109"/>
  <c r="F21" i="109"/>
  <c r="L18" i="109"/>
  <c r="F18" i="109"/>
  <c r="C18" i="109"/>
  <c r="I17" i="109"/>
  <c r="L17" i="109" s="1"/>
  <c r="M17" i="109" s="1"/>
  <c r="F17" i="109"/>
  <c r="L16" i="109"/>
  <c r="F16" i="109"/>
  <c r="C16" i="109"/>
  <c r="F15" i="109"/>
  <c r="F14" i="109"/>
  <c r="L13" i="109"/>
  <c r="M13" i="109"/>
  <c r="F13" i="109"/>
  <c r="D8" i="109"/>
  <c r="R114" i="108"/>
  <c r="Q114" i="108"/>
  <c r="L114" i="108"/>
  <c r="K114" i="108"/>
  <c r="J114" i="108"/>
  <c r="I114" i="108"/>
  <c r="R113" i="108"/>
  <c r="Q113" i="108"/>
  <c r="L113" i="108"/>
  <c r="M113" i="108" s="1"/>
  <c r="K113" i="108"/>
  <c r="J113" i="108"/>
  <c r="I113" i="108"/>
  <c r="R112" i="108"/>
  <c r="Q112" i="108"/>
  <c r="K112" i="108"/>
  <c r="I112" i="108"/>
  <c r="L112" i="108" s="1"/>
  <c r="R111" i="108"/>
  <c r="Q111" i="108"/>
  <c r="L111" i="108"/>
  <c r="M111" i="108" s="1"/>
  <c r="K111" i="108"/>
  <c r="I111" i="108"/>
  <c r="J111" i="108" s="1"/>
  <c r="R110" i="108"/>
  <c r="Q110" i="108"/>
  <c r="L110" i="108"/>
  <c r="K110" i="108"/>
  <c r="I110" i="108"/>
  <c r="J110" i="108" s="1"/>
  <c r="R109" i="108"/>
  <c r="Q109" i="108"/>
  <c r="K109" i="108"/>
  <c r="I109" i="108"/>
  <c r="L109" i="108" s="1"/>
  <c r="R108" i="108"/>
  <c r="Q108" i="108"/>
  <c r="K108" i="108"/>
  <c r="I108" i="108"/>
  <c r="R107" i="108"/>
  <c r="Q107" i="108"/>
  <c r="K107" i="108"/>
  <c r="I107" i="108"/>
  <c r="J107" i="108" s="1"/>
  <c r="R106" i="108"/>
  <c r="Q106" i="108"/>
  <c r="L106" i="108"/>
  <c r="K106" i="108"/>
  <c r="J106" i="108"/>
  <c r="I106" i="108"/>
  <c r="R105" i="108"/>
  <c r="Q105" i="108"/>
  <c r="L105" i="108"/>
  <c r="K105" i="108"/>
  <c r="J105" i="108"/>
  <c r="I105" i="108"/>
  <c r="R104" i="108"/>
  <c r="Q104" i="108"/>
  <c r="K104" i="108"/>
  <c r="I104" i="108"/>
  <c r="L104" i="108" s="1"/>
  <c r="R103" i="108"/>
  <c r="Q103" i="108"/>
  <c r="K103" i="108"/>
  <c r="I103" i="108"/>
  <c r="J103" i="108" s="1"/>
  <c r="R102" i="108"/>
  <c r="Q102" i="108"/>
  <c r="L102" i="108"/>
  <c r="K102" i="108"/>
  <c r="I102" i="108"/>
  <c r="J102" i="108" s="1"/>
  <c r="R101" i="108"/>
  <c r="Q101" i="108"/>
  <c r="K101" i="108"/>
  <c r="J101" i="108"/>
  <c r="I101" i="108"/>
  <c r="L101" i="108" s="1"/>
  <c r="R100" i="108"/>
  <c r="Q100" i="108"/>
  <c r="L100" i="108"/>
  <c r="K100" i="108"/>
  <c r="J100" i="108"/>
  <c r="I100" i="108"/>
  <c r="R99" i="108"/>
  <c r="Q99" i="108"/>
  <c r="K99" i="108"/>
  <c r="I99" i="108"/>
  <c r="R98" i="108"/>
  <c r="Q98" i="108"/>
  <c r="L98" i="108"/>
  <c r="K98" i="108"/>
  <c r="J98" i="108"/>
  <c r="I98" i="108"/>
  <c r="R97" i="108"/>
  <c r="Q97" i="108"/>
  <c r="L97" i="108"/>
  <c r="K97" i="108"/>
  <c r="J97" i="108"/>
  <c r="I97" i="108"/>
  <c r="R96" i="108"/>
  <c r="Q96" i="108"/>
  <c r="K96" i="108"/>
  <c r="I96" i="108"/>
  <c r="L96" i="108" s="1"/>
  <c r="R95" i="108"/>
  <c r="Q95" i="108"/>
  <c r="L95" i="108"/>
  <c r="K95" i="108"/>
  <c r="I95" i="108"/>
  <c r="J95" i="108" s="1"/>
  <c r="R94" i="108"/>
  <c r="Q94" i="108"/>
  <c r="L94" i="108"/>
  <c r="M94" i="108" s="1"/>
  <c r="K94" i="108"/>
  <c r="I94" i="108"/>
  <c r="J94" i="108" s="1"/>
  <c r="R93" i="108"/>
  <c r="Q93" i="108"/>
  <c r="K93" i="108"/>
  <c r="I93" i="108"/>
  <c r="L93" i="108" s="1"/>
  <c r="R92" i="108"/>
  <c r="Q92" i="108"/>
  <c r="K92" i="108"/>
  <c r="I92" i="108"/>
  <c r="R91" i="108"/>
  <c r="Q91" i="108"/>
  <c r="K91" i="108"/>
  <c r="I91" i="108"/>
  <c r="J91" i="108" s="1"/>
  <c r="R90" i="108"/>
  <c r="Q90" i="108"/>
  <c r="L90" i="108"/>
  <c r="K90" i="108"/>
  <c r="J90" i="108"/>
  <c r="I90" i="108"/>
  <c r="R89" i="108"/>
  <c r="Q89" i="108"/>
  <c r="L89" i="108"/>
  <c r="K89" i="108"/>
  <c r="J89" i="108"/>
  <c r="I89" i="108"/>
  <c r="R88" i="108"/>
  <c r="Q88" i="108"/>
  <c r="K88" i="108"/>
  <c r="J88" i="108"/>
  <c r="I88" i="108"/>
  <c r="L88" i="108" s="1"/>
  <c r="R87" i="108"/>
  <c r="Q87" i="108"/>
  <c r="K87" i="108"/>
  <c r="I87" i="108"/>
  <c r="J87" i="108" s="1"/>
  <c r="R86" i="108"/>
  <c r="Q86" i="108"/>
  <c r="L86" i="108"/>
  <c r="K86" i="108"/>
  <c r="I86" i="108"/>
  <c r="J86" i="108" s="1"/>
  <c r="R85" i="108"/>
  <c r="Q85" i="108"/>
  <c r="K85" i="108"/>
  <c r="I85" i="108"/>
  <c r="L85" i="108" s="1"/>
  <c r="R84" i="108"/>
  <c r="Q84" i="108"/>
  <c r="K84" i="108"/>
  <c r="I84" i="108"/>
  <c r="L84" i="108" s="1"/>
  <c r="R83" i="108"/>
  <c r="Q83" i="108"/>
  <c r="L83" i="108"/>
  <c r="K83" i="108"/>
  <c r="I83" i="108"/>
  <c r="J83" i="108" s="1"/>
  <c r="R82" i="108"/>
  <c r="Q82" i="108"/>
  <c r="L82" i="108"/>
  <c r="K82" i="108"/>
  <c r="J82" i="108"/>
  <c r="I82" i="108"/>
  <c r="R81" i="108"/>
  <c r="Q81" i="108"/>
  <c r="L81" i="108"/>
  <c r="M81" i="108" s="1"/>
  <c r="K81" i="108"/>
  <c r="J81" i="108"/>
  <c r="I81" i="108"/>
  <c r="R80" i="108"/>
  <c r="Q80" i="108"/>
  <c r="K80" i="108"/>
  <c r="I80" i="108"/>
  <c r="L80" i="108" s="1"/>
  <c r="R79" i="108"/>
  <c r="Q79" i="108"/>
  <c r="L79" i="108"/>
  <c r="K79" i="108"/>
  <c r="I79" i="108"/>
  <c r="J79" i="108" s="1"/>
  <c r="R78" i="108"/>
  <c r="Q78" i="108"/>
  <c r="L78" i="108"/>
  <c r="M78" i="108" s="1"/>
  <c r="K78" i="108"/>
  <c r="I78" i="108"/>
  <c r="J78" i="108" s="1"/>
  <c r="R77" i="108"/>
  <c r="Q77" i="108"/>
  <c r="K77" i="108"/>
  <c r="I77" i="108"/>
  <c r="L77" i="108" s="1"/>
  <c r="R76" i="108"/>
  <c r="Q76" i="108"/>
  <c r="K76" i="108"/>
  <c r="I76" i="108"/>
  <c r="R75" i="108"/>
  <c r="Q75" i="108"/>
  <c r="K75" i="108"/>
  <c r="I75" i="108"/>
  <c r="J75" i="108" s="1"/>
  <c r="R74" i="108"/>
  <c r="Q74" i="108"/>
  <c r="L74" i="108"/>
  <c r="K74" i="108"/>
  <c r="J74" i="108"/>
  <c r="I74" i="108"/>
  <c r="R73" i="108"/>
  <c r="Q73" i="108"/>
  <c r="L73" i="108"/>
  <c r="K73" i="108"/>
  <c r="J73" i="108"/>
  <c r="I73" i="108"/>
  <c r="R72" i="108"/>
  <c r="Q72" i="108"/>
  <c r="K72" i="108"/>
  <c r="I72" i="108"/>
  <c r="L72" i="108" s="1"/>
  <c r="R71" i="108"/>
  <c r="Q71" i="108"/>
  <c r="K71" i="108"/>
  <c r="I71" i="108"/>
  <c r="R70" i="108"/>
  <c r="Q70" i="108"/>
  <c r="L70" i="108"/>
  <c r="K70" i="108"/>
  <c r="I70" i="108"/>
  <c r="J70" i="108" s="1"/>
  <c r="R69" i="108"/>
  <c r="Q69" i="108"/>
  <c r="K69" i="108"/>
  <c r="I69" i="108"/>
  <c r="L69" i="108" s="1"/>
  <c r="R68" i="108"/>
  <c r="Q68" i="108"/>
  <c r="K68" i="108"/>
  <c r="I68" i="108"/>
  <c r="L68" i="108" s="1"/>
  <c r="R67" i="108"/>
  <c r="Q67" i="108"/>
  <c r="K67" i="108"/>
  <c r="I67" i="108"/>
  <c r="R66" i="108"/>
  <c r="Q66" i="108"/>
  <c r="L66" i="108"/>
  <c r="K66" i="108"/>
  <c r="J66" i="108"/>
  <c r="I66" i="108"/>
  <c r="R65" i="108"/>
  <c r="Q65" i="108"/>
  <c r="L65" i="108"/>
  <c r="K65" i="108"/>
  <c r="J65" i="108"/>
  <c r="I65" i="108"/>
  <c r="R64" i="108"/>
  <c r="Q64" i="108"/>
  <c r="K64" i="108"/>
  <c r="I64" i="108"/>
  <c r="L64" i="108" s="1"/>
  <c r="R63" i="108"/>
  <c r="Q63" i="108"/>
  <c r="L63" i="108"/>
  <c r="K63" i="108"/>
  <c r="I63" i="108"/>
  <c r="J63" i="108" s="1"/>
  <c r="R62" i="108"/>
  <c r="Q62" i="108"/>
  <c r="L62" i="108"/>
  <c r="M62" i="108" s="1"/>
  <c r="K62" i="108"/>
  <c r="I62" i="108"/>
  <c r="J62" i="108" s="1"/>
  <c r="R61" i="108"/>
  <c r="Q61" i="108"/>
  <c r="K61" i="108"/>
  <c r="I61" i="108"/>
  <c r="L61" i="108" s="1"/>
  <c r="R60" i="108"/>
  <c r="Q60" i="108"/>
  <c r="K60" i="108"/>
  <c r="I60" i="108"/>
  <c r="L60" i="108" s="1"/>
  <c r="R59" i="108"/>
  <c r="Q59" i="108"/>
  <c r="K59" i="108"/>
  <c r="I59" i="108"/>
  <c r="R58" i="108"/>
  <c r="Q58" i="108"/>
  <c r="L58" i="108"/>
  <c r="K58" i="108"/>
  <c r="J58" i="108"/>
  <c r="I58" i="108"/>
  <c r="R57" i="108"/>
  <c r="Q57" i="108"/>
  <c r="L57" i="108"/>
  <c r="K57" i="108"/>
  <c r="J57" i="108"/>
  <c r="I57" i="108"/>
  <c r="R56" i="108"/>
  <c r="Q56" i="108"/>
  <c r="K56" i="108"/>
  <c r="I56" i="108"/>
  <c r="L56" i="108" s="1"/>
  <c r="R55" i="108"/>
  <c r="Q55" i="108"/>
  <c r="K55" i="108"/>
  <c r="I55" i="108"/>
  <c r="J55" i="108" s="1"/>
  <c r="R54" i="108"/>
  <c r="Q54" i="108"/>
  <c r="L54" i="108"/>
  <c r="K54" i="108"/>
  <c r="I54" i="108"/>
  <c r="J54" i="108" s="1"/>
  <c r="R53" i="108"/>
  <c r="Q53" i="108"/>
  <c r="K53" i="108"/>
  <c r="J53" i="108"/>
  <c r="I53" i="108"/>
  <c r="L53" i="108" s="1"/>
  <c r="R52" i="108"/>
  <c r="Q52" i="108"/>
  <c r="K52" i="108"/>
  <c r="I52" i="108"/>
  <c r="L52" i="108" s="1"/>
  <c r="R51" i="108"/>
  <c r="Q51" i="108"/>
  <c r="L51" i="108"/>
  <c r="K51" i="108"/>
  <c r="I51" i="108"/>
  <c r="J51" i="108" s="1"/>
  <c r="R50" i="108"/>
  <c r="Q50" i="108"/>
  <c r="L50" i="108"/>
  <c r="K50" i="108"/>
  <c r="J50" i="108"/>
  <c r="I50" i="108"/>
  <c r="R49" i="108"/>
  <c r="Q49" i="108"/>
  <c r="L49" i="108"/>
  <c r="M49" i="108" s="1"/>
  <c r="K49" i="108"/>
  <c r="J49" i="108"/>
  <c r="I49" i="108"/>
  <c r="R48" i="108"/>
  <c r="Q48" i="108"/>
  <c r="K48" i="108"/>
  <c r="I48" i="108"/>
  <c r="L48" i="108" s="1"/>
  <c r="R47" i="108"/>
  <c r="Q47" i="108"/>
  <c r="L47" i="108"/>
  <c r="K47" i="108"/>
  <c r="I47" i="108"/>
  <c r="J47" i="108" s="1"/>
  <c r="R46" i="108"/>
  <c r="Q46" i="108"/>
  <c r="L46" i="108"/>
  <c r="M46" i="108" s="1"/>
  <c r="K46" i="108"/>
  <c r="I46" i="108"/>
  <c r="J46" i="108" s="1"/>
  <c r="R45" i="108"/>
  <c r="Q45" i="108"/>
  <c r="K45" i="108"/>
  <c r="I45" i="108"/>
  <c r="L45" i="108" s="1"/>
  <c r="R44" i="108"/>
  <c r="Q44" i="108"/>
  <c r="K44" i="108"/>
  <c r="J44" i="108"/>
  <c r="I44" i="108"/>
  <c r="L44" i="108" s="1"/>
  <c r="R43" i="108"/>
  <c r="Q43" i="108"/>
  <c r="K43" i="108"/>
  <c r="I43" i="108"/>
  <c r="R42" i="108"/>
  <c r="Q42" i="108"/>
  <c r="K42" i="108"/>
  <c r="I42" i="108"/>
  <c r="L42" i="108" s="1"/>
  <c r="R41" i="108"/>
  <c r="Q41" i="108"/>
  <c r="L41" i="108"/>
  <c r="K41" i="108"/>
  <c r="J41" i="108"/>
  <c r="I41" i="108"/>
  <c r="R40" i="108"/>
  <c r="Q40" i="108"/>
  <c r="K40" i="108"/>
  <c r="J40" i="108"/>
  <c r="I40" i="108"/>
  <c r="L40" i="108" s="1"/>
  <c r="R39" i="108"/>
  <c r="Q39" i="108"/>
  <c r="K39" i="108"/>
  <c r="J39" i="108"/>
  <c r="I39" i="108"/>
  <c r="L39" i="108" s="1"/>
  <c r="M39" i="108" s="1"/>
  <c r="R38" i="108"/>
  <c r="Q38" i="108"/>
  <c r="K38" i="108"/>
  <c r="I38" i="108"/>
  <c r="J38" i="108" s="1"/>
  <c r="R37" i="108"/>
  <c r="Q37" i="108"/>
  <c r="L37" i="108"/>
  <c r="M37" i="108" s="1"/>
  <c r="K37" i="108"/>
  <c r="J37" i="108"/>
  <c r="I37" i="108"/>
  <c r="R36" i="108"/>
  <c r="Q36" i="108"/>
  <c r="L36" i="108"/>
  <c r="K36" i="108"/>
  <c r="I36" i="108"/>
  <c r="J36" i="108" s="1"/>
  <c r="R35" i="108"/>
  <c r="Q35" i="108"/>
  <c r="K35" i="108"/>
  <c r="I35" i="108"/>
  <c r="L35" i="108" s="1"/>
  <c r="R34" i="108"/>
  <c r="Q34" i="108"/>
  <c r="K34" i="108"/>
  <c r="I34" i="108"/>
  <c r="L34" i="108" s="1"/>
  <c r="R33" i="108"/>
  <c r="Q33" i="108"/>
  <c r="L33" i="108"/>
  <c r="K33" i="108"/>
  <c r="J33" i="108"/>
  <c r="I33" i="108"/>
  <c r="R32" i="108"/>
  <c r="Q32" i="108"/>
  <c r="K32" i="108"/>
  <c r="I32" i="108"/>
  <c r="L32" i="108" s="1"/>
  <c r="R31" i="108"/>
  <c r="Q31" i="108"/>
  <c r="K31" i="108"/>
  <c r="I31" i="108"/>
  <c r="L31" i="108" s="1"/>
  <c r="R30" i="108"/>
  <c r="Q30" i="108"/>
  <c r="K30" i="108"/>
  <c r="I30" i="108"/>
  <c r="R29" i="108"/>
  <c r="Q29" i="108"/>
  <c r="K29" i="108"/>
  <c r="I29" i="108"/>
  <c r="L29" i="108" s="1"/>
  <c r="R28" i="108"/>
  <c r="Q28" i="108"/>
  <c r="K28" i="108"/>
  <c r="I28" i="108"/>
  <c r="J28" i="108" s="1"/>
  <c r="R27" i="108"/>
  <c r="Q27" i="108"/>
  <c r="K27" i="108"/>
  <c r="J27" i="108"/>
  <c r="I27" i="108"/>
  <c r="L27" i="108" s="1"/>
  <c r="R26" i="108"/>
  <c r="Q26" i="108"/>
  <c r="K26" i="108"/>
  <c r="I26" i="108"/>
  <c r="J26" i="108" s="1"/>
  <c r="R25" i="108"/>
  <c r="Q25" i="108"/>
  <c r="K25" i="108"/>
  <c r="I25" i="108"/>
  <c r="J25" i="108" s="1"/>
  <c r="R24" i="108"/>
  <c r="Q24" i="108"/>
  <c r="K24" i="108"/>
  <c r="I24" i="108"/>
  <c r="R15" i="108" s="1"/>
  <c r="R23" i="108"/>
  <c r="Q23" i="108"/>
  <c r="K23" i="108"/>
  <c r="I23" i="108"/>
  <c r="J23" i="108" s="1"/>
  <c r="R22" i="108"/>
  <c r="Q22" i="108"/>
  <c r="K22" i="108"/>
  <c r="I22" i="108"/>
  <c r="J22" i="108" s="1"/>
  <c r="R21" i="108"/>
  <c r="Q21" i="108"/>
  <c r="K21" i="108"/>
  <c r="I21" i="108"/>
  <c r="J21" i="108" s="1"/>
  <c r="R20" i="108"/>
  <c r="Q20" i="108"/>
  <c r="K20" i="108"/>
  <c r="I20" i="108"/>
  <c r="R19" i="108"/>
  <c r="Q19" i="108"/>
  <c r="K19" i="108"/>
  <c r="I19" i="108"/>
  <c r="R18" i="108"/>
  <c r="Q18" i="108"/>
  <c r="K18" i="108"/>
  <c r="I18" i="108"/>
  <c r="J18" i="108" s="1"/>
  <c r="Q17" i="108"/>
  <c r="K17" i="108"/>
  <c r="I17" i="108"/>
  <c r="R16" i="108"/>
  <c r="Q16" i="108"/>
  <c r="K16" i="108"/>
  <c r="I16" i="108"/>
  <c r="J16" i="108" s="1"/>
  <c r="Q15" i="108"/>
  <c r="K15" i="108"/>
  <c r="I15" i="108"/>
  <c r="J15" i="108" s="1"/>
  <c r="A11" i="108"/>
  <c r="J9" i="108"/>
  <c r="I9" i="108"/>
  <c r="I49" i="107" s="1"/>
  <c r="D9" i="108"/>
  <c r="J8" i="108"/>
  <c r="I8" i="108"/>
  <c r="I43" i="107" s="1"/>
  <c r="O146" i="103" l="1"/>
  <c r="N145" i="103"/>
  <c r="S144" i="103"/>
  <c r="C62" i="104"/>
  <c r="B62" i="104" s="1"/>
  <c r="I50" i="102"/>
  <c r="I44" i="102"/>
  <c r="I43" i="101"/>
  <c r="S114" i="108"/>
  <c r="T114" i="108" s="1"/>
  <c r="U114" i="108" s="1"/>
  <c r="P50" i="104"/>
  <c r="K21" i="109" s="1"/>
  <c r="M21" i="109" s="1"/>
  <c r="M27" i="109"/>
  <c r="B54" i="104"/>
  <c r="B57" i="104"/>
  <c r="E32" i="109" s="1"/>
  <c r="G32" i="109" s="1"/>
  <c r="B52" i="104"/>
  <c r="B55" i="104"/>
  <c r="E55" i="104" s="1"/>
  <c r="B50" i="104"/>
  <c r="E15" i="109"/>
  <c r="G15" i="109" s="1"/>
  <c r="H46" i="104"/>
  <c r="I46" i="104" s="1"/>
  <c r="E18" i="109" s="1"/>
  <c r="K24" i="109"/>
  <c r="M24" i="109" s="1"/>
  <c r="K23" i="109"/>
  <c r="M23" i="109" s="1"/>
  <c r="G16" i="109"/>
  <c r="L59" i="104"/>
  <c r="K53" i="104"/>
  <c r="K25" i="109" s="1"/>
  <c r="M25" i="109" s="1"/>
  <c r="O51" i="104"/>
  <c r="E48" i="104"/>
  <c r="K29" i="109" s="1"/>
  <c r="M29" i="109" s="1"/>
  <c r="Q51" i="104"/>
  <c r="R51" i="104" s="1"/>
  <c r="I40" i="104"/>
  <c r="E14" i="109" s="1"/>
  <c r="G14" i="109" s="1"/>
  <c r="J68" i="104"/>
  <c r="K51" i="109" s="1"/>
  <c r="M51" i="109" s="1"/>
  <c r="G13" i="109"/>
  <c r="S108" i="108"/>
  <c r="J6" i="108"/>
  <c r="I6" i="108"/>
  <c r="S101" i="108"/>
  <c r="T101" i="108" s="1"/>
  <c r="U101" i="108" s="1"/>
  <c r="S35" i="108"/>
  <c r="T35" i="108" s="1"/>
  <c r="U35" i="108" s="1"/>
  <c r="S53" i="108"/>
  <c r="T53" i="108" s="1"/>
  <c r="U53" i="108" s="1"/>
  <c r="S70" i="108"/>
  <c r="T70" i="108" s="1"/>
  <c r="U70" i="108" s="1"/>
  <c r="S87" i="108"/>
  <c r="T87" i="108" s="1"/>
  <c r="U87" i="108" s="1"/>
  <c r="S100" i="108"/>
  <c r="T100" i="108" s="1"/>
  <c r="U100" i="108" s="1"/>
  <c r="S102" i="108"/>
  <c r="T102" i="108" s="1"/>
  <c r="U102" i="108" s="1"/>
  <c r="S107" i="108"/>
  <c r="T107" i="108" s="1"/>
  <c r="U107" i="108" s="1"/>
  <c r="S91" i="108"/>
  <c r="T91" i="108" s="1"/>
  <c r="U91" i="108" s="1"/>
  <c r="S23" i="108"/>
  <c r="T23" i="108" s="1"/>
  <c r="U23" i="108" s="1"/>
  <c r="M73" i="108"/>
  <c r="S27" i="108"/>
  <c r="T27" i="108" s="1"/>
  <c r="U27" i="108" s="1"/>
  <c r="S95" i="108"/>
  <c r="T95" i="108" s="1"/>
  <c r="U95" i="108" s="1"/>
  <c r="S18" i="108"/>
  <c r="T18" i="108" s="1"/>
  <c r="U18" i="108" s="1"/>
  <c r="S30" i="108"/>
  <c r="T30" i="108" s="1"/>
  <c r="U30" i="108" s="1"/>
  <c r="S44" i="108"/>
  <c r="T44" i="108" s="1"/>
  <c r="U44" i="108" s="1"/>
  <c r="S64" i="108"/>
  <c r="T64" i="108" s="1"/>
  <c r="U64" i="108" s="1"/>
  <c r="S69" i="108"/>
  <c r="T69" i="108" s="1"/>
  <c r="U69" i="108" s="1"/>
  <c r="S84" i="108"/>
  <c r="T84" i="108" s="1"/>
  <c r="U84" i="108" s="1"/>
  <c r="S89" i="108"/>
  <c r="T89" i="108" s="1"/>
  <c r="U89" i="108" s="1"/>
  <c r="S55" i="108"/>
  <c r="T55" i="108" s="1"/>
  <c r="U55" i="108" s="1"/>
  <c r="S90" i="108"/>
  <c r="T90" i="108" s="1"/>
  <c r="U90" i="108" s="1"/>
  <c r="S54" i="108"/>
  <c r="T54" i="108" s="1"/>
  <c r="U54" i="108" s="1"/>
  <c r="S56" i="108"/>
  <c r="T56" i="108" s="1"/>
  <c r="U56" i="108" s="1"/>
  <c r="S60" i="108"/>
  <c r="T60" i="108" s="1"/>
  <c r="U60" i="108" s="1"/>
  <c r="S31" i="108"/>
  <c r="T31" i="108" s="1"/>
  <c r="U31" i="108" s="1"/>
  <c r="S85" i="108"/>
  <c r="T85" i="108" s="1"/>
  <c r="U85" i="108" s="1"/>
  <c r="S16" i="108"/>
  <c r="T16" i="108" s="1"/>
  <c r="U16" i="108" s="1"/>
  <c r="M57" i="108"/>
  <c r="S26" i="108"/>
  <c r="T26" i="108" s="1"/>
  <c r="U26" i="108" s="1"/>
  <c r="S48" i="108"/>
  <c r="T48" i="108" s="1"/>
  <c r="U48" i="108" s="1"/>
  <c r="S71" i="108"/>
  <c r="T71" i="108" s="1"/>
  <c r="U71" i="108" s="1"/>
  <c r="S92" i="108"/>
  <c r="T92" i="108" s="1"/>
  <c r="U92" i="108" s="1"/>
  <c r="S76" i="108"/>
  <c r="T76" i="108" s="1"/>
  <c r="U76" i="108" s="1"/>
  <c r="S112" i="108"/>
  <c r="T112" i="108" s="1"/>
  <c r="U112" i="108" s="1"/>
  <c r="S28" i="108"/>
  <c r="T28" i="108" s="1"/>
  <c r="U28" i="108" s="1"/>
  <c r="S45" i="108"/>
  <c r="T45" i="108" s="1"/>
  <c r="U45" i="108" s="1"/>
  <c r="S51" i="108"/>
  <c r="T51" i="108" s="1"/>
  <c r="U51" i="108" s="1"/>
  <c r="S86" i="108"/>
  <c r="T86" i="108" s="1"/>
  <c r="U86" i="108" s="1"/>
  <c r="S88" i="108"/>
  <c r="T88" i="108" s="1"/>
  <c r="U88" i="108" s="1"/>
  <c r="S68" i="108"/>
  <c r="T68" i="108" s="1"/>
  <c r="U68" i="108" s="1"/>
  <c r="S22" i="108"/>
  <c r="T22" i="108" s="1"/>
  <c r="U22" i="108" s="1"/>
  <c r="S37" i="108"/>
  <c r="T37" i="108" s="1"/>
  <c r="U37" i="108" s="1"/>
  <c r="S42" i="108"/>
  <c r="T42" i="108" s="1"/>
  <c r="U42" i="108" s="1"/>
  <c r="S83" i="108"/>
  <c r="T83" i="108" s="1"/>
  <c r="U83" i="108" s="1"/>
  <c r="S111" i="108"/>
  <c r="T111" i="108" s="1"/>
  <c r="U111" i="108" s="1"/>
  <c r="M89" i="108"/>
  <c r="M105" i="108"/>
  <c r="S19" i="108"/>
  <c r="T19" i="108" s="1"/>
  <c r="U19" i="108" s="1"/>
  <c r="S29" i="108"/>
  <c r="T29" i="108" s="1"/>
  <c r="U29" i="108" s="1"/>
  <c r="S52" i="108"/>
  <c r="T52" i="108" s="1"/>
  <c r="U52" i="108" s="1"/>
  <c r="S79" i="108"/>
  <c r="T79" i="108" s="1"/>
  <c r="U79" i="108" s="1"/>
  <c r="S103" i="108"/>
  <c r="T103" i="108" s="1"/>
  <c r="U103" i="108" s="1"/>
  <c r="S109" i="108"/>
  <c r="T109" i="108" s="1"/>
  <c r="U109" i="108" s="1"/>
  <c r="S20" i="108"/>
  <c r="T20" i="108" s="1"/>
  <c r="U20" i="108" s="1"/>
  <c r="S32" i="108"/>
  <c r="T32" i="108" s="1"/>
  <c r="U32" i="108" s="1"/>
  <c r="S43" i="108"/>
  <c r="T43" i="108" s="1"/>
  <c r="U43" i="108" s="1"/>
  <c r="S63" i="108"/>
  <c r="T63" i="108" s="1"/>
  <c r="U63" i="108" s="1"/>
  <c r="S34" i="108"/>
  <c r="T34" i="108" s="1"/>
  <c r="U34" i="108" s="1"/>
  <c r="S36" i="108"/>
  <c r="T36" i="108" s="1"/>
  <c r="U36" i="108" s="1"/>
  <c r="S96" i="108"/>
  <c r="T96" i="108" s="1"/>
  <c r="U96" i="108" s="1"/>
  <c r="S99" i="108"/>
  <c r="T99" i="108" s="1"/>
  <c r="U99" i="108" s="1"/>
  <c r="S78" i="108"/>
  <c r="T78" i="108" s="1"/>
  <c r="U78" i="108" s="1"/>
  <c r="S93" i="108"/>
  <c r="T93" i="108" s="1"/>
  <c r="U93" i="108" s="1"/>
  <c r="S39" i="108"/>
  <c r="T39" i="108" s="1"/>
  <c r="U39" i="108" s="1"/>
  <c r="S47" i="108"/>
  <c r="T47" i="108" s="1"/>
  <c r="U47" i="108" s="1"/>
  <c r="S59" i="108"/>
  <c r="T59" i="108" s="1"/>
  <c r="U59" i="108" s="1"/>
  <c r="S61" i="108"/>
  <c r="T61" i="108" s="1"/>
  <c r="U61" i="108" s="1"/>
  <c r="S67" i="108"/>
  <c r="T67" i="108" s="1"/>
  <c r="U67" i="108" s="1"/>
  <c r="S72" i="108"/>
  <c r="T72" i="108" s="1"/>
  <c r="U72" i="108" s="1"/>
  <c r="S75" i="108"/>
  <c r="T75" i="108" s="1"/>
  <c r="U75" i="108" s="1"/>
  <c r="S77" i="108"/>
  <c r="T77" i="108" s="1"/>
  <c r="U77" i="108" s="1"/>
  <c r="S80" i="108"/>
  <c r="T80" i="108" s="1"/>
  <c r="U80" i="108" s="1"/>
  <c r="S104" i="108"/>
  <c r="T104" i="108" s="1"/>
  <c r="U104" i="108" s="1"/>
  <c r="M68" i="108"/>
  <c r="J99" i="108"/>
  <c r="L99" i="108"/>
  <c r="L92" i="108"/>
  <c r="J92" i="108"/>
  <c r="J31" i="108"/>
  <c r="M31" i="108" s="1"/>
  <c r="M54" i="108"/>
  <c r="J43" i="108"/>
  <c r="L43" i="108"/>
  <c r="I7" i="108"/>
  <c r="R17" i="108"/>
  <c r="S17" i="108" s="1"/>
  <c r="T17" i="108" s="1"/>
  <c r="U17" i="108" s="1"/>
  <c r="S106" i="108"/>
  <c r="T106" i="108" s="1"/>
  <c r="U106" i="108" s="1"/>
  <c r="M50" i="108"/>
  <c r="J71" i="108"/>
  <c r="L71" i="108"/>
  <c r="M110" i="108"/>
  <c r="J19" i="108"/>
  <c r="S21" i="108"/>
  <c r="T21" i="108" s="1"/>
  <c r="U21" i="108" s="1"/>
  <c r="J30" i="108"/>
  <c r="L30" i="108"/>
  <c r="L38" i="108"/>
  <c r="M58" i="108"/>
  <c r="M65" i="108"/>
  <c r="M29" i="108"/>
  <c r="J42" i="108"/>
  <c r="M42" i="108" s="1"/>
  <c r="M52" i="108"/>
  <c r="S62" i="108"/>
  <c r="T62" i="108" s="1"/>
  <c r="U62" i="108" s="1"/>
  <c r="J17" i="108"/>
  <c r="J7" i="108" s="1"/>
  <c r="J29" i="108"/>
  <c r="M36" i="108"/>
  <c r="S38" i="108"/>
  <c r="T38" i="108" s="1"/>
  <c r="U38" i="108" s="1"/>
  <c r="M47" i="108"/>
  <c r="S58" i="108"/>
  <c r="T58" i="108" s="1"/>
  <c r="U58" i="108" s="1"/>
  <c r="J68" i="108"/>
  <c r="J69" i="108"/>
  <c r="M69" i="108" s="1"/>
  <c r="M97" i="108"/>
  <c r="S24" i="108"/>
  <c r="T24" i="108" s="1"/>
  <c r="U24" i="108" s="1"/>
  <c r="M83" i="108"/>
  <c r="S105" i="108"/>
  <c r="T105" i="108" s="1"/>
  <c r="U105" i="108" s="1"/>
  <c r="T108" i="108"/>
  <c r="U108" i="108" s="1"/>
  <c r="J20" i="108"/>
  <c r="M41" i="108"/>
  <c r="M44" i="108"/>
  <c r="M51" i="108"/>
  <c r="S57" i="108"/>
  <c r="T57" i="108" s="1"/>
  <c r="U57" i="108" s="1"/>
  <c r="J72" i="108"/>
  <c r="M72" i="108" s="1"/>
  <c r="M34" i="108"/>
  <c r="M27" i="108"/>
  <c r="L28" i="108"/>
  <c r="M40" i="108"/>
  <c r="J67" i="108"/>
  <c r="L67" i="108"/>
  <c r="M100" i="108"/>
  <c r="M82" i="108"/>
  <c r="M88" i="108"/>
  <c r="S94" i="108"/>
  <c r="T94" i="108" s="1"/>
  <c r="U94" i="108" s="1"/>
  <c r="L108" i="108"/>
  <c r="J108" i="108"/>
  <c r="M79" i="108"/>
  <c r="M98" i="108"/>
  <c r="S110" i="108"/>
  <c r="T110" i="108" s="1"/>
  <c r="U110" i="108" s="1"/>
  <c r="J84" i="108"/>
  <c r="M84" i="108" s="1"/>
  <c r="M90" i="108"/>
  <c r="J104" i="108"/>
  <c r="M114" i="108"/>
  <c r="J34" i="108"/>
  <c r="S46" i="108"/>
  <c r="T46" i="108" s="1"/>
  <c r="U46" i="108" s="1"/>
  <c r="J52" i="108"/>
  <c r="M70" i="108"/>
  <c r="S73" i="108"/>
  <c r="T73" i="108" s="1"/>
  <c r="U73" i="108" s="1"/>
  <c r="L87" i="108"/>
  <c r="J24" i="108"/>
  <c r="M33" i="108"/>
  <c r="J35" i="108"/>
  <c r="S40" i="108"/>
  <c r="T40" i="108" s="1"/>
  <c r="U40" i="108" s="1"/>
  <c r="M53" i="108"/>
  <c r="J56" i="108"/>
  <c r="M56" i="108" s="1"/>
  <c r="J59" i="108"/>
  <c r="L59" i="108"/>
  <c r="M63" i="108"/>
  <c r="M66" i="108"/>
  <c r="L76" i="108"/>
  <c r="J76" i="108"/>
  <c r="J85" i="108"/>
  <c r="M85" i="108" s="1"/>
  <c r="M95" i="108"/>
  <c r="M74" i="108"/>
  <c r="S15" i="108"/>
  <c r="J60" i="108"/>
  <c r="S74" i="108"/>
  <c r="T74" i="108" s="1"/>
  <c r="U74" i="108" s="1"/>
  <c r="L55" i="108"/>
  <c r="M101" i="108"/>
  <c r="L103" i="108"/>
  <c r="M106" i="108"/>
  <c r="M86" i="108"/>
  <c r="M102" i="108"/>
  <c r="S113" i="108"/>
  <c r="T113" i="108" s="1"/>
  <c r="U113" i="108" s="1"/>
  <c r="S25" i="108"/>
  <c r="T25" i="108" s="1"/>
  <c r="U25" i="108" s="1"/>
  <c r="S49" i="108"/>
  <c r="T49" i="108" s="1"/>
  <c r="U49" i="108" s="1"/>
  <c r="S50" i="108"/>
  <c r="T50" i="108" s="1"/>
  <c r="U50" i="108" s="1"/>
  <c r="M61" i="108"/>
  <c r="S65" i="108"/>
  <c r="T65" i="108" s="1"/>
  <c r="U65" i="108" s="1"/>
  <c r="S66" i="108"/>
  <c r="T66" i="108" s="1"/>
  <c r="U66" i="108" s="1"/>
  <c r="S81" i="108"/>
  <c r="T81" i="108" s="1"/>
  <c r="U81" i="108" s="1"/>
  <c r="S82" i="108"/>
  <c r="T82" i="108" s="1"/>
  <c r="U82" i="108" s="1"/>
  <c r="S97" i="108"/>
  <c r="T97" i="108" s="1"/>
  <c r="U97" i="108" s="1"/>
  <c r="S98" i="108"/>
  <c r="T98" i="108" s="1"/>
  <c r="U98" i="108" s="1"/>
  <c r="J32" i="108"/>
  <c r="S33" i="108"/>
  <c r="T33" i="108" s="1"/>
  <c r="U33" i="108" s="1"/>
  <c r="S41" i="108"/>
  <c r="T41" i="108" s="1"/>
  <c r="U41" i="108" s="1"/>
  <c r="J45" i="108"/>
  <c r="J48" i="108"/>
  <c r="J61" i="108"/>
  <c r="J64" i="108"/>
  <c r="L75" i="108"/>
  <c r="J77" i="108"/>
  <c r="M77" i="108" s="1"/>
  <c r="J80" i="108"/>
  <c r="L91" i="108"/>
  <c r="J93" i="108"/>
  <c r="J96" i="108"/>
  <c r="L107" i="108"/>
  <c r="J109" i="108"/>
  <c r="J112" i="108"/>
  <c r="K39" i="109" l="1"/>
  <c r="M39" i="109" s="1"/>
  <c r="E35" i="109"/>
  <c r="G35" i="109" s="1"/>
  <c r="E31" i="109"/>
  <c r="G31" i="109" s="1"/>
  <c r="E57" i="104"/>
  <c r="K32" i="109" s="1"/>
  <c r="M32" i="109" s="1"/>
  <c r="S145" i="103"/>
  <c r="N146" i="103"/>
  <c r="O147" i="103"/>
  <c r="I30" i="102"/>
  <c r="I30" i="107"/>
  <c r="I11" i="108"/>
  <c r="I38" i="102"/>
  <c r="I36" i="101"/>
  <c r="I37" i="107"/>
  <c r="L20" i="108"/>
  <c r="M20" i="108" s="1"/>
  <c r="L17" i="108"/>
  <c r="M17" i="108" s="1"/>
  <c r="L19" i="108"/>
  <c r="H68" i="104"/>
  <c r="S51" i="104"/>
  <c r="T51" i="104" s="1"/>
  <c r="Q52" i="104" s="1"/>
  <c r="O52" i="104" s="1"/>
  <c r="K22" i="109" s="1"/>
  <c r="M22" i="109" s="1"/>
  <c r="E33" i="109"/>
  <c r="G33" i="109" s="1"/>
  <c r="E50" i="104"/>
  <c r="K33" i="109" s="1"/>
  <c r="M33" i="109" s="1"/>
  <c r="F82" i="105"/>
  <c r="E80" i="105" s="1"/>
  <c r="E34" i="109"/>
  <c r="G34" i="109" s="1"/>
  <c r="E52" i="104"/>
  <c r="K34" i="109" s="1"/>
  <c r="M34" i="109" s="1"/>
  <c r="E54" i="104"/>
  <c r="K31" i="109" s="1"/>
  <c r="M31" i="109" s="1"/>
  <c r="K18" i="109"/>
  <c r="M18" i="109" s="1"/>
  <c r="M19" i="109" s="1"/>
  <c r="G18" i="109"/>
  <c r="G19" i="109" s="1"/>
  <c r="E62" i="104"/>
  <c r="L18" i="108"/>
  <c r="M18" i="108" s="1"/>
  <c r="J11" i="108"/>
  <c r="M80" i="108"/>
  <c r="J115" i="108"/>
  <c r="M76" i="108"/>
  <c r="M87" i="108"/>
  <c r="M67" i="108"/>
  <c r="M38" i="108"/>
  <c r="M104" i="108"/>
  <c r="S115" i="108"/>
  <c r="D10" i="108" s="1"/>
  <c r="D11" i="108" s="1"/>
  <c r="T15" i="108"/>
  <c r="R115" i="108"/>
  <c r="M71" i="108"/>
  <c r="M32" i="108"/>
  <c r="M43" i="108"/>
  <c r="M55" i="108"/>
  <c r="M64" i="108"/>
  <c r="M109" i="108"/>
  <c r="M103" i="108"/>
  <c r="M35" i="108"/>
  <c r="M30" i="108"/>
  <c r="M108" i="108"/>
  <c r="M75" i="108"/>
  <c r="M112" i="108"/>
  <c r="M59" i="108"/>
  <c r="M91" i="108"/>
  <c r="M93" i="108"/>
  <c r="M28" i="108"/>
  <c r="M92" i="108"/>
  <c r="M45" i="108"/>
  <c r="M99" i="108"/>
  <c r="M107" i="108"/>
  <c r="M96" i="108"/>
  <c r="M48" i="108"/>
  <c r="M60" i="108"/>
  <c r="N147" i="103" l="1"/>
  <c r="O148" i="103"/>
  <c r="S146" i="103"/>
  <c r="K8" i="108"/>
  <c r="L8" i="108" s="1"/>
  <c r="M19" i="108"/>
  <c r="E64" i="104"/>
  <c r="K36" i="109" s="1"/>
  <c r="K35" i="109"/>
  <c r="M35" i="109" s="1"/>
  <c r="K7" i="108"/>
  <c r="T115" i="108"/>
  <c r="U15" i="108"/>
  <c r="N148" i="103" l="1"/>
  <c r="O149" i="103"/>
  <c r="S147" i="103"/>
  <c r="I42" i="107"/>
  <c r="I43" i="102"/>
  <c r="L25" i="108"/>
  <c r="M25" i="108" s="1"/>
  <c r="L26" i="108"/>
  <c r="M26" i="108" s="1"/>
  <c r="L23" i="108"/>
  <c r="M23" i="108" s="1"/>
  <c r="L24" i="108"/>
  <c r="M24" i="108" s="1"/>
  <c r="L7" i="108"/>
  <c r="I36" i="107"/>
  <c r="I35" i="101"/>
  <c r="G68" i="104"/>
  <c r="E68" i="104" s="1"/>
  <c r="K50" i="109" s="1"/>
  <c r="E48" i="109" s="1"/>
  <c r="G48" i="109" s="1"/>
  <c r="G53" i="109" s="1"/>
  <c r="E29" i="109"/>
  <c r="G29" i="109" s="1"/>
  <c r="G46" i="109" s="1"/>
  <c r="M36" i="109"/>
  <c r="M46" i="109" s="1"/>
  <c r="H60" i="109" s="1"/>
  <c r="H61" i="109" s="1"/>
  <c r="L15" i="108"/>
  <c r="M15" i="108" s="1"/>
  <c r="L21" i="108"/>
  <c r="L22" i="108"/>
  <c r="M22" i="108" s="1"/>
  <c r="L16" i="108"/>
  <c r="M16" i="108" s="1"/>
  <c r="S148" i="103" l="1"/>
  <c r="N149" i="103"/>
  <c r="O150" i="103"/>
  <c r="I29" i="65"/>
  <c r="K29" i="65" s="1"/>
  <c r="K33" i="65" s="1"/>
  <c r="I29" i="66"/>
  <c r="K29" i="66" s="1"/>
  <c r="K33" i="66" s="1"/>
  <c r="I29" i="59"/>
  <c r="K29" i="59" s="1"/>
  <c r="K33" i="59" s="1"/>
  <c r="I29" i="56"/>
  <c r="I29" i="57"/>
  <c r="K29" i="57" s="1"/>
  <c r="K33" i="57" s="1"/>
  <c r="I29" i="55"/>
  <c r="K29" i="55" s="1"/>
  <c r="K33" i="55" s="1"/>
  <c r="I29" i="64"/>
  <c r="K29" i="64" s="1"/>
  <c r="K33" i="64" s="1"/>
  <c r="I29" i="62"/>
  <c r="K29" i="62" s="1"/>
  <c r="K33" i="62" s="1"/>
  <c r="I29" i="58"/>
  <c r="K29" i="58" s="1"/>
  <c r="K33" i="58" s="1"/>
  <c r="I29" i="63"/>
  <c r="K29" i="63" s="1"/>
  <c r="K33" i="63" s="1"/>
  <c r="I29" i="60"/>
  <c r="K29" i="60" s="1"/>
  <c r="K33" i="60" s="1"/>
  <c r="I29" i="68"/>
  <c r="K29" i="68" s="1"/>
  <c r="K33" i="68" s="1"/>
  <c r="I29" i="67"/>
  <c r="K29" i="67" s="1"/>
  <c r="K33" i="67" s="1"/>
  <c r="I29" i="61"/>
  <c r="K29" i="61" s="1"/>
  <c r="K33" i="61" s="1"/>
  <c r="I35" i="54"/>
  <c r="K35" i="54" s="1"/>
  <c r="K39" i="54" s="1"/>
  <c r="I35" i="52"/>
  <c r="K35" i="52" s="1"/>
  <c r="K39" i="52" s="1"/>
  <c r="I35" i="50"/>
  <c r="K35" i="50" s="1"/>
  <c r="K39" i="50" s="1"/>
  <c r="I37" i="40"/>
  <c r="K37" i="40" s="1"/>
  <c r="K41" i="40" s="1"/>
  <c r="I37" i="38"/>
  <c r="K37" i="38" s="1"/>
  <c r="K41" i="38" s="1"/>
  <c r="I37" i="28"/>
  <c r="I38" i="21"/>
  <c r="I35" i="51"/>
  <c r="K35" i="51" s="1"/>
  <c r="K39" i="51" s="1"/>
  <c r="I37" i="34"/>
  <c r="K37" i="34" s="1"/>
  <c r="K41" i="34" s="1"/>
  <c r="I37" i="32"/>
  <c r="K37" i="32" s="1"/>
  <c r="K41" i="32" s="1"/>
  <c r="I38" i="19"/>
  <c r="I37" i="39"/>
  <c r="K37" i="39" s="1"/>
  <c r="K41" i="39" s="1"/>
  <c r="I37" i="26"/>
  <c r="I37" i="25"/>
  <c r="I38" i="22"/>
  <c r="I37" i="29"/>
  <c r="I37" i="37"/>
  <c r="K37" i="37" s="1"/>
  <c r="K41" i="37" s="1"/>
  <c r="I35" i="49"/>
  <c r="K35" i="49" s="1"/>
  <c r="K39" i="49" s="1"/>
  <c r="I37" i="33"/>
  <c r="K37" i="33" s="1"/>
  <c r="K41" i="33" s="1"/>
  <c r="I37" i="27"/>
  <c r="I38" i="23"/>
  <c r="I38" i="17"/>
  <c r="I37" i="31"/>
  <c r="I37" i="35"/>
  <c r="K37" i="35" s="1"/>
  <c r="K41" i="35" s="1"/>
  <c r="I38" i="24"/>
  <c r="I35" i="53"/>
  <c r="K35" i="53" s="1"/>
  <c r="K39" i="53" s="1"/>
  <c r="I37" i="42"/>
  <c r="K37" i="42" s="1"/>
  <c r="K41" i="42" s="1"/>
  <c r="I37" i="41"/>
  <c r="K37" i="41" s="1"/>
  <c r="K41" i="41" s="1"/>
  <c r="I37" i="36"/>
  <c r="K37" i="36" s="1"/>
  <c r="K41" i="36" s="1"/>
  <c r="I37" i="30"/>
  <c r="I31" i="31"/>
  <c r="I31" i="39"/>
  <c r="K31" i="39" s="1"/>
  <c r="K35" i="39" s="1"/>
  <c r="I32" i="19"/>
  <c r="I29" i="54"/>
  <c r="K29" i="54" s="1"/>
  <c r="K33" i="54" s="1"/>
  <c r="I29" i="52"/>
  <c r="K29" i="52" s="1"/>
  <c r="K33" i="52" s="1"/>
  <c r="I31" i="36"/>
  <c r="K31" i="36" s="1"/>
  <c r="K35" i="36" s="1"/>
  <c r="I31" i="35"/>
  <c r="K31" i="35" s="1"/>
  <c r="K35" i="35" s="1"/>
  <c r="I31" i="29"/>
  <c r="I31" i="28"/>
  <c r="I29" i="51"/>
  <c r="K29" i="51" s="1"/>
  <c r="K33" i="51" s="1"/>
  <c r="I29" i="50"/>
  <c r="K29" i="50" s="1"/>
  <c r="K33" i="50" s="1"/>
  <c r="I31" i="42"/>
  <c r="K31" i="42" s="1"/>
  <c r="K35" i="42" s="1"/>
  <c r="I31" i="41"/>
  <c r="K31" i="41" s="1"/>
  <c r="K35" i="41" s="1"/>
  <c r="I31" i="37"/>
  <c r="K31" i="37" s="1"/>
  <c r="K35" i="37" s="1"/>
  <c r="I32" i="24"/>
  <c r="I32" i="21"/>
  <c r="I31" i="33"/>
  <c r="K31" i="33" s="1"/>
  <c r="K35" i="33" s="1"/>
  <c r="I31" i="26"/>
  <c r="I31" i="25"/>
  <c r="I29" i="53"/>
  <c r="K29" i="53" s="1"/>
  <c r="K33" i="53" s="1"/>
  <c r="I29" i="49"/>
  <c r="K29" i="49" s="1"/>
  <c r="K33" i="49" s="1"/>
  <c r="I31" i="40"/>
  <c r="K31" i="40" s="1"/>
  <c r="K35" i="40" s="1"/>
  <c r="I31" i="34"/>
  <c r="K31" i="34" s="1"/>
  <c r="K35" i="34" s="1"/>
  <c r="I31" i="30"/>
  <c r="I31" i="38"/>
  <c r="K31" i="38" s="1"/>
  <c r="K35" i="38" s="1"/>
  <c r="I31" i="32"/>
  <c r="K31" i="32" s="1"/>
  <c r="K35" i="32" s="1"/>
  <c r="I32" i="22"/>
  <c r="D51" i="22" s="1"/>
  <c r="I31" i="27"/>
  <c r="I32" i="23"/>
  <c r="I32" i="17"/>
  <c r="I35" i="64"/>
  <c r="K35" i="64" s="1"/>
  <c r="K39" i="64" s="1"/>
  <c r="I35" i="62"/>
  <c r="K35" i="62" s="1"/>
  <c r="K39" i="62" s="1"/>
  <c r="I35" i="57"/>
  <c r="K35" i="57" s="1"/>
  <c r="K39" i="57" s="1"/>
  <c r="I35" i="55"/>
  <c r="K35" i="55" s="1"/>
  <c r="K39" i="55" s="1"/>
  <c r="I35" i="68"/>
  <c r="K35" i="68" s="1"/>
  <c r="K39" i="68" s="1"/>
  <c r="I35" i="63"/>
  <c r="K35" i="63" s="1"/>
  <c r="K39" i="63" s="1"/>
  <c r="I35" i="65"/>
  <c r="K35" i="65" s="1"/>
  <c r="K39" i="65" s="1"/>
  <c r="I35" i="61"/>
  <c r="K35" i="61" s="1"/>
  <c r="K39" i="61" s="1"/>
  <c r="I35" i="60"/>
  <c r="K35" i="60" s="1"/>
  <c r="K39" i="60" s="1"/>
  <c r="I35" i="56"/>
  <c r="K35" i="56" s="1"/>
  <c r="K39" i="56" s="1"/>
  <c r="I35" i="66"/>
  <c r="K35" i="66" s="1"/>
  <c r="K39" i="66" s="1"/>
  <c r="I35" i="67"/>
  <c r="K35" i="67" s="1"/>
  <c r="K39" i="67" s="1"/>
  <c r="I35" i="59"/>
  <c r="K35" i="59" s="1"/>
  <c r="K39" i="59" s="1"/>
  <c r="I35" i="58"/>
  <c r="K35" i="58" s="1"/>
  <c r="K39" i="58" s="1"/>
  <c r="I32" i="20"/>
  <c r="I35" i="16"/>
  <c r="M50" i="109"/>
  <c r="H56" i="109"/>
  <c r="K6" i="108"/>
  <c r="I26" i="20" s="1"/>
  <c r="L115" i="108"/>
  <c r="N15" i="108" s="1"/>
  <c r="K9" i="108"/>
  <c r="M21" i="108"/>
  <c r="M115" i="108" s="1"/>
  <c r="O151" i="103" l="1"/>
  <c r="N150" i="103"/>
  <c r="S149" i="103"/>
  <c r="K29" i="56"/>
  <c r="K33" i="56" s="1"/>
  <c r="N96" i="108"/>
  <c r="N70" i="108"/>
  <c r="N72" i="108"/>
  <c r="N43" i="108"/>
  <c r="N48" i="108"/>
  <c r="N80" i="108"/>
  <c r="N99" i="108"/>
  <c r="N62" i="108"/>
  <c r="N89" i="108"/>
  <c r="N64" i="108"/>
  <c r="N91" i="108"/>
  <c r="N17" i="108"/>
  <c r="N58" i="108"/>
  <c r="N69" i="108"/>
  <c r="N79" i="108"/>
  <c r="N30" i="108"/>
  <c r="N24" i="108"/>
  <c r="N110" i="108"/>
  <c r="N98" i="108"/>
  <c r="N105" i="108"/>
  <c r="N113" i="108"/>
  <c r="N54" i="108"/>
  <c r="N61" i="108"/>
  <c r="N112" i="108"/>
  <c r="N102" i="108"/>
  <c r="N35" i="108"/>
  <c r="N76" i="108"/>
  <c r="N33" i="108"/>
  <c r="N74" i="108"/>
  <c r="N114" i="108"/>
  <c r="N20" i="108"/>
  <c r="N85" i="108"/>
  <c r="N108" i="108"/>
  <c r="N84" i="108"/>
  <c r="N27" i="108"/>
  <c r="N75" i="108"/>
  <c r="N95" i="108"/>
  <c r="N45" i="108"/>
  <c r="N71" i="108"/>
  <c r="N104" i="108"/>
  <c r="N56" i="108"/>
  <c r="N88" i="108"/>
  <c r="N41" i="108"/>
  <c r="N87" i="108"/>
  <c r="N31" i="108"/>
  <c r="N28" i="108"/>
  <c r="N38" i="108"/>
  <c r="N16" i="108"/>
  <c r="N66" i="108"/>
  <c r="N18" i="108"/>
  <c r="N22" i="108"/>
  <c r="N67" i="108"/>
  <c r="N103" i="108"/>
  <c r="N52" i="108"/>
  <c r="N78" i="108"/>
  <c r="N51" i="108"/>
  <c r="N39" i="108"/>
  <c r="N93" i="108"/>
  <c r="N86" i="108"/>
  <c r="N25" i="108"/>
  <c r="N83" i="108"/>
  <c r="N34" i="108"/>
  <c r="N21" i="108"/>
  <c r="N109" i="108"/>
  <c r="N107" i="108"/>
  <c r="N55" i="108"/>
  <c r="N32" i="108"/>
  <c r="N73" i="108"/>
  <c r="N42" i="108"/>
  <c r="N37" i="108"/>
  <c r="N65" i="108"/>
  <c r="N53" i="108"/>
  <c r="N23" i="108"/>
  <c r="N106" i="108"/>
  <c r="N26" i="108"/>
  <c r="N49" i="108"/>
  <c r="L9" i="108"/>
  <c r="I48" i="107"/>
  <c r="I49" i="102"/>
  <c r="D45" i="13"/>
  <c r="D22" i="13"/>
  <c r="I42" i="101" s="1"/>
  <c r="I38" i="20" s="1"/>
  <c r="L6" i="108"/>
  <c r="I29" i="107"/>
  <c r="I29" i="102"/>
  <c r="I28" i="101"/>
  <c r="N92" i="108"/>
  <c r="N97" i="108"/>
  <c r="N90" i="108"/>
  <c r="N68" i="108"/>
  <c r="N50" i="108"/>
  <c r="N111" i="108"/>
  <c r="N82" i="108"/>
  <c r="N57" i="108"/>
  <c r="N19" i="108"/>
  <c r="N77" i="108"/>
  <c r="N60" i="108"/>
  <c r="N59" i="108"/>
  <c r="N47" i="108"/>
  <c r="N29" i="108"/>
  <c r="N63" i="108"/>
  <c r="N36" i="108"/>
  <c r="N100" i="108"/>
  <c r="N40" i="108"/>
  <c r="N94" i="108"/>
  <c r="H57" i="109"/>
  <c r="H65" i="109"/>
  <c r="H58" i="109"/>
  <c r="N81" i="108"/>
  <c r="N46" i="108"/>
  <c r="N101" i="108"/>
  <c r="N44" i="108"/>
  <c r="K11" i="108"/>
  <c r="M7" i="108" s="1"/>
  <c r="N151" i="103" l="1"/>
  <c r="O152" i="103"/>
  <c r="S150" i="103"/>
  <c r="I23" i="58"/>
  <c r="I23" i="57"/>
  <c r="I23" i="49"/>
  <c r="I23" i="65"/>
  <c r="I23" i="68"/>
  <c r="I23" i="67"/>
  <c r="I23" i="63"/>
  <c r="I23" i="61"/>
  <c r="I23" i="60"/>
  <c r="I23" i="55"/>
  <c r="I23" i="62"/>
  <c r="I23" i="56"/>
  <c r="I23" i="66"/>
  <c r="I23" i="59"/>
  <c r="I23" i="64"/>
  <c r="I25" i="39"/>
  <c r="I23" i="51"/>
  <c r="I25" i="24"/>
  <c r="I25" i="33"/>
  <c r="I25" i="19"/>
  <c r="I23" i="52"/>
  <c r="I25" i="26"/>
  <c r="I25" i="25"/>
  <c r="I25" i="22"/>
  <c r="I25" i="17"/>
  <c r="I25" i="41"/>
  <c r="I25" i="28"/>
  <c r="I25" i="34"/>
  <c r="I25" i="32"/>
  <c r="I25" i="21"/>
  <c r="I23" i="50"/>
  <c r="I25" i="36"/>
  <c r="I25" i="35"/>
  <c r="I25" i="27"/>
  <c r="I25" i="23"/>
  <c r="I23" i="54"/>
  <c r="I25" i="42"/>
  <c r="I25" i="37"/>
  <c r="I25" i="31"/>
  <c r="I25" i="40"/>
  <c r="I25" i="29"/>
  <c r="I23" i="53"/>
  <c r="I25" i="38"/>
  <c r="I25" i="30"/>
  <c r="I41" i="52"/>
  <c r="K41" i="52" s="1"/>
  <c r="K45" i="52" s="1"/>
  <c r="I41" i="51"/>
  <c r="K41" i="51" s="1"/>
  <c r="K45" i="51" s="1"/>
  <c r="I43" i="33"/>
  <c r="K43" i="33" s="1"/>
  <c r="K47" i="33" s="1"/>
  <c r="I43" i="32"/>
  <c r="K43" i="32" s="1"/>
  <c r="K47" i="32" s="1"/>
  <c r="I43" i="31"/>
  <c r="I43" i="38"/>
  <c r="K43" i="38" s="1"/>
  <c r="K47" i="38" s="1"/>
  <c r="I43" i="26"/>
  <c r="I43" i="25"/>
  <c r="I43" i="29"/>
  <c r="I43" i="28"/>
  <c r="I43" i="34"/>
  <c r="K43" i="34" s="1"/>
  <c r="K47" i="34" s="1"/>
  <c r="I44" i="19"/>
  <c r="I44" i="22"/>
  <c r="I43" i="41"/>
  <c r="K43" i="41" s="1"/>
  <c r="K47" i="41" s="1"/>
  <c r="I43" i="35"/>
  <c r="K43" i="35" s="1"/>
  <c r="K47" i="35" s="1"/>
  <c r="I44" i="24"/>
  <c r="I44" i="21"/>
  <c r="I43" i="42"/>
  <c r="K43" i="42" s="1"/>
  <c r="K47" i="42" s="1"/>
  <c r="I43" i="40"/>
  <c r="K43" i="40" s="1"/>
  <c r="K47" i="40" s="1"/>
  <c r="I43" i="39"/>
  <c r="K43" i="39" s="1"/>
  <c r="K47" i="39" s="1"/>
  <c r="I41" i="49"/>
  <c r="K41" i="49" s="1"/>
  <c r="K45" i="49" s="1"/>
  <c r="I43" i="37"/>
  <c r="K43" i="37" s="1"/>
  <c r="K47" i="37" s="1"/>
  <c r="I43" i="30"/>
  <c r="I41" i="50"/>
  <c r="K41" i="50" s="1"/>
  <c r="K45" i="50" s="1"/>
  <c r="I41" i="54"/>
  <c r="K41" i="54" s="1"/>
  <c r="K45" i="54" s="1"/>
  <c r="I41" i="53"/>
  <c r="K41" i="53" s="1"/>
  <c r="K45" i="53" s="1"/>
  <c r="I43" i="36"/>
  <c r="K43" i="36" s="1"/>
  <c r="K47" i="36" s="1"/>
  <c r="I43" i="27"/>
  <c r="I44" i="23"/>
  <c r="I44" i="17"/>
  <c r="I41" i="67"/>
  <c r="K41" i="67" s="1"/>
  <c r="K45" i="67" s="1"/>
  <c r="I41" i="61"/>
  <c r="K41" i="61" s="1"/>
  <c r="K45" i="61" s="1"/>
  <c r="I41" i="60"/>
  <c r="K41" i="60" s="1"/>
  <c r="K45" i="60" s="1"/>
  <c r="I41" i="66"/>
  <c r="K41" i="66" s="1"/>
  <c r="K45" i="66" s="1"/>
  <c r="I41" i="55"/>
  <c r="K41" i="55" s="1"/>
  <c r="K45" i="55" s="1"/>
  <c r="I41" i="59"/>
  <c r="K41" i="59" s="1"/>
  <c r="K45" i="59" s="1"/>
  <c r="I41" i="56"/>
  <c r="K41" i="56" s="1"/>
  <c r="K45" i="56" s="1"/>
  <c r="I41" i="64"/>
  <c r="K41" i="64" s="1"/>
  <c r="K45" i="64" s="1"/>
  <c r="I41" i="58"/>
  <c r="K41" i="58" s="1"/>
  <c r="K45" i="58" s="1"/>
  <c r="I41" i="57"/>
  <c r="K41" i="57" s="1"/>
  <c r="K45" i="57" s="1"/>
  <c r="I41" i="63"/>
  <c r="K41" i="63" s="1"/>
  <c r="K45" i="63" s="1"/>
  <c r="I41" i="62"/>
  <c r="K41" i="62" s="1"/>
  <c r="K45" i="62" s="1"/>
  <c r="I41" i="68"/>
  <c r="K41" i="68" s="1"/>
  <c r="K45" i="68" s="1"/>
  <c r="I41" i="65"/>
  <c r="K41" i="65" s="1"/>
  <c r="K45" i="65" s="1"/>
  <c r="M8" i="108"/>
  <c r="M9" i="108"/>
  <c r="L11" i="108"/>
  <c r="M11" i="108" s="1"/>
  <c r="N115" i="108"/>
  <c r="H59" i="109"/>
  <c r="M6" i="108"/>
  <c r="O153" i="103" l="1"/>
  <c r="N152" i="103"/>
  <c r="S151" i="103"/>
  <c r="K25" i="40"/>
  <c r="K29" i="40" s="1"/>
  <c r="D49" i="40"/>
  <c r="F49" i="40" s="1"/>
  <c r="F54" i="40" s="1"/>
  <c r="G57" i="40" s="1"/>
  <c r="K25" i="36"/>
  <c r="K29" i="36" s="1"/>
  <c r="D49" i="36"/>
  <c r="F49" i="36" s="1"/>
  <c r="F54" i="36" s="1"/>
  <c r="G57" i="36" s="1"/>
  <c r="D49" i="39"/>
  <c r="F49" i="39" s="1"/>
  <c r="F54" i="39" s="1"/>
  <c r="G57" i="39" s="1"/>
  <c r="K25" i="39"/>
  <c r="K29" i="39" s="1"/>
  <c r="K23" i="61"/>
  <c r="K27" i="61" s="1"/>
  <c r="G60" i="61" s="1"/>
  <c r="G62" i="61" s="1"/>
  <c r="D47" i="61"/>
  <c r="F47" i="61" s="1"/>
  <c r="F53" i="61" s="1"/>
  <c r="G56" i="61" s="1"/>
  <c r="K23" i="50"/>
  <c r="K27" i="50" s="1"/>
  <c r="G60" i="50" s="1"/>
  <c r="G62" i="50" s="1"/>
  <c r="D47" i="50"/>
  <c r="F47" i="50" s="1"/>
  <c r="F53" i="50" s="1"/>
  <c r="G56" i="50" s="1"/>
  <c r="D47" i="64"/>
  <c r="F47" i="64" s="1"/>
  <c r="F53" i="64" s="1"/>
  <c r="G56" i="64" s="1"/>
  <c r="K23" i="64"/>
  <c r="K27" i="64" s="1"/>
  <c r="G60" i="64" s="1"/>
  <c r="G62" i="64" s="1"/>
  <c r="K23" i="63"/>
  <c r="K27" i="63" s="1"/>
  <c r="G60" i="63" s="1"/>
  <c r="G62" i="63" s="1"/>
  <c r="D47" i="63"/>
  <c r="F47" i="63" s="1"/>
  <c r="F53" i="63" s="1"/>
  <c r="G56" i="63" s="1"/>
  <c r="K25" i="37"/>
  <c r="K29" i="37" s="1"/>
  <c r="D49" i="37"/>
  <c r="F49" i="37" s="1"/>
  <c r="F54" i="37" s="1"/>
  <c r="G57" i="37" s="1"/>
  <c r="K23" i="59"/>
  <c r="K27" i="59" s="1"/>
  <c r="G60" i="59" s="1"/>
  <c r="G62" i="59" s="1"/>
  <c r="D47" i="59"/>
  <c r="F47" i="59" s="1"/>
  <c r="F53" i="59" s="1"/>
  <c r="G56" i="59" s="1"/>
  <c r="K23" i="67"/>
  <c r="K27" i="67" s="1"/>
  <c r="G60" i="67" s="1"/>
  <c r="G62" i="67" s="1"/>
  <c r="D47" i="67"/>
  <c r="F47" i="67" s="1"/>
  <c r="F53" i="67" s="1"/>
  <c r="G56" i="67" s="1"/>
  <c r="K25" i="42"/>
  <c r="K29" i="42" s="1"/>
  <c r="D49" i="42"/>
  <c r="F49" i="42" s="1"/>
  <c r="F54" i="42" s="1"/>
  <c r="G57" i="42" s="1"/>
  <c r="K25" i="32"/>
  <c r="K29" i="32" s="1"/>
  <c r="D49" i="32"/>
  <c r="F49" i="32" s="1"/>
  <c r="F54" i="32" s="1"/>
  <c r="G57" i="32" s="1"/>
  <c r="K23" i="52"/>
  <c r="K27" i="52" s="1"/>
  <c r="G60" i="52" s="1"/>
  <c r="G62" i="52" s="1"/>
  <c r="D47" i="52"/>
  <c r="F47" i="52" s="1"/>
  <c r="F53" i="52" s="1"/>
  <c r="G56" i="52" s="1"/>
  <c r="D47" i="66"/>
  <c r="F47" i="66" s="1"/>
  <c r="F53" i="66" s="1"/>
  <c r="G56" i="66" s="1"/>
  <c r="K23" i="66"/>
  <c r="K27" i="66" s="1"/>
  <c r="G60" i="66" s="1"/>
  <c r="G62" i="66" s="1"/>
  <c r="K23" i="68"/>
  <c r="K27" i="68" s="1"/>
  <c r="G60" i="68" s="1"/>
  <c r="G62" i="68" s="1"/>
  <c r="D47" i="68"/>
  <c r="F47" i="68" s="1"/>
  <c r="F53" i="68" s="1"/>
  <c r="G56" i="68" s="1"/>
  <c r="K23" i="54"/>
  <c r="K27" i="54" s="1"/>
  <c r="G60" i="54" s="1"/>
  <c r="G62" i="54" s="1"/>
  <c r="D47" i="54"/>
  <c r="F47" i="54" s="1"/>
  <c r="F53" i="54" s="1"/>
  <c r="G56" i="54" s="1"/>
  <c r="K25" i="34"/>
  <c r="K29" i="34" s="1"/>
  <c r="D49" i="34"/>
  <c r="F49" i="34" s="1"/>
  <c r="F54" i="34" s="1"/>
  <c r="G57" i="34" s="1"/>
  <c r="K23" i="56"/>
  <c r="K27" i="56" s="1"/>
  <c r="G60" i="56" s="1"/>
  <c r="G62" i="56" s="1"/>
  <c r="D47" i="56"/>
  <c r="F47" i="56" s="1"/>
  <c r="F53" i="56" s="1"/>
  <c r="G56" i="56" s="1"/>
  <c r="K23" i="65"/>
  <c r="K27" i="65" s="1"/>
  <c r="G60" i="65" s="1"/>
  <c r="G62" i="65" s="1"/>
  <c r="D47" i="65"/>
  <c r="F47" i="65" s="1"/>
  <c r="F53" i="65" s="1"/>
  <c r="G56" i="65" s="1"/>
  <c r="K25" i="38"/>
  <c r="K29" i="38" s="1"/>
  <c r="D49" i="38"/>
  <c r="F49" i="38" s="1"/>
  <c r="F54" i="38" s="1"/>
  <c r="G57" i="38" s="1"/>
  <c r="K25" i="33"/>
  <c r="K29" i="33" s="1"/>
  <c r="D49" i="33"/>
  <c r="F49" i="33" s="1"/>
  <c r="F54" i="33" s="1"/>
  <c r="G57" i="33" s="1"/>
  <c r="D47" i="62"/>
  <c r="F47" i="62" s="1"/>
  <c r="F53" i="62" s="1"/>
  <c r="G56" i="62" s="1"/>
  <c r="K23" i="62"/>
  <c r="K27" i="62" s="1"/>
  <c r="G60" i="62" s="1"/>
  <c r="G62" i="62" s="1"/>
  <c r="D47" i="49"/>
  <c r="F47" i="49" s="1"/>
  <c r="F53" i="49" s="1"/>
  <c r="G56" i="49" s="1"/>
  <c r="K23" i="49"/>
  <c r="K27" i="49" s="1"/>
  <c r="K23" i="53"/>
  <c r="K27" i="53" s="1"/>
  <c r="G60" i="53" s="1"/>
  <c r="G62" i="53" s="1"/>
  <c r="D47" i="53"/>
  <c r="F47" i="53" s="1"/>
  <c r="F53" i="53" s="1"/>
  <c r="G56" i="53" s="1"/>
  <c r="K25" i="41"/>
  <c r="K29" i="41" s="1"/>
  <c r="D49" i="41"/>
  <c r="F49" i="41" s="1"/>
  <c r="F54" i="41" s="1"/>
  <c r="G57" i="41" s="1"/>
  <c r="K23" i="55"/>
  <c r="K27" i="55" s="1"/>
  <c r="G60" i="55" s="1"/>
  <c r="G62" i="55" s="1"/>
  <c r="D47" i="55"/>
  <c r="F47" i="55" s="1"/>
  <c r="F53" i="55" s="1"/>
  <c r="G56" i="55" s="1"/>
  <c r="K23" i="57"/>
  <c r="K27" i="57" s="1"/>
  <c r="G60" i="57" s="1"/>
  <c r="G62" i="57" s="1"/>
  <c r="D47" i="57"/>
  <c r="F47" i="57" s="1"/>
  <c r="F53" i="57" s="1"/>
  <c r="G56" i="57" s="1"/>
  <c r="K25" i="35"/>
  <c r="K29" i="35" s="1"/>
  <c r="D49" i="35"/>
  <c r="F49" i="35" s="1"/>
  <c r="F54" i="35" s="1"/>
  <c r="G57" i="35" s="1"/>
  <c r="K23" i="51"/>
  <c r="K27" i="51" s="1"/>
  <c r="G60" i="51" s="1"/>
  <c r="G62" i="51" s="1"/>
  <c r="D47" i="51"/>
  <c r="F47" i="51" s="1"/>
  <c r="F53" i="51" s="1"/>
  <c r="G56" i="51" s="1"/>
  <c r="K23" i="60"/>
  <c r="K27" i="60" s="1"/>
  <c r="G60" i="60" s="1"/>
  <c r="G62" i="60" s="1"/>
  <c r="D47" i="60"/>
  <c r="F47" i="60" s="1"/>
  <c r="F53" i="60" s="1"/>
  <c r="G56" i="60" s="1"/>
  <c r="K23" i="58"/>
  <c r="K27" i="58" s="1"/>
  <c r="G60" i="58" s="1"/>
  <c r="G62" i="58" s="1"/>
  <c r="D47" i="58"/>
  <c r="F47" i="58" s="1"/>
  <c r="F53" i="58" s="1"/>
  <c r="G56" i="58" s="1"/>
  <c r="J15" i="16"/>
  <c r="E13" i="16"/>
  <c r="J13" i="16"/>
  <c r="E132" i="12"/>
  <c r="K13" i="22" s="1"/>
  <c r="D132" i="12"/>
  <c r="J48" i="107"/>
  <c r="J42" i="107"/>
  <c r="J36" i="107"/>
  <c r="J29" i="107"/>
  <c r="XFD73" i="107"/>
  <c r="J51" i="107"/>
  <c r="J50" i="107"/>
  <c r="J49" i="107"/>
  <c r="I50" i="107"/>
  <c r="E48" i="107"/>
  <c r="D48" i="107"/>
  <c r="F48" i="107" s="1"/>
  <c r="F52" i="107" s="1"/>
  <c r="J45" i="107"/>
  <c r="J44" i="107"/>
  <c r="J43" i="107"/>
  <c r="I44" i="107"/>
  <c r="E42" i="107"/>
  <c r="D42" i="107"/>
  <c r="J39" i="107"/>
  <c r="J38" i="107"/>
  <c r="J37" i="107"/>
  <c r="I38" i="107"/>
  <c r="E36" i="107"/>
  <c r="D36" i="107"/>
  <c r="F36" i="107" s="1"/>
  <c r="F40" i="107" s="1"/>
  <c r="J32" i="107"/>
  <c r="J31" i="107"/>
  <c r="J30" i="107"/>
  <c r="I32" i="107"/>
  <c r="E29" i="107"/>
  <c r="D29" i="107"/>
  <c r="J52" i="102"/>
  <c r="J50" i="102"/>
  <c r="J46" i="102"/>
  <c r="J45" i="102"/>
  <c r="J44" i="102"/>
  <c r="J43" i="102"/>
  <c r="J40" i="102"/>
  <c r="J32" i="102"/>
  <c r="J39" i="102"/>
  <c r="J38" i="102"/>
  <c r="J30" i="102"/>
  <c r="J31" i="102"/>
  <c r="J29" i="102"/>
  <c r="S152" i="103" l="1"/>
  <c r="N153" i="103"/>
  <c r="O154" i="103"/>
  <c r="G57" i="53"/>
  <c r="G58" i="53"/>
  <c r="G64" i="53"/>
  <c r="G58" i="38"/>
  <c r="G59" i="38"/>
  <c r="G65" i="38"/>
  <c r="G58" i="54"/>
  <c r="G57" i="54"/>
  <c r="G64" i="54"/>
  <c r="G65" i="32"/>
  <c r="G58" i="32"/>
  <c r="G59" i="32"/>
  <c r="G59" i="37"/>
  <c r="G58" i="37"/>
  <c r="G60" i="37" s="1"/>
  <c r="G65" i="37"/>
  <c r="G58" i="61"/>
  <c r="G57" i="61"/>
  <c r="G64" i="61"/>
  <c r="G58" i="35"/>
  <c r="G59" i="35"/>
  <c r="G65" i="35"/>
  <c r="G58" i="58"/>
  <c r="G57" i="58"/>
  <c r="G64" i="58"/>
  <c r="G57" i="57"/>
  <c r="G64" i="57"/>
  <c r="G58" i="57"/>
  <c r="G64" i="65"/>
  <c r="G58" i="65"/>
  <c r="G57" i="65"/>
  <c r="G58" i="68"/>
  <c r="G57" i="68"/>
  <c r="G64" i="68"/>
  <c r="G58" i="42"/>
  <c r="G59" i="42"/>
  <c r="G65" i="42"/>
  <c r="G64" i="63"/>
  <c r="G58" i="63"/>
  <c r="G57" i="63"/>
  <c r="G57" i="49"/>
  <c r="G58" i="49"/>
  <c r="G64" i="49"/>
  <c r="G58" i="39"/>
  <c r="G59" i="39"/>
  <c r="G65" i="39"/>
  <c r="G57" i="60"/>
  <c r="G58" i="60"/>
  <c r="G64" i="60"/>
  <c r="G58" i="55"/>
  <c r="G64" i="55"/>
  <c r="G57" i="55"/>
  <c r="G58" i="56"/>
  <c r="G64" i="56"/>
  <c r="G57" i="56"/>
  <c r="G59" i="56" s="1"/>
  <c r="G63" i="56" s="1"/>
  <c r="G65" i="56" s="1"/>
  <c r="G58" i="67"/>
  <c r="G57" i="67"/>
  <c r="G64" i="67"/>
  <c r="G58" i="36"/>
  <c r="G59" i="36"/>
  <c r="G65" i="36"/>
  <c r="G57" i="62"/>
  <c r="G58" i="62"/>
  <c r="G64" i="62"/>
  <c r="G57" i="66"/>
  <c r="G58" i="66"/>
  <c r="G64" i="66"/>
  <c r="G58" i="64"/>
  <c r="G57" i="64"/>
  <c r="G64" i="64"/>
  <c r="G59" i="41"/>
  <c r="G58" i="41"/>
  <c r="G65" i="41"/>
  <c r="G59" i="33"/>
  <c r="G65" i="33"/>
  <c r="G58" i="33"/>
  <c r="G58" i="34"/>
  <c r="G65" i="34"/>
  <c r="G59" i="34"/>
  <c r="G58" i="52"/>
  <c r="G57" i="52"/>
  <c r="G64" i="52"/>
  <c r="G58" i="59"/>
  <c r="G57" i="59"/>
  <c r="G64" i="59"/>
  <c r="G58" i="50"/>
  <c r="G64" i="50"/>
  <c r="G57" i="50"/>
  <c r="G59" i="40"/>
  <c r="G65" i="40"/>
  <c r="G58" i="40"/>
  <c r="G64" i="51"/>
  <c r="G57" i="51"/>
  <c r="G58" i="51"/>
  <c r="J26" i="28"/>
  <c r="K26" i="28" s="1"/>
  <c r="J26" i="27"/>
  <c r="K26" i="27" s="1"/>
  <c r="J26" i="25"/>
  <c r="K26" i="25" s="1"/>
  <c r="J26" i="30"/>
  <c r="K26" i="30" s="1"/>
  <c r="J26" i="29"/>
  <c r="K26" i="29" s="1"/>
  <c r="J26" i="31"/>
  <c r="K26" i="31" s="1"/>
  <c r="J26" i="23"/>
  <c r="K26" i="23" s="1"/>
  <c r="J26" i="26"/>
  <c r="K26" i="26" s="1"/>
  <c r="J26" i="24"/>
  <c r="K26" i="24" s="1"/>
  <c r="J43" i="29"/>
  <c r="K43" i="29" s="1"/>
  <c r="J44" i="24"/>
  <c r="K44" i="24" s="1"/>
  <c r="J44" i="22"/>
  <c r="J43" i="30"/>
  <c r="K43" i="30" s="1"/>
  <c r="K43" i="31"/>
  <c r="J43" i="26"/>
  <c r="K43" i="26" s="1"/>
  <c r="J43" i="28"/>
  <c r="K43" i="28" s="1"/>
  <c r="J43" i="27"/>
  <c r="K43" i="27" s="1"/>
  <c r="J44" i="23"/>
  <c r="K44" i="23" s="1"/>
  <c r="J43" i="25"/>
  <c r="K43" i="25" s="1"/>
  <c r="J44" i="28"/>
  <c r="K44" i="28" s="1"/>
  <c r="J44" i="30"/>
  <c r="K44" i="30" s="1"/>
  <c r="J44" i="26"/>
  <c r="K44" i="26" s="1"/>
  <c r="J44" i="25"/>
  <c r="K44" i="25" s="1"/>
  <c r="J44" i="27"/>
  <c r="K44" i="27" s="1"/>
  <c r="J44" i="29"/>
  <c r="K44" i="29" s="1"/>
  <c r="J45" i="24"/>
  <c r="K45" i="24" s="1"/>
  <c r="J45" i="23"/>
  <c r="K45" i="23" s="1"/>
  <c r="J44" i="31"/>
  <c r="K44" i="31" s="1"/>
  <c r="J27" i="31"/>
  <c r="K27" i="31" s="1"/>
  <c r="J27" i="30"/>
  <c r="K27" i="30" s="1"/>
  <c r="J27" i="23"/>
  <c r="K27" i="23" s="1"/>
  <c r="J27" i="24"/>
  <c r="K27" i="24" s="1"/>
  <c r="J27" i="28"/>
  <c r="K27" i="28" s="1"/>
  <c r="J27" i="26"/>
  <c r="K27" i="26" s="1"/>
  <c r="J27" i="25"/>
  <c r="K27" i="25" s="1"/>
  <c r="J27" i="29"/>
  <c r="K27" i="29" s="1"/>
  <c r="J27" i="27"/>
  <c r="K27" i="27" s="1"/>
  <c r="J40" i="25"/>
  <c r="K40" i="25" s="1"/>
  <c r="J40" i="30"/>
  <c r="K40" i="30" s="1"/>
  <c r="J41" i="23"/>
  <c r="K41" i="23" s="1"/>
  <c r="J40" i="29"/>
  <c r="K40" i="29" s="1"/>
  <c r="J40" i="28"/>
  <c r="K40" i="28" s="1"/>
  <c r="J40" i="31"/>
  <c r="K40" i="31" s="1"/>
  <c r="J41" i="24"/>
  <c r="K41" i="24" s="1"/>
  <c r="J40" i="26"/>
  <c r="K40" i="26" s="1"/>
  <c r="J40" i="27"/>
  <c r="K40" i="27" s="1"/>
  <c r="K37" i="31"/>
  <c r="J37" i="30"/>
  <c r="K37" i="30" s="1"/>
  <c r="K41" i="30" s="1"/>
  <c r="J38" i="22"/>
  <c r="K38" i="22" s="1"/>
  <c r="J37" i="28"/>
  <c r="K37" i="28" s="1"/>
  <c r="J38" i="24"/>
  <c r="K38" i="24" s="1"/>
  <c r="J37" i="29"/>
  <c r="K37" i="29" s="1"/>
  <c r="J37" i="26"/>
  <c r="K37" i="26" s="1"/>
  <c r="J38" i="23"/>
  <c r="K38" i="23" s="1"/>
  <c r="J37" i="27"/>
  <c r="K37" i="27" s="1"/>
  <c r="K41" i="27" s="1"/>
  <c r="J37" i="25"/>
  <c r="K37" i="25" s="1"/>
  <c r="K41" i="25" s="1"/>
  <c r="J34" i="24"/>
  <c r="K34" i="24" s="1"/>
  <c r="J34" i="23"/>
  <c r="K34" i="23" s="1"/>
  <c r="J33" i="26"/>
  <c r="K33" i="26" s="1"/>
  <c r="J33" i="28"/>
  <c r="K33" i="28" s="1"/>
  <c r="J33" i="29"/>
  <c r="K33" i="29" s="1"/>
  <c r="J33" i="27"/>
  <c r="K33" i="27" s="1"/>
  <c r="J33" i="31"/>
  <c r="K33" i="31" s="1"/>
  <c r="J33" i="30"/>
  <c r="K33" i="30" s="1"/>
  <c r="J33" i="25"/>
  <c r="K33" i="25" s="1"/>
  <c r="J34" i="29"/>
  <c r="K34" i="29" s="1"/>
  <c r="J34" i="28"/>
  <c r="K34" i="28" s="1"/>
  <c r="J34" i="27"/>
  <c r="K34" i="27" s="1"/>
  <c r="J34" i="26"/>
  <c r="K34" i="26" s="1"/>
  <c r="J34" i="25"/>
  <c r="K34" i="25" s="1"/>
  <c r="J34" i="31"/>
  <c r="K34" i="31" s="1"/>
  <c r="J34" i="30"/>
  <c r="K34" i="30" s="1"/>
  <c r="J35" i="23"/>
  <c r="K35" i="23" s="1"/>
  <c r="J35" i="24"/>
  <c r="K35" i="24" s="1"/>
  <c r="J39" i="27"/>
  <c r="K39" i="27" s="1"/>
  <c r="J39" i="31"/>
  <c r="K39" i="31" s="1"/>
  <c r="J39" i="26"/>
  <c r="K39" i="26" s="1"/>
  <c r="J39" i="25"/>
  <c r="K39" i="25" s="1"/>
  <c r="J39" i="30"/>
  <c r="K39" i="30" s="1"/>
  <c r="J40" i="24"/>
  <c r="K40" i="24" s="1"/>
  <c r="J40" i="23"/>
  <c r="K40" i="23" s="1"/>
  <c r="J39" i="29"/>
  <c r="K39" i="29" s="1"/>
  <c r="J39" i="28"/>
  <c r="K39" i="28" s="1"/>
  <c r="J31" i="25"/>
  <c r="K31" i="25" s="1"/>
  <c r="K31" i="31"/>
  <c r="J31" i="30"/>
  <c r="K31" i="30" s="1"/>
  <c r="J32" i="22"/>
  <c r="J31" i="29"/>
  <c r="K31" i="29" s="1"/>
  <c r="K35" i="29" s="1"/>
  <c r="J32" i="23"/>
  <c r="K32" i="23" s="1"/>
  <c r="J31" i="27"/>
  <c r="K31" i="27" s="1"/>
  <c r="J32" i="24"/>
  <c r="K32" i="24" s="1"/>
  <c r="J31" i="28"/>
  <c r="K31" i="28" s="1"/>
  <c r="J31" i="26"/>
  <c r="K31" i="26" s="1"/>
  <c r="K35" i="26" s="1"/>
  <c r="J32" i="31"/>
  <c r="K32" i="31" s="1"/>
  <c r="J32" i="30"/>
  <c r="K32" i="30" s="1"/>
  <c r="J33" i="23"/>
  <c r="K33" i="23" s="1"/>
  <c r="J33" i="24"/>
  <c r="K33" i="24" s="1"/>
  <c r="J32" i="28"/>
  <c r="K32" i="28" s="1"/>
  <c r="J32" i="26"/>
  <c r="K32" i="26" s="1"/>
  <c r="J32" i="25"/>
  <c r="K32" i="25" s="1"/>
  <c r="J32" i="29"/>
  <c r="K32" i="29" s="1"/>
  <c r="J32" i="27"/>
  <c r="K32" i="27" s="1"/>
  <c r="J28" i="31"/>
  <c r="K28" i="31" s="1"/>
  <c r="J28" i="28"/>
  <c r="K28" i="28" s="1"/>
  <c r="J28" i="27"/>
  <c r="K28" i="27" s="1"/>
  <c r="J28" i="29"/>
  <c r="K28" i="29" s="1"/>
  <c r="J28" i="24"/>
  <c r="K28" i="24" s="1"/>
  <c r="J28" i="26"/>
  <c r="K28" i="26" s="1"/>
  <c r="J28" i="25"/>
  <c r="K28" i="25" s="1"/>
  <c r="J28" i="30"/>
  <c r="K28" i="30" s="1"/>
  <c r="J28" i="23"/>
  <c r="K28" i="23" s="1"/>
  <c r="J45" i="31"/>
  <c r="K45" i="31" s="1"/>
  <c r="J45" i="25"/>
  <c r="K45" i="25" s="1"/>
  <c r="J45" i="29"/>
  <c r="K45" i="29" s="1"/>
  <c r="J45" i="28"/>
  <c r="K45" i="28" s="1"/>
  <c r="J45" i="27"/>
  <c r="K45" i="27" s="1"/>
  <c r="J46" i="23"/>
  <c r="K46" i="23" s="1"/>
  <c r="J46" i="24"/>
  <c r="K46" i="24" s="1"/>
  <c r="J45" i="26"/>
  <c r="K45" i="26" s="1"/>
  <c r="J45" i="30"/>
  <c r="K45" i="30" s="1"/>
  <c r="J46" i="28"/>
  <c r="K46" i="28" s="1"/>
  <c r="J46" i="27"/>
  <c r="K46" i="27" s="1"/>
  <c r="J47" i="23"/>
  <c r="K47" i="23" s="1"/>
  <c r="J46" i="29"/>
  <c r="K46" i="29" s="1"/>
  <c r="J47" i="24"/>
  <c r="K47" i="24" s="1"/>
  <c r="J46" i="31"/>
  <c r="K46" i="31" s="1"/>
  <c r="J46" i="30"/>
  <c r="K46" i="30" s="1"/>
  <c r="J46" i="26"/>
  <c r="K46" i="26" s="1"/>
  <c r="J46" i="25"/>
  <c r="K46" i="25" s="1"/>
  <c r="J38" i="29"/>
  <c r="K38" i="29" s="1"/>
  <c r="J39" i="24"/>
  <c r="K39" i="24" s="1"/>
  <c r="J38" i="28"/>
  <c r="K38" i="28" s="1"/>
  <c r="J38" i="27"/>
  <c r="K38" i="27" s="1"/>
  <c r="J38" i="26"/>
  <c r="K38" i="26" s="1"/>
  <c r="J38" i="31"/>
  <c r="K38" i="31" s="1"/>
  <c r="J38" i="25"/>
  <c r="K38" i="25" s="1"/>
  <c r="J39" i="23"/>
  <c r="K39" i="23" s="1"/>
  <c r="J38" i="30"/>
  <c r="K38" i="30" s="1"/>
  <c r="J25" i="26"/>
  <c r="K25" i="26" s="1"/>
  <c r="J25" i="29"/>
  <c r="K25" i="29" s="1"/>
  <c r="K29" i="29" s="1"/>
  <c r="J25" i="27"/>
  <c r="K25" i="27" s="1"/>
  <c r="K29" i="27" s="1"/>
  <c r="J25" i="22"/>
  <c r="K25" i="22" s="1"/>
  <c r="K29" i="22" s="1"/>
  <c r="J25" i="28"/>
  <c r="K25" i="28" s="1"/>
  <c r="K29" i="28" s="1"/>
  <c r="J25" i="25"/>
  <c r="K25" i="25" s="1"/>
  <c r="K25" i="31"/>
  <c r="J25" i="24"/>
  <c r="K25" i="24" s="1"/>
  <c r="J25" i="23"/>
  <c r="K25" i="23" s="1"/>
  <c r="J25" i="30"/>
  <c r="K25" i="30" s="1"/>
  <c r="J41" i="19"/>
  <c r="K41" i="19" s="1"/>
  <c r="J41" i="22"/>
  <c r="K41" i="22" s="1"/>
  <c r="J41" i="17"/>
  <c r="J41" i="21"/>
  <c r="K41" i="21" s="1"/>
  <c r="J26" i="17"/>
  <c r="J26" i="22"/>
  <c r="K26" i="22" s="1"/>
  <c r="J26" i="21"/>
  <c r="K26" i="21" s="1"/>
  <c r="J26" i="19"/>
  <c r="K26" i="19" s="1"/>
  <c r="J44" i="21"/>
  <c r="K44" i="21" s="1"/>
  <c r="K44" i="22"/>
  <c r="J44" i="19"/>
  <c r="K44" i="19" s="1"/>
  <c r="J44" i="17"/>
  <c r="J40" i="21"/>
  <c r="K40" i="21" s="1"/>
  <c r="J40" i="22"/>
  <c r="K40" i="22" s="1"/>
  <c r="J40" i="19"/>
  <c r="K40" i="19" s="1"/>
  <c r="J40" i="17"/>
  <c r="F13" i="22"/>
  <c r="J27" i="21"/>
  <c r="K27" i="21" s="1"/>
  <c r="J27" i="17"/>
  <c r="K27" i="17" s="1"/>
  <c r="J27" i="22"/>
  <c r="K27" i="22" s="1"/>
  <c r="J27" i="19"/>
  <c r="K27" i="19" s="1"/>
  <c r="J34" i="19"/>
  <c r="K34" i="19" s="1"/>
  <c r="J34" i="21"/>
  <c r="K34" i="21" s="1"/>
  <c r="J34" i="22"/>
  <c r="K34" i="22" s="1"/>
  <c r="J34" i="17"/>
  <c r="J45" i="22"/>
  <c r="K45" i="22" s="1"/>
  <c r="J45" i="19"/>
  <c r="K45" i="19" s="1"/>
  <c r="J45" i="17"/>
  <c r="J45" i="21"/>
  <c r="K45" i="21" s="1"/>
  <c r="J46" i="17"/>
  <c r="J46" i="21"/>
  <c r="K46" i="21" s="1"/>
  <c r="J46" i="22"/>
  <c r="K46" i="22" s="1"/>
  <c r="J46" i="19"/>
  <c r="K46" i="19" s="1"/>
  <c r="J35" i="21"/>
  <c r="K35" i="21" s="1"/>
  <c r="J35" i="22"/>
  <c r="K35" i="22" s="1"/>
  <c r="J35" i="17"/>
  <c r="J35" i="19"/>
  <c r="K35" i="19" s="1"/>
  <c r="J47" i="21"/>
  <c r="K47" i="21" s="1"/>
  <c r="J47" i="22"/>
  <c r="K47" i="22" s="1"/>
  <c r="J47" i="19"/>
  <c r="K47" i="19" s="1"/>
  <c r="J47" i="17"/>
  <c r="J38" i="19"/>
  <c r="K38" i="19" s="1"/>
  <c r="J38" i="17"/>
  <c r="J38" i="21"/>
  <c r="K38" i="21" s="1"/>
  <c r="J33" i="22"/>
  <c r="K33" i="22" s="1"/>
  <c r="J33" i="17"/>
  <c r="J33" i="19"/>
  <c r="K33" i="19" s="1"/>
  <c r="J33" i="21"/>
  <c r="K33" i="21" s="1"/>
  <c r="J28" i="19"/>
  <c r="K28" i="19" s="1"/>
  <c r="J28" i="22"/>
  <c r="K28" i="22" s="1"/>
  <c r="J28" i="17"/>
  <c r="K28" i="17" s="1"/>
  <c r="J28" i="21"/>
  <c r="K28" i="21" s="1"/>
  <c r="J25" i="17"/>
  <c r="J25" i="21"/>
  <c r="K25" i="21" s="1"/>
  <c r="J25" i="19"/>
  <c r="K25" i="19" s="1"/>
  <c r="J32" i="21"/>
  <c r="K32" i="21" s="1"/>
  <c r="K32" i="22"/>
  <c r="K36" i="22" s="1"/>
  <c r="J32" i="17"/>
  <c r="J32" i="19"/>
  <c r="K32" i="19" s="1"/>
  <c r="J39" i="17"/>
  <c r="J39" i="21"/>
  <c r="K39" i="21" s="1"/>
  <c r="J39" i="22"/>
  <c r="K39" i="22" s="1"/>
  <c r="J39" i="19"/>
  <c r="K39" i="19" s="1"/>
  <c r="K50" i="107"/>
  <c r="K38" i="107"/>
  <c r="F42" i="107"/>
  <c r="F46" i="107" s="1"/>
  <c r="K43" i="107"/>
  <c r="I39" i="107"/>
  <c r="K39" i="107" s="1"/>
  <c r="I45" i="107"/>
  <c r="K45" i="107" s="1"/>
  <c r="K37" i="107"/>
  <c r="K44" i="107"/>
  <c r="F29" i="107"/>
  <c r="F33" i="107" s="1"/>
  <c r="K32" i="107"/>
  <c r="K30" i="107"/>
  <c r="I51" i="107"/>
  <c r="K51" i="107" s="1"/>
  <c r="I31" i="107"/>
  <c r="K31" i="107" s="1"/>
  <c r="K49" i="107"/>
  <c r="O155" i="103" l="1"/>
  <c r="N154" i="103"/>
  <c r="S153" i="103"/>
  <c r="K47" i="28"/>
  <c r="G60" i="35"/>
  <c r="G59" i="53"/>
  <c r="G63" i="53" s="1"/>
  <c r="G59" i="67"/>
  <c r="G63" i="67" s="1"/>
  <c r="G65" i="67" s="1"/>
  <c r="G60" i="41"/>
  <c r="G59" i="50"/>
  <c r="G63" i="50" s="1"/>
  <c r="G65" i="50" s="1"/>
  <c r="G59" i="63"/>
  <c r="G63" i="63" s="1"/>
  <c r="G65" i="63" s="1"/>
  <c r="G59" i="62"/>
  <c r="G63" i="62" s="1"/>
  <c r="G65" i="62" s="1"/>
  <c r="G60" i="34"/>
  <c r="G60" i="38"/>
  <c r="G60" i="39"/>
  <c r="G60" i="36"/>
  <c r="G59" i="66"/>
  <c r="G63" i="66" s="1"/>
  <c r="G65" i="66" s="1"/>
  <c r="G59" i="49"/>
  <c r="G59" i="61"/>
  <c r="G63" i="61" s="1"/>
  <c r="G65" i="61" s="1"/>
  <c r="G59" i="58"/>
  <c r="G63" i="58" s="1"/>
  <c r="G65" i="58" s="1"/>
  <c r="G59" i="51"/>
  <c r="G63" i="51" s="1"/>
  <c r="G65" i="51" s="1"/>
  <c r="G59" i="65"/>
  <c r="G63" i="65" s="1"/>
  <c r="G65" i="65" s="1"/>
  <c r="G60" i="42"/>
  <c r="G59" i="64"/>
  <c r="G63" i="64" s="1"/>
  <c r="G65" i="64" s="1"/>
  <c r="G59" i="59"/>
  <c r="G63" i="59" s="1"/>
  <c r="G65" i="59" s="1"/>
  <c r="G59" i="68"/>
  <c r="G63" i="68" s="1"/>
  <c r="G65" i="68" s="1"/>
  <c r="G60" i="40"/>
  <c r="G60" i="33"/>
  <c r="G59" i="52"/>
  <c r="G63" i="52" s="1"/>
  <c r="G65" i="52" s="1"/>
  <c r="G59" i="60"/>
  <c r="G63" i="60" s="1"/>
  <c r="G65" i="60" s="1"/>
  <c r="G59" i="57"/>
  <c r="G63" i="57" s="1"/>
  <c r="G65" i="57" s="1"/>
  <c r="G60" i="32"/>
  <c r="G65" i="53"/>
  <c r="G59" i="55"/>
  <c r="G63" i="55" s="1"/>
  <c r="G65" i="55" s="1"/>
  <c r="G59" i="54"/>
  <c r="G63" i="54" s="1"/>
  <c r="G65" i="54" s="1"/>
  <c r="K47" i="30"/>
  <c r="K41" i="31"/>
  <c r="K47" i="26"/>
  <c r="K47" i="31"/>
  <c r="K35" i="31"/>
  <c r="K41" i="26"/>
  <c r="K29" i="23"/>
  <c r="K29" i="26"/>
  <c r="K35" i="28"/>
  <c r="K35" i="25"/>
  <c r="K41" i="29"/>
  <c r="K35" i="30"/>
  <c r="K42" i="23"/>
  <c r="K29" i="30"/>
  <c r="K36" i="24"/>
  <c r="K42" i="24"/>
  <c r="K29" i="25"/>
  <c r="K47" i="25"/>
  <c r="K48" i="24"/>
  <c r="K29" i="24"/>
  <c r="K36" i="19"/>
  <c r="K29" i="31"/>
  <c r="K35" i="27"/>
  <c r="K41" i="28"/>
  <c r="K48" i="23"/>
  <c r="K47" i="29"/>
  <c r="K36" i="23"/>
  <c r="K47" i="27"/>
  <c r="K42" i="22"/>
  <c r="K42" i="21"/>
  <c r="K42" i="19"/>
  <c r="K48" i="19"/>
  <c r="K29" i="19"/>
  <c r="K36" i="21"/>
  <c r="K48" i="22"/>
  <c r="K29" i="21"/>
  <c r="K48" i="21"/>
  <c r="E49" i="102"/>
  <c r="E43" i="102"/>
  <c r="E37" i="102"/>
  <c r="E29" i="102"/>
  <c r="D49" i="102"/>
  <c r="D43" i="102"/>
  <c r="K8" i="106"/>
  <c r="J8" i="106"/>
  <c r="F37" i="106"/>
  <c r="F38" i="106"/>
  <c r="F44" i="106"/>
  <c r="F48" i="106"/>
  <c r="F35" i="106"/>
  <c r="F34" i="106"/>
  <c r="F33" i="106"/>
  <c r="F32" i="106"/>
  <c r="F31" i="106"/>
  <c r="F30" i="106"/>
  <c r="L52" i="106"/>
  <c r="L51" i="106"/>
  <c r="L50" i="106"/>
  <c r="L49" i="106"/>
  <c r="L45" i="106"/>
  <c r="L44" i="106"/>
  <c r="L43" i="106"/>
  <c r="L42" i="106"/>
  <c r="L41" i="106"/>
  <c r="L39" i="106"/>
  <c r="L38" i="106"/>
  <c r="L37" i="106"/>
  <c r="L36" i="106"/>
  <c r="L35" i="106"/>
  <c r="L34" i="106"/>
  <c r="L33" i="106"/>
  <c r="L32" i="106"/>
  <c r="L31" i="106"/>
  <c r="L30" i="106"/>
  <c r="L29" i="106"/>
  <c r="L28" i="106"/>
  <c r="L27" i="106"/>
  <c r="L26" i="106"/>
  <c r="L25" i="106"/>
  <c r="L24" i="106"/>
  <c r="L23" i="106"/>
  <c r="L22" i="106"/>
  <c r="L21" i="106"/>
  <c r="L13" i="106"/>
  <c r="N2" i="104"/>
  <c r="K13" i="106" s="1"/>
  <c r="K49" i="106"/>
  <c r="L18" i="106"/>
  <c r="L16" i="106"/>
  <c r="F21" i="106"/>
  <c r="F18" i="106"/>
  <c r="F17" i="106"/>
  <c r="F16" i="106"/>
  <c r="F15" i="106"/>
  <c r="F14" i="106"/>
  <c r="F13" i="106"/>
  <c r="E13" i="106"/>
  <c r="F29" i="106"/>
  <c r="F27" i="105"/>
  <c r="A29" i="104"/>
  <c r="E38" i="106" s="1"/>
  <c r="L26" i="104"/>
  <c r="L25" i="104"/>
  <c r="I26" i="104"/>
  <c r="H26" i="104" s="1"/>
  <c r="I25" i="104"/>
  <c r="H25" i="104" s="1"/>
  <c r="K23" i="104"/>
  <c r="I23" i="104"/>
  <c r="H23" i="104"/>
  <c r="I22" i="104"/>
  <c r="J22" i="104" s="1"/>
  <c r="H22" i="104"/>
  <c r="K15" i="104"/>
  <c r="H15" i="104"/>
  <c r="K14" i="104"/>
  <c r="H14" i="104"/>
  <c r="L13" i="104"/>
  <c r="J13" i="104"/>
  <c r="K19" i="104" s="1"/>
  <c r="K26" i="106" s="1"/>
  <c r="H13" i="104"/>
  <c r="K11" i="104"/>
  <c r="I11" i="104"/>
  <c r="E17" i="106"/>
  <c r="H5" i="104"/>
  <c r="H7" i="104" s="1"/>
  <c r="H3" i="104"/>
  <c r="C23" i="104"/>
  <c r="C22" i="104"/>
  <c r="B23" i="104"/>
  <c r="E30" i="106" s="1"/>
  <c r="B22" i="104"/>
  <c r="C18" i="104"/>
  <c r="C17" i="104"/>
  <c r="C15" i="104"/>
  <c r="C13" i="104"/>
  <c r="B11" i="104"/>
  <c r="B9" i="104"/>
  <c r="E37" i="106" l="1"/>
  <c r="S154" i="103"/>
  <c r="K43" i="106"/>
  <c r="M43" i="106" s="1"/>
  <c r="K43" i="109"/>
  <c r="M43" i="109" s="1"/>
  <c r="N155" i="103"/>
  <c r="O156" i="103"/>
  <c r="E25" i="31"/>
  <c r="E25" i="30"/>
  <c r="E25" i="26"/>
  <c r="E31" i="31"/>
  <c r="E31" i="28"/>
  <c r="E31" i="27"/>
  <c r="E31" i="26"/>
  <c r="E25" i="24"/>
  <c r="E31" i="29"/>
  <c r="E31" i="25"/>
  <c r="E31" i="30"/>
  <c r="E25" i="29"/>
  <c r="E25" i="27"/>
  <c r="E25" i="25"/>
  <c r="E32" i="23"/>
  <c r="F32" i="23" s="1"/>
  <c r="F36" i="23" s="1"/>
  <c r="E32" i="24"/>
  <c r="E25" i="28"/>
  <c r="E25" i="23"/>
  <c r="E43" i="31"/>
  <c r="E43" i="28"/>
  <c r="E43" i="29"/>
  <c r="E43" i="27"/>
  <c r="E44" i="24"/>
  <c r="E43" i="30"/>
  <c r="E43" i="26"/>
  <c r="E43" i="25"/>
  <c r="E44" i="23"/>
  <c r="D25" i="30"/>
  <c r="F25" i="30" s="1"/>
  <c r="F29" i="30" s="1"/>
  <c r="D25" i="26"/>
  <c r="F25" i="26" s="1"/>
  <c r="F29" i="26" s="1"/>
  <c r="D25" i="24"/>
  <c r="D25" i="25"/>
  <c r="F25" i="25" s="1"/>
  <c r="F29" i="25" s="1"/>
  <c r="D25" i="29"/>
  <c r="F25" i="29" s="1"/>
  <c r="F29" i="29" s="1"/>
  <c r="D25" i="31"/>
  <c r="F25" i="31" s="1"/>
  <c r="F29" i="31" s="1"/>
  <c r="D25" i="28"/>
  <c r="D25" i="27"/>
  <c r="F25" i="27" s="1"/>
  <c r="F29" i="27" s="1"/>
  <c r="D25" i="23"/>
  <c r="F25" i="23" s="1"/>
  <c r="F29" i="23" s="1"/>
  <c r="E37" i="31"/>
  <c r="E37" i="25"/>
  <c r="E38" i="23"/>
  <c r="E37" i="30"/>
  <c r="E37" i="29"/>
  <c r="F37" i="29" s="1"/>
  <c r="F41" i="29" s="1"/>
  <c r="E37" i="26"/>
  <c r="E37" i="27"/>
  <c r="E38" i="24"/>
  <c r="E37" i="28"/>
  <c r="D32" i="24"/>
  <c r="D31" i="29"/>
  <c r="F31" i="29" s="1"/>
  <c r="F35" i="29" s="1"/>
  <c r="D31" i="28"/>
  <c r="D31" i="27"/>
  <c r="D31" i="26"/>
  <c r="D31" i="25"/>
  <c r="F31" i="25" s="1"/>
  <c r="F35" i="25" s="1"/>
  <c r="D31" i="31"/>
  <c r="F31" i="31" s="1"/>
  <c r="F35" i="31" s="1"/>
  <c r="D31" i="30"/>
  <c r="D32" i="23"/>
  <c r="D37" i="27"/>
  <c r="F37" i="27" s="1"/>
  <c r="F41" i="27" s="1"/>
  <c r="D37" i="26"/>
  <c r="F37" i="26" s="1"/>
  <c r="F41" i="26" s="1"/>
  <c r="D37" i="30"/>
  <c r="D37" i="31"/>
  <c r="D37" i="25"/>
  <c r="F37" i="25" s="1"/>
  <c r="F41" i="25" s="1"/>
  <c r="D37" i="28"/>
  <c r="F37" i="28" s="1"/>
  <c r="F41" i="28" s="1"/>
  <c r="D38" i="23"/>
  <c r="F38" i="23" s="1"/>
  <c r="F42" i="23" s="1"/>
  <c r="D37" i="29"/>
  <c r="D38" i="24"/>
  <c r="D44" i="23"/>
  <c r="F44" i="23" s="1"/>
  <c r="F48" i="23" s="1"/>
  <c r="D43" i="27"/>
  <c r="F43" i="27" s="1"/>
  <c r="F47" i="27" s="1"/>
  <c r="D43" i="28"/>
  <c r="D43" i="29"/>
  <c r="F43" i="29" s="1"/>
  <c r="F47" i="29" s="1"/>
  <c r="D44" i="24"/>
  <c r="D43" i="31"/>
  <c r="F43" i="31" s="1"/>
  <c r="F47" i="31" s="1"/>
  <c r="D43" i="30"/>
  <c r="D43" i="26"/>
  <c r="F43" i="26" s="1"/>
  <c r="F47" i="26" s="1"/>
  <c r="D43" i="25"/>
  <c r="F43" i="25" s="1"/>
  <c r="F47" i="25" s="1"/>
  <c r="D44" i="17"/>
  <c r="D44" i="19"/>
  <c r="D44" i="21"/>
  <c r="D44" i="22"/>
  <c r="D38" i="21"/>
  <c r="F38" i="21" s="1"/>
  <c r="F42" i="21" s="1"/>
  <c r="D38" i="22"/>
  <c r="D38" i="17"/>
  <c r="D38" i="19"/>
  <c r="F38" i="19" s="1"/>
  <c r="F42" i="19" s="1"/>
  <c r="E25" i="17"/>
  <c r="E25" i="21"/>
  <c r="E25" i="19"/>
  <c r="E32" i="21"/>
  <c r="E32" i="17"/>
  <c r="E32" i="22"/>
  <c r="E32" i="19"/>
  <c r="E25" i="22"/>
  <c r="E38" i="22"/>
  <c r="E38" i="19"/>
  <c r="E38" i="17"/>
  <c r="E38" i="21"/>
  <c r="E44" i="21"/>
  <c r="E44" i="22"/>
  <c r="E44" i="17"/>
  <c r="E44" i="19"/>
  <c r="D25" i="22"/>
  <c r="D25" i="21"/>
  <c r="F25" i="21" s="1"/>
  <c r="F29" i="21" s="1"/>
  <c r="D25" i="19"/>
  <c r="F25" i="19" s="1"/>
  <c r="F29" i="19" s="1"/>
  <c r="D25" i="17"/>
  <c r="D32" i="17"/>
  <c r="D32" i="19"/>
  <c r="D32" i="21"/>
  <c r="D32" i="22"/>
  <c r="F32" i="22" s="1"/>
  <c r="F36" i="22" s="1"/>
  <c r="K44" i="106"/>
  <c r="M44" i="106" s="1"/>
  <c r="E44" i="106"/>
  <c r="G44" i="106" s="1"/>
  <c r="J23" i="104"/>
  <c r="H17" i="104"/>
  <c r="K28" i="106" s="1"/>
  <c r="M28" i="106" s="1"/>
  <c r="E21" i="106"/>
  <c r="G21" i="106" s="1"/>
  <c r="K17" i="106"/>
  <c r="B5" i="104"/>
  <c r="B7" i="104"/>
  <c r="G13" i="106"/>
  <c r="M13" i="106"/>
  <c r="C16" i="106"/>
  <c r="G17" i="106"/>
  <c r="I17" i="106"/>
  <c r="L17" i="106" s="1"/>
  <c r="C18" i="106"/>
  <c r="M26" i="106"/>
  <c r="G30" i="106"/>
  <c r="G37" i="106"/>
  <c r="G38" i="106"/>
  <c r="K38" i="106"/>
  <c r="M38" i="106" s="1"/>
  <c r="M49" i="106"/>
  <c r="N156" i="103" l="1"/>
  <c r="O157" i="103"/>
  <c r="S155" i="103"/>
  <c r="F25" i="24"/>
  <c r="F29" i="24" s="1"/>
  <c r="F32" i="21"/>
  <c r="F36" i="21" s="1"/>
  <c r="F38" i="24"/>
  <c r="F42" i="24" s="1"/>
  <c r="F44" i="24"/>
  <c r="F48" i="24" s="1"/>
  <c r="F44" i="22"/>
  <c r="F48" i="22" s="1"/>
  <c r="F43" i="30"/>
  <c r="F47" i="30" s="1"/>
  <c r="F32" i="24"/>
  <c r="F36" i="24" s="1"/>
  <c r="F31" i="27"/>
  <c r="F35" i="27" s="1"/>
  <c r="F31" i="28"/>
  <c r="F35" i="28" s="1"/>
  <c r="F31" i="30"/>
  <c r="F35" i="30" s="1"/>
  <c r="F43" i="28"/>
  <c r="F47" i="28" s="1"/>
  <c r="F37" i="31"/>
  <c r="F41" i="31" s="1"/>
  <c r="F31" i="26"/>
  <c r="F35" i="26" s="1"/>
  <c r="F25" i="28"/>
  <c r="F29" i="28" s="1"/>
  <c r="F25" i="22"/>
  <c r="F29" i="22" s="1"/>
  <c r="F37" i="30"/>
  <c r="F41" i="30" s="1"/>
  <c r="F32" i="19"/>
  <c r="F36" i="19" s="1"/>
  <c r="F38" i="22"/>
  <c r="F42" i="22" s="1"/>
  <c r="F44" i="21"/>
  <c r="F48" i="21" s="1"/>
  <c r="F44" i="19"/>
  <c r="F48" i="19" s="1"/>
  <c r="M17" i="106"/>
  <c r="F26" i="105"/>
  <c r="C5" i="104"/>
  <c r="B3" i="104"/>
  <c r="C3" i="104" s="1"/>
  <c r="D8" i="106"/>
  <c r="E17" i="105"/>
  <c r="E16" i="105"/>
  <c r="E15" i="105"/>
  <c r="G7" i="105"/>
  <c r="L31" i="104"/>
  <c r="E22" i="104"/>
  <c r="C20" i="104"/>
  <c r="P15" i="104"/>
  <c r="Q14" i="104"/>
  <c r="R14" i="104" s="1"/>
  <c r="P14" i="104"/>
  <c r="K13" i="104"/>
  <c r="C11" i="104"/>
  <c r="C9" i="104"/>
  <c r="C7" i="104"/>
  <c r="I5" i="104"/>
  <c r="K31" i="104"/>
  <c r="E298" i="44"/>
  <c r="D126" i="12"/>
  <c r="I535" i="44"/>
  <c r="H535" i="44"/>
  <c r="F535" i="44"/>
  <c r="E535" i="44"/>
  <c r="I521" i="44"/>
  <c r="H521" i="44"/>
  <c r="F521" i="44"/>
  <c r="E521" i="44"/>
  <c r="I507" i="44"/>
  <c r="H507" i="44"/>
  <c r="F507" i="44"/>
  <c r="E507" i="44"/>
  <c r="I493" i="44"/>
  <c r="H493" i="44"/>
  <c r="F493" i="44"/>
  <c r="E493" i="44"/>
  <c r="I479" i="44"/>
  <c r="H479" i="44"/>
  <c r="F479" i="44"/>
  <c r="E479" i="44"/>
  <c r="I465" i="44"/>
  <c r="H465" i="44"/>
  <c r="F465" i="44"/>
  <c r="E465" i="44"/>
  <c r="D535" i="44"/>
  <c r="B535" i="44"/>
  <c r="D521" i="44"/>
  <c r="B521" i="44"/>
  <c r="D507" i="44"/>
  <c r="B507" i="44"/>
  <c r="D493" i="44"/>
  <c r="B493" i="44"/>
  <c r="D479" i="44"/>
  <c r="B479" i="44"/>
  <c r="D465" i="44"/>
  <c r="B465" i="44"/>
  <c r="I451" i="44"/>
  <c r="H451" i="44"/>
  <c r="F451" i="44"/>
  <c r="E451" i="44"/>
  <c r="I437" i="44"/>
  <c r="H437" i="44"/>
  <c r="F437" i="44"/>
  <c r="E437" i="44"/>
  <c r="I423" i="44"/>
  <c r="H423" i="44"/>
  <c r="F423" i="44"/>
  <c r="E423" i="44"/>
  <c r="I409" i="44"/>
  <c r="H409" i="44"/>
  <c r="F409" i="44"/>
  <c r="E409" i="44"/>
  <c r="I395" i="44"/>
  <c r="H395" i="44"/>
  <c r="F395" i="44"/>
  <c r="E395" i="44"/>
  <c r="D451" i="44"/>
  <c r="B451" i="44"/>
  <c r="D437" i="44"/>
  <c r="B437" i="44"/>
  <c r="D423" i="44"/>
  <c r="B423" i="44"/>
  <c r="D409" i="44"/>
  <c r="B409" i="44"/>
  <c r="D395" i="44"/>
  <c r="B395" i="44"/>
  <c r="I381" i="44"/>
  <c r="H381" i="44"/>
  <c r="F381" i="44"/>
  <c r="E381" i="44"/>
  <c r="I367" i="44"/>
  <c r="H367" i="44"/>
  <c r="F367" i="44"/>
  <c r="E367" i="44"/>
  <c r="I353" i="44"/>
  <c r="H353" i="44"/>
  <c r="F353" i="44"/>
  <c r="E353" i="44"/>
  <c r="I339" i="44"/>
  <c r="H339" i="44"/>
  <c r="F339" i="44"/>
  <c r="E339" i="44"/>
  <c r="I325" i="44"/>
  <c r="H325" i="44"/>
  <c r="F325" i="44"/>
  <c r="E325" i="44"/>
  <c r="I311" i="44"/>
  <c r="H311" i="44"/>
  <c r="F311" i="44"/>
  <c r="E311" i="44"/>
  <c r="I297" i="44"/>
  <c r="H297" i="44"/>
  <c r="F297" i="44"/>
  <c r="E297" i="44"/>
  <c r="D381" i="44"/>
  <c r="B381" i="44"/>
  <c r="D367" i="44"/>
  <c r="B367" i="44"/>
  <c r="D353" i="44"/>
  <c r="B353" i="44"/>
  <c r="D339" i="44"/>
  <c r="B339" i="44"/>
  <c r="D325" i="44"/>
  <c r="B325" i="44"/>
  <c r="D311" i="44"/>
  <c r="B311" i="44"/>
  <c r="D297" i="44"/>
  <c r="B297" i="44"/>
  <c r="I283" i="44"/>
  <c r="H283" i="44"/>
  <c r="F283" i="44"/>
  <c r="E283" i="44"/>
  <c r="D283" i="44"/>
  <c r="B283" i="44"/>
  <c r="J253" i="13"/>
  <c r="E126" i="12"/>
  <c r="I13" i="28" s="1"/>
  <c r="K13" i="28" s="1"/>
  <c r="E42" i="101"/>
  <c r="E35" i="101"/>
  <c r="E28" i="101"/>
  <c r="D42" i="101"/>
  <c r="D35" i="101"/>
  <c r="D28" i="101"/>
  <c r="K42" i="106" l="1"/>
  <c r="M42" i="106" s="1"/>
  <c r="K42" i="109"/>
  <c r="M42" i="109" s="1"/>
  <c r="O158" i="103"/>
  <c r="N157" i="103"/>
  <c r="S156" i="103"/>
  <c r="K52" i="106"/>
  <c r="M52" i="106" s="1"/>
  <c r="K52" i="109"/>
  <c r="M52" i="109" s="1"/>
  <c r="M53" i="109" s="1"/>
  <c r="H62" i="109" s="1"/>
  <c r="H63" i="109" s="1"/>
  <c r="H64" i="109" s="1"/>
  <c r="H66" i="109" s="1"/>
  <c r="D123" i="12"/>
  <c r="D13" i="28"/>
  <c r="D28" i="16"/>
  <c r="F28" i="16" s="1"/>
  <c r="D26" i="20"/>
  <c r="E42" i="16"/>
  <c r="E38" i="20"/>
  <c r="D42" i="16"/>
  <c r="D38" i="20"/>
  <c r="D35" i="16"/>
  <c r="D32" i="20"/>
  <c r="E28" i="16"/>
  <c r="E26" i="20"/>
  <c r="E35" i="16"/>
  <c r="E32" i="20"/>
  <c r="B20" i="104"/>
  <c r="E32" i="106" s="1"/>
  <c r="G32" i="106" s="1"/>
  <c r="B13" i="104"/>
  <c r="B18" i="104"/>
  <c r="E18" i="104" s="1"/>
  <c r="B17" i="104"/>
  <c r="E17" i="104" s="1"/>
  <c r="B15" i="104"/>
  <c r="K20" i="104"/>
  <c r="K27" i="106" s="1"/>
  <c r="M27" i="106" s="1"/>
  <c r="P13" i="104"/>
  <c r="K21" i="106" s="1"/>
  <c r="M21" i="106" s="1"/>
  <c r="K24" i="106"/>
  <c r="M24" i="106" s="1"/>
  <c r="K23" i="106"/>
  <c r="M23" i="106" s="1"/>
  <c r="C25" i="104"/>
  <c r="B25" i="104" s="1"/>
  <c r="E35" i="106" s="1"/>
  <c r="G35" i="106" s="1"/>
  <c r="E15" i="106"/>
  <c r="G15" i="106" s="1"/>
  <c r="H9" i="104"/>
  <c r="I9" i="104" s="1"/>
  <c r="E18" i="106" s="1"/>
  <c r="E23" i="104"/>
  <c r="K30" i="106" s="1"/>
  <c r="M30" i="106" s="1"/>
  <c r="J25" i="104"/>
  <c r="N25" i="104"/>
  <c r="N27" i="104" s="1"/>
  <c r="K45" i="106" s="1"/>
  <c r="M45" i="106" s="1"/>
  <c r="K22" i="104"/>
  <c r="K37" i="106" s="1"/>
  <c r="M37" i="106" s="1"/>
  <c r="S14" i="104"/>
  <c r="T14" i="104" s="1"/>
  <c r="Q15" i="104" s="1"/>
  <c r="O15" i="104" s="1"/>
  <c r="I7" i="104"/>
  <c r="E16" i="106" s="1"/>
  <c r="K16" i="104"/>
  <c r="K25" i="106" s="1"/>
  <c r="M25" i="106" s="1"/>
  <c r="E11" i="104"/>
  <c r="K29" i="106" s="1"/>
  <c r="O14" i="104"/>
  <c r="I3" i="104"/>
  <c r="E14" i="106" s="1"/>
  <c r="G14" i="106" s="1"/>
  <c r="J31" i="104"/>
  <c r="K51" i="106" s="1"/>
  <c r="M51" i="106" s="1"/>
  <c r="E309" i="44"/>
  <c r="E123" i="12"/>
  <c r="J42" i="101"/>
  <c r="J35" i="101"/>
  <c r="J28" i="101"/>
  <c r="J45" i="101"/>
  <c r="J38" i="101"/>
  <c r="J31" i="101"/>
  <c r="J44" i="101"/>
  <c r="J37" i="101"/>
  <c r="J30" i="101"/>
  <c r="J28" i="20" s="1"/>
  <c r="K28" i="20" s="1"/>
  <c r="J43" i="101"/>
  <c r="J36" i="101"/>
  <c r="J29" i="101"/>
  <c r="S157" i="103" l="1"/>
  <c r="N158" i="103"/>
  <c r="O159" i="103"/>
  <c r="F13" i="28"/>
  <c r="I13" i="25"/>
  <c r="K13" i="25" s="1"/>
  <c r="I13" i="26"/>
  <c r="K13" i="26" s="1"/>
  <c r="F35" i="16"/>
  <c r="D13" i="26"/>
  <c r="D13" i="25"/>
  <c r="J37" i="16"/>
  <c r="J34" i="20"/>
  <c r="J44" i="16"/>
  <c r="J40" i="20"/>
  <c r="J31" i="16"/>
  <c r="J29" i="20"/>
  <c r="K29" i="20" s="1"/>
  <c r="J28" i="16"/>
  <c r="J26" i="20"/>
  <c r="J38" i="16"/>
  <c r="J35" i="20"/>
  <c r="J45" i="16"/>
  <c r="J41" i="20"/>
  <c r="J43" i="16"/>
  <c r="J39" i="20"/>
  <c r="J32" i="20"/>
  <c r="J35" i="16"/>
  <c r="J29" i="16"/>
  <c r="J27" i="20"/>
  <c r="J36" i="16"/>
  <c r="J33" i="20"/>
  <c r="J42" i="16"/>
  <c r="J38" i="20"/>
  <c r="E20" i="104"/>
  <c r="K32" i="106" s="1"/>
  <c r="M32" i="106" s="1"/>
  <c r="K31" i="106"/>
  <c r="M31" i="106" s="1"/>
  <c r="E15" i="104"/>
  <c r="K34" i="106" s="1"/>
  <c r="M34" i="106" s="1"/>
  <c r="E34" i="106"/>
  <c r="G34" i="106" s="1"/>
  <c r="E31" i="106"/>
  <c r="G31" i="106" s="1"/>
  <c r="E13" i="104"/>
  <c r="K33" i="106" s="1"/>
  <c r="M33" i="106" s="1"/>
  <c r="E33" i="106"/>
  <c r="G33" i="106" s="1"/>
  <c r="H31" i="104"/>
  <c r="K39" i="106"/>
  <c r="M39" i="106" s="1"/>
  <c r="F25" i="105"/>
  <c r="K41" i="109" s="1"/>
  <c r="M41" i="109" s="1"/>
  <c r="K18" i="106"/>
  <c r="M18" i="106" s="1"/>
  <c r="G18" i="106"/>
  <c r="K22" i="106"/>
  <c r="M22" i="106" s="1"/>
  <c r="M29" i="106"/>
  <c r="G16" i="106"/>
  <c r="K16" i="106"/>
  <c r="M16" i="106" s="1"/>
  <c r="L22" i="104"/>
  <c r="E299" i="44"/>
  <c r="F298" i="44"/>
  <c r="J30" i="16"/>
  <c r="O160" i="103" l="1"/>
  <c r="N160" i="103" s="1"/>
  <c r="N159" i="103"/>
  <c r="S158" i="103"/>
  <c r="F13" i="25"/>
  <c r="F13" i="26"/>
  <c r="M19" i="106"/>
  <c r="K41" i="106"/>
  <c r="M41" i="106" s="1"/>
  <c r="G19" i="106"/>
  <c r="E300" i="44"/>
  <c r="F299" i="44"/>
  <c r="S160" i="103" l="1"/>
  <c r="S159" i="103"/>
  <c r="E312" i="13"/>
  <c r="E301" i="13"/>
  <c r="E301" i="44"/>
  <c r="F300" i="44"/>
  <c r="E235" i="13"/>
  <c r="E232" i="13"/>
  <c r="E302" i="44" l="1"/>
  <c r="F301" i="44"/>
  <c r="F35" i="101"/>
  <c r="J55" i="17"/>
  <c r="J48" i="20"/>
  <c r="J47" i="20"/>
  <c r="J52" i="16"/>
  <c r="I622" i="13"/>
  <c r="H622" i="13"/>
  <c r="B622" i="13"/>
  <c r="F622" i="13"/>
  <c r="E622" i="13"/>
  <c r="D622" i="13"/>
  <c r="I608" i="13"/>
  <c r="H608" i="13"/>
  <c r="B608" i="13"/>
  <c r="F608" i="13"/>
  <c r="E608" i="13"/>
  <c r="D608" i="13"/>
  <c r="I594" i="13"/>
  <c r="H594" i="13"/>
  <c r="B594" i="13"/>
  <c r="F594" i="13"/>
  <c r="E594" i="13"/>
  <c r="D594" i="13"/>
  <c r="I580" i="13"/>
  <c r="H580" i="13"/>
  <c r="B580" i="13"/>
  <c r="F580" i="13"/>
  <c r="E580" i="13"/>
  <c r="D580" i="13"/>
  <c r="I566" i="13"/>
  <c r="H566" i="13"/>
  <c r="F566" i="13"/>
  <c r="E566" i="13"/>
  <c r="B566" i="13"/>
  <c r="D566" i="13"/>
  <c r="B524" i="13"/>
  <c r="B510" i="13"/>
  <c r="B496" i="13"/>
  <c r="B482" i="13"/>
  <c r="B468" i="13"/>
  <c r="B454" i="13"/>
  <c r="B440" i="13"/>
  <c r="B426" i="13"/>
  <c r="B412" i="13"/>
  <c r="B398" i="13"/>
  <c r="B538" i="13"/>
  <c r="B552" i="13"/>
  <c r="I552" i="13"/>
  <c r="H552" i="13"/>
  <c r="F552" i="13"/>
  <c r="E552" i="13"/>
  <c r="D552" i="13"/>
  <c r="I538" i="13"/>
  <c r="H538" i="13"/>
  <c r="F538" i="13"/>
  <c r="E538" i="13"/>
  <c r="D538" i="13"/>
  <c r="I524" i="13"/>
  <c r="H524" i="13"/>
  <c r="F524" i="13"/>
  <c r="E524" i="13"/>
  <c r="D524" i="13"/>
  <c r="I510" i="13"/>
  <c r="H510" i="13"/>
  <c r="F510" i="13"/>
  <c r="E510" i="13"/>
  <c r="D510" i="13"/>
  <c r="I496" i="13"/>
  <c r="H496" i="13"/>
  <c r="F496" i="13"/>
  <c r="E496" i="13"/>
  <c r="D496" i="13"/>
  <c r="I482" i="13"/>
  <c r="H482" i="13"/>
  <c r="F482" i="13"/>
  <c r="E482" i="13"/>
  <c r="D482" i="13"/>
  <c r="I468" i="13"/>
  <c r="H468" i="13"/>
  <c r="F468" i="13"/>
  <c r="E468" i="13"/>
  <c r="D468" i="13"/>
  <c r="I454" i="13"/>
  <c r="H454" i="13"/>
  <c r="F454" i="13"/>
  <c r="E454" i="13"/>
  <c r="D454" i="13"/>
  <c r="I440" i="13"/>
  <c r="H440" i="13"/>
  <c r="F440" i="13"/>
  <c r="E440" i="13"/>
  <c r="D440" i="13"/>
  <c r="I426" i="13"/>
  <c r="H426" i="13"/>
  <c r="F426" i="13"/>
  <c r="E426" i="13"/>
  <c r="D426" i="13"/>
  <c r="I412" i="13"/>
  <c r="H412" i="13"/>
  <c r="F412" i="13"/>
  <c r="E412" i="13"/>
  <c r="D412" i="13"/>
  <c r="I398" i="13"/>
  <c r="H398" i="13"/>
  <c r="F398" i="13"/>
  <c r="E398" i="13"/>
  <c r="D398" i="13"/>
  <c r="B384" i="13"/>
  <c r="B370" i="13"/>
  <c r="B356" i="13"/>
  <c r="B342" i="13"/>
  <c r="B328" i="13"/>
  <c r="B314" i="13"/>
  <c r="B300" i="13"/>
  <c r="B286" i="13"/>
  <c r="I384" i="13"/>
  <c r="H384" i="13"/>
  <c r="F384" i="13"/>
  <c r="E384" i="13"/>
  <c r="D384" i="13"/>
  <c r="I370" i="13"/>
  <c r="H370" i="13"/>
  <c r="F370" i="13"/>
  <c r="E370" i="13"/>
  <c r="D370" i="13"/>
  <c r="I356" i="13"/>
  <c r="H356" i="13"/>
  <c r="F356" i="13"/>
  <c r="E356" i="13"/>
  <c r="D356" i="13"/>
  <c r="I342" i="13"/>
  <c r="H342" i="13"/>
  <c r="F342" i="13"/>
  <c r="E342" i="13"/>
  <c r="D342" i="13"/>
  <c r="I328" i="13"/>
  <c r="H328" i="13"/>
  <c r="F328" i="13"/>
  <c r="E328" i="13"/>
  <c r="D328" i="13"/>
  <c r="I314" i="13"/>
  <c r="H314" i="13"/>
  <c r="E314" i="13"/>
  <c r="D314" i="13"/>
  <c r="F314" i="13"/>
  <c r="I300" i="13"/>
  <c r="H300" i="13"/>
  <c r="F300" i="13"/>
  <c r="E300" i="13"/>
  <c r="D300" i="13"/>
  <c r="I286" i="13"/>
  <c r="H286" i="13"/>
  <c r="F286" i="13"/>
  <c r="E286" i="13"/>
  <c r="D286" i="13"/>
  <c r="D272" i="13"/>
  <c r="F272" i="13"/>
  <c r="J53" i="16"/>
  <c r="I272" i="13"/>
  <c r="H272" i="13"/>
  <c r="E272" i="13"/>
  <c r="E303" i="44" l="1"/>
  <c r="F302" i="44"/>
  <c r="I40" i="16"/>
  <c r="D40" i="16"/>
  <c r="A34" i="16"/>
  <c r="E304" i="44" l="1"/>
  <c r="F303" i="44"/>
  <c r="E273" i="44"/>
  <c r="E269" i="44"/>
  <c r="E268" i="44"/>
  <c r="E253" i="44"/>
  <c r="E272" i="44"/>
  <c r="E271" i="44"/>
  <c r="D268" i="44"/>
  <c r="D261" i="44"/>
  <c r="D253" i="44"/>
  <c r="O253" i="44" l="1"/>
  <c r="M253" i="44"/>
  <c r="H253" i="44"/>
  <c r="H261" i="44"/>
  <c r="O261" i="44"/>
  <c r="M261" i="44"/>
  <c r="M268" i="44"/>
  <c r="H268" i="44"/>
  <c r="O268" i="44"/>
  <c r="E270" i="44"/>
  <c r="E295" i="44"/>
  <c r="E284" i="44"/>
  <c r="E393" i="44"/>
  <c r="E382" i="44"/>
  <c r="E477" i="44"/>
  <c r="E466" i="44"/>
  <c r="E305" i="44"/>
  <c r="F304" i="44"/>
  <c r="D255" i="44"/>
  <c r="H255" i="44" l="1"/>
  <c r="O255" i="44"/>
  <c r="M255" i="44"/>
  <c r="D256" i="44"/>
  <c r="E467" i="44"/>
  <c r="F466" i="44"/>
  <c r="E285" i="44"/>
  <c r="F284" i="44"/>
  <c r="E323" i="44"/>
  <c r="E312" i="44"/>
  <c r="D262" i="44"/>
  <c r="D269" i="44"/>
  <c r="E306" i="44"/>
  <c r="F305" i="44"/>
  <c r="XFD74" i="102"/>
  <c r="F49" i="102"/>
  <c r="F43" i="102"/>
  <c r="F37" i="102"/>
  <c r="F41" i="102" s="1"/>
  <c r="F29" i="102"/>
  <c r="F34" i="102" s="1"/>
  <c r="XFD68" i="101"/>
  <c r="F42" i="101"/>
  <c r="F47" i="101" s="1"/>
  <c r="F40" i="101"/>
  <c r="F28" i="101"/>
  <c r="F33" i="101" s="1"/>
  <c r="K47" i="17"/>
  <c r="K46" i="17"/>
  <c r="K45" i="17"/>
  <c r="K44" i="17"/>
  <c r="F44" i="17"/>
  <c r="K48" i="17" l="1"/>
  <c r="M269" i="44"/>
  <c r="H269" i="44"/>
  <c r="O269" i="44"/>
  <c r="H256" i="44"/>
  <c r="O256" i="44"/>
  <c r="M256" i="44"/>
  <c r="H262" i="44"/>
  <c r="O262" i="44"/>
  <c r="M262" i="44"/>
  <c r="D263" i="44"/>
  <c r="D270" i="44"/>
  <c r="E326" i="44"/>
  <c r="E327" i="44" s="1"/>
  <c r="D257" i="44"/>
  <c r="E337" i="44"/>
  <c r="F48" i="17"/>
  <c r="F53" i="102"/>
  <c r="F47" i="102"/>
  <c r="E407" i="44"/>
  <c r="E396" i="44"/>
  <c r="E468" i="44"/>
  <c r="F467" i="44"/>
  <c r="E286" i="44"/>
  <c r="F285" i="44"/>
  <c r="E491" i="44"/>
  <c r="E480" i="44"/>
  <c r="E313" i="44"/>
  <c r="F312" i="44"/>
  <c r="E307" i="44"/>
  <c r="F306" i="44"/>
  <c r="H257" i="44" l="1"/>
  <c r="O257" i="44"/>
  <c r="M257" i="44"/>
  <c r="O270" i="44"/>
  <c r="M270" i="44"/>
  <c r="H270" i="44"/>
  <c r="M263" i="44"/>
  <c r="O263" i="44"/>
  <c r="H263" i="44"/>
  <c r="E340" i="44"/>
  <c r="E351" i="44"/>
  <c r="F326" i="44"/>
  <c r="D258" i="44"/>
  <c r="D264" i="44"/>
  <c r="E494" i="44"/>
  <c r="F494" i="44" s="1"/>
  <c r="E505" i="44"/>
  <c r="E410" i="44"/>
  <c r="F410" i="44" s="1"/>
  <c r="D271" i="44"/>
  <c r="E421" i="44"/>
  <c r="E314" i="44"/>
  <c r="F313" i="44"/>
  <c r="E481" i="44"/>
  <c r="F480" i="44"/>
  <c r="F396" i="44"/>
  <c r="E397" i="44"/>
  <c r="E328" i="44"/>
  <c r="F327" i="44"/>
  <c r="E469" i="44"/>
  <c r="F468" i="44"/>
  <c r="F286" i="44"/>
  <c r="E287" i="44"/>
  <c r="E308" i="44"/>
  <c r="F308" i="44" s="1"/>
  <c r="F307" i="44"/>
  <c r="M264" i="44" l="1"/>
  <c r="H264" i="44"/>
  <c r="O264" i="44"/>
  <c r="M258" i="44"/>
  <c r="H258" i="44"/>
  <c r="O258" i="44"/>
  <c r="O271" i="44"/>
  <c r="M271" i="44"/>
  <c r="H271" i="44"/>
  <c r="E354" i="44"/>
  <c r="E365" i="44"/>
  <c r="E519" i="44"/>
  <c r="E424" i="44"/>
  <c r="E425" i="44" s="1"/>
  <c r="D259" i="44"/>
  <c r="D265" i="44"/>
  <c r="E495" i="44"/>
  <c r="F495" i="44" s="1"/>
  <c r="E435" i="44"/>
  <c r="D272" i="44"/>
  <c r="E508" i="44"/>
  <c r="E509" i="44" s="1"/>
  <c r="E411" i="44"/>
  <c r="E412" i="44" s="1"/>
  <c r="I46" i="102"/>
  <c r="K46" i="102" s="1"/>
  <c r="I45" i="102"/>
  <c r="K45" i="102" s="1"/>
  <c r="K44" i="102"/>
  <c r="E329" i="44"/>
  <c r="F328" i="44"/>
  <c r="E398" i="44"/>
  <c r="F397" i="44"/>
  <c r="G309" i="44"/>
  <c r="G305" i="44" s="1"/>
  <c r="E482" i="44"/>
  <c r="F481" i="44"/>
  <c r="E470" i="44"/>
  <c r="F469" i="44"/>
  <c r="F287" i="44"/>
  <c r="E288" i="44"/>
  <c r="E315" i="44"/>
  <c r="F314" i="44"/>
  <c r="O272" i="44" l="1"/>
  <c r="M272" i="44"/>
  <c r="H272" i="44"/>
  <c r="O265" i="44"/>
  <c r="M265" i="44"/>
  <c r="H265" i="44"/>
  <c r="M259" i="44"/>
  <c r="H259" i="44"/>
  <c r="O259" i="44"/>
  <c r="D266" i="44"/>
  <c r="D273" i="44"/>
  <c r="E368" i="44"/>
  <c r="E438" i="44"/>
  <c r="F438" i="44" s="1"/>
  <c r="E449" i="44"/>
  <c r="E379" i="44"/>
  <c r="F424" i="44"/>
  <c r="E496" i="44"/>
  <c r="E497" i="44" s="1"/>
  <c r="E522" i="44"/>
  <c r="E523" i="44" s="1"/>
  <c r="E533" i="44"/>
  <c r="F508" i="44"/>
  <c r="F411" i="44"/>
  <c r="I31" i="102"/>
  <c r="K31" i="102" s="1"/>
  <c r="I32" i="102"/>
  <c r="K32" i="102" s="1"/>
  <c r="K30" i="102"/>
  <c r="I38" i="101"/>
  <c r="K38" i="101" s="1"/>
  <c r="I37" i="101"/>
  <c r="K37" i="101" s="1"/>
  <c r="K36" i="101"/>
  <c r="I40" i="102"/>
  <c r="K40" i="102" s="1"/>
  <c r="K38" i="102"/>
  <c r="I52" i="102"/>
  <c r="K52" i="102" s="1"/>
  <c r="K51" i="102"/>
  <c r="K50" i="102"/>
  <c r="I29" i="16"/>
  <c r="I31" i="101"/>
  <c r="I30" i="101"/>
  <c r="K29" i="101"/>
  <c r="I43" i="16"/>
  <c r="I44" i="101"/>
  <c r="I45" i="101"/>
  <c r="K43" i="101"/>
  <c r="E426" i="44"/>
  <c r="F425" i="44"/>
  <c r="E413" i="44"/>
  <c r="F412" i="44"/>
  <c r="E330" i="44"/>
  <c r="F329" i="44"/>
  <c r="F398" i="44"/>
  <c r="E399" i="44"/>
  <c r="F482" i="44"/>
  <c r="E483" i="44"/>
  <c r="D309" i="44"/>
  <c r="C309" i="44" s="1"/>
  <c r="E289" i="44"/>
  <c r="F288" i="44"/>
  <c r="E439" i="44"/>
  <c r="F315" i="44"/>
  <c r="E316" i="44"/>
  <c r="E463" i="44"/>
  <c r="E471" i="44"/>
  <c r="F470" i="44"/>
  <c r="E510" i="44"/>
  <c r="F509" i="44"/>
  <c r="K48" i="107"/>
  <c r="K52" i="107" s="1"/>
  <c r="H273" i="44" l="1"/>
  <c r="O273" i="44"/>
  <c r="M273" i="44"/>
  <c r="H266" i="44"/>
  <c r="O266" i="44"/>
  <c r="M266" i="44"/>
  <c r="E452" i="44"/>
  <c r="E547" i="44"/>
  <c r="E536" i="44"/>
  <c r="E537" i="44" s="1"/>
  <c r="F496" i="44"/>
  <c r="F522" i="44"/>
  <c r="I30" i="16"/>
  <c r="K30" i="16" s="1"/>
  <c r="K30" i="101"/>
  <c r="I31" i="16"/>
  <c r="K31" i="16" s="1"/>
  <c r="K31" i="101"/>
  <c r="I45" i="16"/>
  <c r="K45" i="101"/>
  <c r="K49" i="102"/>
  <c r="K53" i="102" s="1"/>
  <c r="I44" i="16"/>
  <c r="K44" i="101"/>
  <c r="G304" i="44"/>
  <c r="G303" i="44"/>
  <c r="G300" i="44"/>
  <c r="G299" i="44"/>
  <c r="G298" i="44"/>
  <c r="F452" i="44"/>
  <c r="E453" i="44"/>
  <c r="E427" i="44"/>
  <c r="F426" i="44"/>
  <c r="E440" i="44"/>
  <c r="F439" i="44"/>
  <c r="E317" i="44"/>
  <c r="F316" i="44"/>
  <c r="E331" i="44"/>
  <c r="F330" i="44"/>
  <c r="G302" i="44"/>
  <c r="E290" i="44"/>
  <c r="F289" i="44"/>
  <c r="E524" i="44"/>
  <c r="F523" i="44"/>
  <c r="F510" i="44"/>
  <c r="E511" i="44"/>
  <c r="E498" i="44"/>
  <c r="F497" i="44"/>
  <c r="E484" i="44"/>
  <c r="F483" i="44"/>
  <c r="E472" i="44"/>
  <c r="F471" i="44"/>
  <c r="E400" i="44"/>
  <c r="F399" i="44"/>
  <c r="E414" i="44"/>
  <c r="F413" i="44"/>
  <c r="E369" i="44"/>
  <c r="F368" i="44"/>
  <c r="E355" i="44"/>
  <c r="F354" i="44"/>
  <c r="E341" i="44"/>
  <c r="F340" i="44"/>
  <c r="K42" i="107"/>
  <c r="K46" i="107" s="1"/>
  <c r="F536" i="44" l="1"/>
  <c r="I298" i="44"/>
  <c r="E274" i="10" s="1"/>
  <c r="K37" i="102"/>
  <c r="K41" i="102" s="1"/>
  <c r="K36" i="107"/>
  <c r="K40" i="107" s="1"/>
  <c r="K29" i="102"/>
  <c r="K34" i="102" s="1"/>
  <c r="K29" i="107"/>
  <c r="K33" i="107" s="1"/>
  <c r="K43" i="102"/>
  <c r="K47" i="102" s="1"/>
  <c r="H298" i="44"/>
  <c r="D274" i="10" s="1"/>
  <c r="F317" i="44"/>
  <c r="E318" i="44"/>
  <c r="E525" i="44"/>
  <c r="F524" i="44"/>
  <c r="E415" i="44"/>
  <c r="F414" i="44"/>
  <c r="E485" i="44"/>
  <c r="F484" i="44"/>
  <c r="E538" i="44"/>
  <c r="F537" i="44"/>
  <c r="E499" i="44"/>
  <c r="F498" i="44"/>
  <c r="E428" i="44"/>
  <c r="F427" i="44"/>
  <c r="F511" i="44"/>
  <c r="E512" i="44"/>
  <c r="E332" i="44"/>
  <c r="F331" i="44"/>
  <c r="E454" i="44"/>
  <c r="F453" i="44"/>
  <c r="E473" i="44"/>
  <c r="F472" i="44"/>
  <c r="E441" i="44"/>
  <c r="F440" i="44"/>
  <c r="F290" i="44"/>
  <c r="E291" i="44"/>
  <c r="F400" i="44"/>
  <c r="E401" i="44"/>
  <c r="E370" i="44"/>
  <c r="F369" i="44"/>
  <c r="E356" i="44"/>
  <c r="F355" i="44"/>
  <c r="E342" i="44"/>
  <c r="F341" i="44"/>
  <c r="K35" i="101"/>
  <c r="K40" i="101" s="1"/>
  <c r="K28" i="101" l="1"/>
  <c r="K33" i="101" s="1"/>
  <c r="I28" i="16"/>
  <c r="E402" i="44"/>
  <c r="F401" i="44"/>
  <c r="F512" i="44"/>
  <c r="E513" i="44"/>
  <c r="E442" i="44"/>
  <c r="F441" i="44"/>
  <c r="F485" i="44"/>
  <c r="E486" i="44"/>
  <c r="F473" i="44"/>
  <c r="E474" i="44"/>
  <c r="E429" i="44"/>
  <c r="F428" i="44"/>
  <c r="E416" i="44"/>
  <c r="F415" i="44"/>
  <c r="F454" i="44"/>
  <c r="E455" i="44"/>
  <c r="E500" i="44"/>
  <c r="F499" i="44"/>
  <c r="E292" i="44"/>
  <c r="F291" i="44"/>
  <c r="E319" i="44"/>
  <c r="F318" i="44"/>
  <c r="E526" i="44"/>
  <c r="F525" i="44"/>
  <c r="E333" i="44"/>
  <c r="F332" i="44"/>
  <c r="F538" i="44"/>
  <c r="E539" i="44"/>
  <c r="E371" i="44"/>
  <c r="F370" i="44"/>
  <c r="E357" i="44"/>
  <c r="F356" i="44"/>
  <c r="E343" i="44"/>
  <c r="F342" i="44"/>
  <c r="F333" i="44" l="1"/>
  <c r="E334" i="44"/>
  <c r="F500" i="44"/>
  <c r="E501" i="44"/>
  <c r="E403" i="44"/>
  <c r="F402" i="44"/>
  <c r="F455" i="44"/>
  <c r="E456" i="44"/>
  <c r="E487" i="44"/>
  <c r="F486" i="44"/>
  <c r="E527" i="44"/>
  <c r="F526" i="44"/>
  <c r="E475" i="44"/>
  <c r="F474" i="44"/>
  <c r="E320" i="44"/>
  <c r="F319" i="44"/>
  <c r="E417" i="44"/>
  <c r="F416" i="44"/>
  <c r="E443" i="44"/>
  <c r="F442" i="44"/>
  <c r="F539" i="44"/>
  <c r="E540" i="44"/>
  <c r="E514" i="44"/>
  <c r="F513" i="44"/>
  <c r="F292" i="44"/>
  <c r="E293" i="44"/>
  <c r="F429" i="44"/>
  <c r="E430" i="44"/>
  <c r="E372" i="44"/>
  <c r="F371" i="44"/>
  <c r="E358" i="44"/>
  <c r="F357" i="44"/>
  <c r="E344" i="44"/>
  <c r="F343" i="44"/>
  <c r="G233" i="13"/>
  <c r="G235" i="13"/>
  <c r="G232" i="13" s="1"/>
  <c r="G236" i="13"/>
  <c r="G237" i="13"/>
  <c r="G234" i="13" s="1"/>
  <c r="D71" i="12"/>
  <c r="I19" i="27" l="1"/>
  <c r="I19" i="23"/>
  <c r="I19" i="30"/>
  <c r="I19" i="29"/>
  <c r="I19" i="28"/>
  <c r="I19" i="31"/>
  <c r="I19" i="24"/>
  <c r="I19" i="25"/>
  <c r="I19" i="26"/>
  <c r="I19" i="19"/>
  <c r="I19" i="21"/>
  <c r="I19" i="22"/>
  <c r="D58" i="13"/>
  <c r="D59" i="13" s="1"/>
  <c r="I19" i="17"/>
  <c r="D19" i="17" s="1"/>
  <c r="F19" i="17" s="1"/>
  <c r="E335" i="44"/>
  <c r="F334" i="44"/>
  <c r="E457" i="44"/>
  <c r="F456" i="44"/>
  <c r="E515" i="44"/>
  <c r="F514" i="44"/>
  <c r="E321" i="44"/>
  <c r="F320" i="44"/>
  <c r="E541" i="44"/>
  <c r="F540" i="44"/>
  <c r="E294" i="44"/>
  <c r="F294" i="44" s="1"/>
  <c r="F293" i="44"/>
  <c r="F417" i="44"/>
  <c r="E418" i="44"/>
  <c r="F487" i="44"/>
  <c r="E488" i="44"/>
  <c r="E476" i="44"/>
  <c r="F476" i="44" s="1"/>
  <c r="F475" i="44"/>
  <c r="F403" i="44"/>
  <c r="E404" i="44"/>
  <c r="F430" i="44"/>
  <c r="E431" i="44"/>
  <c r="F501" i="44"/>
  <c r="E502" i="44"/>
  <c r="E444" i="44"/>
  <c r="F443" i="44"/>
  <c r="E528" i="44"/>
  <c r="F527" i="44"/>
  <c r="E373" i="44"/>
  <c r="F372" i="44"/>
  <c r="E359" i="44"/>
  <c r="F358" i="44"/>
  <c r="E345" i="44"/>
  <c r="F344" i="44"/>
  <c r="E6" i="12"/>
  <c r="I20" i="32" l="1"/>
  <c r="K20" i="32" s="1"/>
  <c r="I20" i="37"/>
  <c r="K20" i="37" s="1"/>
  <c r="I18" i="49"/>
  <c r="K18" i="49" s="1"/>
  <c r="I20" i="34"/>
  <c r="K20" i="34" s="1"/>
  <c r="I20" i="36"/>
  <c r="K20" i="36" s="1"/>
  <c r="I20" i="41"/>
  <c r="K20" i="41" s="1"/>
  <c r="I20" i="40"/>
  <c r="K20" i="40" s="1"/>
  <c r="I20" i="38"/>
  <c r="K20" i="38" s="1"/>
  <c r="I20" i="39"/>
  <c r="K20" i="39" s="1"/>
  <c r="I20" i="33"/>
  <c r="K20" i="33" s="1"/>
  <c r="I20" i="42"/>
  <c r="K20" i="42" s="1"/>
  <c r="I20" i="35"/>
  <c r="K20" i="35" s="1"/>
  <c r="G295" i="44"/>
  <c r="G291" i="44" s="1"/>
  <c r="K19" i="25"/>
  <c r="D19" i="25"/>
  <c r="F19" i="25" s="1"/>
  <c r="K19" i="24"/>
  <c r="D19" i="24"/>
  <c r="F19" i="24" s="1"/>
  <c r="D19" i="31"/>
  <c r="F19" i="31" s="1"/>
  <c r="K19" i="31"/>
  <c r="I20" i="31"/>
  <c r="K20" i="31" s="1"/>
  <c r="I20" i="28"/>
  <c r="K20" i="28" s="1"/>
  <c r="I20" i="27"/>
  <c r="K20" i="27" s="1"/>
  <c r="I20" i="23"/>
  <c r="K20" i="23" s="1"/>
  <c r="I20" i="30"/>
  <c r="K20" i="30" s="1"/>
  <c r="I20" i="24"/>
  <c r="K20" i="24" s="1"/>
  <c r="I20" i="26"/>
  <c r="K20" i="26" s="1"/>
  <c r="I20" i="25"/>
  <c r="K20" i="25" s="1"/>
  <c r="I20" i="29"/>
  <c r="K20" i="29" s="1"/>
  <c r="K19" i="28"/>
  <c r="D19" i="28"/>
  <c r="F19" i="28" s="1"/>
  <c r="D19" i="29"/>
  <c r="F19" i="29" s="1"/>
  <c r="K19" i="29"/>
  <c r="K19" i="30"/>
  <c r="D19" i="30"/>
  <c r="F19" i="30" s="1"/>
  <c r="D19" i="23"/>
  <c r="F19" i="23" s="1"/>
  <c r="K19" i="23"/>
  <c r="D19" i="26"/>
  <c r="F19" i="26" s="1"/>
  <c r="K19" i="26"/>
  <c r="D19" i="27"/>
  <c r="F19" i="27" s="1"/>
  <c r="K19" i="27"/>
  <c r="I20" i="17"/>
  <c r="K20" i="17" s="1"/>
  <c r="I20" i="21"/>
  <c r="K20" i="21" s="1"/>
  <c r="I20" i="22"/>
  <c r="K20" i="22" s="1"/>
  <c r="I20" i="19"/>
  <c r="K20" i="19" s="1"/>
  <c r="D19" i="22"/>
  <c r="F19" i="22" s="1"/>
  <c r="K19" i="22"/>
  <c r="D19" i="21"/>
  <c r="F19" i="21" s="1"/>
  <c r="K19" i="21"/>
  <c r="D19" i="19"/>
  <c r="F19" i="19" s="1"/>
  <c r="K19" i="19"/>
  <c r="E432" i="44"/>
  <c r="F431" i="44"/>
  <c r="E516" i="44"/>
  <c r="F515" i="44"/>
  <c r="F404" i="44"/>
  <c r="E405" i="44"/>
  <c r="E445" i="44"/>
  <c r="F444" i="44"/>
  <c r="F541" i="44"/>
  <c r="E542" i="44"/>
  <c r="F335" i="44"/>
  <c r="E336" i="44"/>
  <c r="F336" i="44" s="1"/>
  <c r="E503" i="44"/>
  <c r="F502" i="44"/>
  <c r="E489" i="44"/>
  <c r="F488" i="44"/>
  <c r="F418" i="44"/>
  <c r="E419" i="44"/>
  <c r="E529" i="44"/>
  <c r="F528" i="44"/>
  <c r="E458" i="44"/>
  <c r="F457" i="44"/>
  <c r="E322" i="44"/>
  <c r="F322" i="44" s="1"/>
  <c r="F321" i="44"/>
  <c r="G477" i="44"/>
  <c r="E374" i="44"/>
  <c r="F373" i="44"/>
  <c r="E360" i="44"/>
  <c r="F359" i="44"/>
  <c r="E346" i="44"/>
  <c r="F345" i="44"/>
  <c r="XFD62" i="20"/>
  <c r="K46" i="20"/>
  <c r="F46" i="20"/>
  <c r="K44" i="20"/>
  <c r="K41" i="20"/>
  <c r="K40" i="20"/>
  <c r="K39" i="20"/>
  <c r="K38" i="20"/>
  <c r="F38" i="20"/>
  <c r="F42" i="20" s="1"/>
  <c r="K35" i="20"/>
  <c r="K34" i="20"/>
  <c r="K33" i="20"/>
  <c r="K32" i="20"/>
  <c r="F32" i="20"/>
  <c r="F36" i="20" s="1"/>
  <c r="K27" i="20"/>
  <c r="K26" i="20"/>
  <c r="F26" i="20"/>
  <c r="J22" i="20"/>
  <c r="J21" i="20"/>
  <c r="J20" i="20"/>
  <c r="J19" i="20"/>
  <c r="E19" i="20"/>
  <c r="J18" i="20"/>
  <c r="J17" i="20"/>
  <c r="J16" i="20"/>
  <c r="J15" i="20"/>
  <c r="E15" i="20"/>
  <c r="J14" i="20"/>
  <c r="E13" i="20"/>
  <c r="E12" i="20"/>
  <c r="K45" i="16"/>
  <c r="K44" i="16"/>
  <c r="K43" i="16"/>
  <c r="F42" i="16"/>
  <c r="F47" i="16" s="1"/>
  <c r="E41" i="12"/>
  <c r="D48" i="12"/>
  <c r="I19" i="20" s="1"/>
  <c r="D23" i="16"/>
  <c r="I20" i="16"/>
  <c r="E20" i="16"/>
  <c r="D11" i="13"/>
  <c r="J24" i="16"/>
  <c r="J23" i="16"/>
  <c r="J21" i="16"/>
  <c r="J20" i="16"/>
  <c r="J19" i="16"/>
  <c r="J18" i="16"/>
  <c r="J17" i="16"/>
  <c r="J16" i="16"/>
  <c r="E16" i="16"/>
  <c r="D51" i="13"/>
  <c r="D50" i="13"/>
  <c r="D49" i="13"/>
  <c r="D2" i="13"/>
  <c r="D39" i="12"/>
  <c r="D25" i="13" s="1"/>
  <c r="I18" i="20" s="1"/>
  <c r="XFD69" i="17"/>
  <c r="K53" i="17"/>
  <c r="F52" i="17"/>
  <c r="K51" i="17"/>
  <c r="K41" i="17"/>
  <c r="K40" i="17"/>
  <c r="K39" i="17"/>
  <c r="K38" i="17"/>
  <c r="K42" i="17" s="1"/>
  <c r="F38" i="17"/>
  <c r="K35" i="17"/>
  <c r="K34" i="17"/>
  <c r="K33" i="17"/>
  <c r="K32" i="17"/>
  <c r="F32" i="17"/>
  <c r="K26" i="17"/>
  <c r="K25" i="17"/>
  <c r="K29" i="17" s="1"/>
  <c r="F25" i="17"/>
  <c r="K19" i="17"/>
  <c r="K38" i="16"/>
  <c r="D295" i="44" l="1"/>
  <c r="C295" i="44" s="1"/>
  <c r="G285" i="44" s="1"/>
  <c r="K36" i="17"/>
  <c r="D16" i="13"/>
  <c r="D65" i="13"/>
  <c r="G323" i="44"/>
  <c r="D323" i="44" s="1"/>
  <c r="C323" i="44" s="1"/>
  <c r="E490" i="44"/>
  <c r="F490" i="44" s="1"/>
  <c r="F489" i="44"/>
  <c r="F445" i="44"/>
  <c r="E446" i="44"/>
  <c r="E406" i="44"/>
  <c r="F406" i="44" s="1"/>
  <c r="F405" i="44"/>
  <c r="F529" i="44"/>
  <c r="E530" i="44"/>
  <c r="F503" i="44"/>
  <c r="E504" i="44"/>
  <c r="F504" i="44" s="1"/>
  <c r="E459" i="44"/>
  <c r="F458" i="44"/>
  <c r="E420" i="44"/>
  <c r="F420" i="44" s="1"/>
  <c r="F419" i="44"/>
  <c r="E543" i="44"/>
  <c r="F542" i="44"/>
  <c r="G473" i="44"/>
  <c r="D477" i="44"/>
  <c r="C477" i="44" s="1"/>
  <c r="G337" i="44"/>
  <c r="F516" i="44"/>
  <c r="E517" i="44"/>
  <c r="E433" i="44"/>
  <c r="F432" i="44"/>
  <c r="E375" i="44"/>
  <c r="F374" i="44"/>
  <c r="E361" i="44"/>
  <c r="F360" i="44"/>
  <c r="E347" i="44"/>
  <c r="F346" i="44"/>
  <c r="D12" i="13"/>
  <c r="D93" i="12"/>
  <c r="D63" i="13"/>
  <c r="F42" i="17"/>
  <c r="F36" i="17"/>
  <c r="F29" i="17"/>
  <c r="F30" i="20"/>
  <c r="K36" i="20"/>
  <c r="K30" i="20"/>
  <c r="K19" i="20"/>
  <c r="K18" i="20"/>
  <c r="D34" i="13"/>
  <c r="D35" i="13" s="1"/>
  <c r="I20" i="20" s="1"/>
  <c r="K20" i="20" s="1"/>
  <c r="D39" i="13"/>
  <c r="K42" i="20"/>
  <c r="K20" i="16"/>
  <c r="D20" i="16"/>
  <c r="F20" i="16" s="1"/>
  <c r="D14" i="13"/>
  <c r="D37" i="13"/>
  <c r="I19" i="16"/>
  <c r="K19" i="16" s="1"/>
  <c r="G288" i="44" l="1"/>
  <c r="G289" i="44"/>
  <c r="G286" i="44"/>
  <c r="G290" i="44"/>
  <c r="G284" i="44"/>
  <c r="G421" i="44"/>
  <c r="G417" i="44" s="1"/>
  <c r="E21" i="29"/>
  <c r="F21" i="29" s="1"/>
  <c r="E21" i="26"/>
  <c r="F21" i="26" s="1"/>
  <c r="E21" i="25"/>
  <c r="F21" i="25" s="1"/>
  <c r="E21" i="30"/>
  <c r="F21" i="30" s="1"/>
  <c r="E21" i="24"/>
  <c r="F21" i="24" s="1"/>
  <c r="E21" i="28"/>
  <c r="F21" i="28" s="1"/>
  <c r="E21" i="23"/>
  <c r="F21" i="23" s="1"/>
  <c r="E21" i="27"/>
  <c r="F21" i="27" s="1"/>
  <c r="E21" i="31"/>
  <c r="F21" i="31" s="1"/>
  <c r="I21" i="26"/>
  <c r="I21" i="31"/>
  <c r="K21" i="31" s="1"/>
  <c r="I21" i="25"/>
  <c r="I21" i="28"/>
  <c r="I21" i="29"/>
  <c r="K21" i="29" s="1"/>
  <c r="I21" i="23"/>
  <c r="K21" i="23" s="1"/>
  <c r="I21" i="27"/>
  <c r="K21" i="27" s="1"/>
  <c r="I21" i="24"/>
  <c r="K21" i="24" s="1"/>
  <c r="I21" i="30"/>
  <c r="K21" i="30" s="1"/>
  <c r="E21" i="19"/>
  <c r="F21" i="19" s="1"/>
  <c r="E21" i="21"/>
  <c r="F21" i="21" s="1"/>
  <c r="E21" i="22"/>
  <c r="F21" i="22" s="1"/>
  <c r="I21" i="19"/>
  <c r="K21" i="19" s="1"/>
  <c r="I21" i="22"/>
  <c r="I21" i="21"/>
  <c r="K21" i="21" s="1"/>
  <c r="E21" i="17"/>
  <c r="F21" i="17" s="1"/>
  <c r="E21" i="20"/>
  <c r="F21" i="20" s="1"/>
  <c r="D64" i="13"/>
  <c r="I21" i="17"/>
  <c r="K21" i="17" s="1"/>
  <c r="G407" i="44"/>
  <c r="D407" i="44" s="1"/>
  <c r="C407" i="44" s="1"/>
  <c r="G319" i="44"/>
  <c r="G505" i="44"/>
  <c r="D505" i="44" s="1"/>
  <c r="C505" i="44" s="1"/>
  <c r="F517" i="44"/>
  <c r="E518" i="44"/>
  <c r="F518" i="44" s="1"/>
  <c r="G318" i="44"/>
  <c r="G317" i="44"/>
  <c r="G316" i="44"/>
  <c r="G314" i="44"/>
  <c r="G313" i="44"/>
  <c r="G312" i="44"/>
  <c r="G470" i="44"/>
  <c r="G468" i="44"/>
  <c r="G467" i="44"/>
  <c r="G466" i="44"/>
  <c r="G472" i="44"/>
  <c r="G471" i="44"/>
  <c r="F446" i="44"/>
  <c r="E447" i="44"/>
  <c r="D337" i="44"/>
  <c r="C337" i="44" s="1"/>
  <c r="G333" i="44"/>
  <c r="F459" i="44"/>
  <c r="E460" i="44"/>
  <c r="E544" i="44"/>
  <c r="F543" i="44"/>
  <c r="E434" i="44"/>
  <c r="F434" i="44" s="1"/>
  <c r="F433" i="44"/>
  <c r="F530" i="44"/>
  <c r="E531" i="44"/>
  <c r="G491" i="44"/>
  <c r="E376" i="44"/>
  <c r="F375" i="44"/>
  <c r="E362" i="44"/>
  <c r="F361" i="44"/>
  <c r="E348" i="44"/>
  <c r="F347" i="44"/>
  <c r="I21" i="16"/>
  <c r="K21" i="16" s="1"/>
  <c r="D19" i="20"/>
  <c r="F19" i="20" s="1"/>
  <c r="E23" i="16"/>
  <c r="F23" i="16" s="1"/>
  <c r="D16" i="16"/>
  <c r="F16" i="16" s="1"/>
  <c r="D38" i="13"/>
  <c r="I22" i="20" s="1"/>
  <c r="K22" i="20" s="1"/>
  <c r="I21" i="20"/>
  <c r="K21" i="20" s="1"/>
  <c r="I17" i="20"/>
  <c r="K17" i="20" s="1"/>
  <c r="I15" i="20"/>
  <c r="K15" i="20" s="1"/>
  <c r="D15" i="20"/>
  <c r="F15" i="20" s="1"/>
  <c r="D15" i="13"/>
  <c r="I23" i="16"/>
  <c r="K23" i="16" s="1"/>
  <c r="I16" i="16"/>
  <c r="K16" i="16" s="1"/>
  <c r="D8" i="13"/>
  <c r="D31" i="13" s="1"/>
  <c r="I16" i="20" s="1"/>
  <c r="K16" i="20" s="1"/>
  <c r="H284" i="44" l="1"/>
  <c r="D273" i="10" s="1"/>
  <c r="I284" i="44"/>
  <c r="E273" i="10" s="1"/>
  <c r="D421" i="44"/>
  <c r="C421" i="44" s="1"/>
  <c r="G416" i="44" s="1"/>
  <c r="G403" i="44"/>
  <c r="K21" i="28"/>
  <c r="D49" i="28"/>
  <c r="F49" i="28" s="1"/>
  <c r="F54" i="28" s="1"/>
  <c r="K21" i="25"/>
  <c r="D49" i="25"/>
  <c r="F49" i="25" s="1"/>
  <c r="F54" i="25" s="1"/>
  <c r="I22" i="29"/>
  <c r="K22" i="29" s="1"/>
  <c r="I22" i="28"/>
  <c r="K22" i="28" s="1"/>
  <c r="I22" i="31"/>
  <c r="K22" i="31" s="1"/>
  <c r="I22" i="23"/>
  <c r="K22" i="23" s="1"/>
  <c r="I22" i="27"/>
  <c r="K22" i="27" s="1"/>
  <c r="I22" i="30"/>
  <c r="K22" i="30" s="1"/>
  <c r="I22" i="25"/>
  <c r="K22" i="25" s="1"/>
  <c r="I22" i="26"/>
  <c r="K22" i="26" s="1"/>
  <c r="I22" i="24"/>
  <c r="K22" i="24" s="1"/>
  <c r="K21" i="26"/>
  <c r="D49" i="26"/>
  <c r="F49" i="26" s="1"/>
  <c r="F54" i="26" s="1"/>
  <c r="K21" i="22"/>
  <c r="F51" i="22"/>
  <c r="F56" i="22" s="1"/>
  <c r="I22" i="17"/>
  <c r="I22" i="22"/>
  <c r="K22" i="22" s="1"/>
  <c r="I22" i="21"/>
  <c r="K22" i="21" s="1"/>
  <c r="I22" i="19"/>
  <c r="K22" i="19" s="1"/>
  <c r="G501" i="44"/>
  <c r="G435" i="44"/>
  <c r="G431" i="44" s="1"/>
  <c r="H466" i="44"/>
  <c r="D288" i="10" s="1"/>
  <c r="I312" i="44"/>
  <c r="E275" i="10" s="1"/>
  <c r="G519" i="44"/>
  <c r="D519" i="44" s="1"/>
  <c r="C519" i="44" s="1"/>
  <c r="H312" i="44"/>
  <c r="D275" i="10" s="1"/>
  <c r="I466" i="44"/>
  <c r="E288" i="10" s="1"/>
  <c r="G326" i="44"/>
  <c r="G327" i="44"/>
  <c r="G332" i="44"/>
  <c r="G331" i="44"/>
  <c r="G330" i="44"/>
  <c r="G328" i="44"/>
  <c r="F447" i="44"/>
  <c r="E448" i="44"/>
  <c r="F448" i="44" s="1"/>
  <c r="F460" i="44"/>
  <c r="E461" i="44"/>
  <c r="G487" i="44"/>
  <c r="D491" i="44"/>
  <c r="C491" i="44" s="1"/>
  <c r="G402" i="44"/>
  <c r="G401" i="44"/>
  <c r="G398" i="44"/>
  <c r="G400" i="44"/>
  <c r="G397" i="44"/>
  <c r="G396" i="44"/>
  <c r="E545" i="44"/>
  <c r="F544" i="44"/>
  <c r="E532" i="44"/>
  <c r="F532" i="44" s="1"/>
  <c r="F531" i="44"/>
  <c r="G500" i="44"/>
  <c r="G499" i="44"/>
  <c r="G498" i="44"/>
  <c r="G496" i="44"/>
  <c r="G495" i="44"/>
  <c r="G494" i="44"/>
  <c r="E377" i="44"/>
  <c r="F376" i="44"/>
  <c r="E363" i="44"/>
  <c r="F362" i="44"/>
  <c r="E349" i="44"/>
  <c r="F348" i="44"/>
  <c r="I24" i="16"/>
  <c r="K24" i="16" s="1"/>
  <c r="I17" i="16"/>
  <c r="K17" i="16" s="1"/>
  <c r="G412" i="44" l="1"/>
  <c r="G411" i="44"/>
  <c r="G410" i="44"/>
  <c r="G414" i="44"/>
  <c r="G415" i="44"/>
  <c r="D435" i="44"/>
  <c r="C435" i="44" s="1"/>
  <c r="G424" i="44" s="1"/>
  <c r="H326" i="44"/>
  <c r="D276" i="10" s="1"/>
  <c r="H494" i="44"/>
  <c r="D290" i="10" s="1"/>
  <c r="H396" i="44"/>
  <c r="D282" i="10" s="1"/>
  <c r="G533" i="44"/>
  <c r="D533" i="44" s="1"/>
  <c r="C533" i="44" s="1"/>
  <c r="G449" i="44"/>
  <c r="G445" i="44" s="1"/>
  <c r="G515" i="44"/>
  <c r="I494" i="44"/>
  <c r="E290" i="10" s="1"/>
  <c r="G485" i="44"/>
  <c r="G482" i="44"/>
  <c r="G486" i="44"/>
  <c r="G484" i="44"/>
  <c r="G481" i="44"/>
  <c r="G480" i="44"/>
  <c r="G513" i="44"/>
  <c r="G514" i="44"/>
  <c r="G512" i="44"/>
  <c r="G510" i="44"/>
  <c r="G509" i="44"/>
  <c r="G508" i="44"/>
  <c r="E546" i="44"/>
  <c r="F546" i="44" s="1"/>
  <c r="F545" i="44"/>
  <c r="I396" i="44"/>
  <c r="E282" i="10" s="1"/>
  <c r="E462" i="44"/>
  <c r="F462" i="44" s="1"/>
  <c r="F461" i="44"/>
  <c r="I326" i="44"/>
  <c r="E276" i="10" s="1"/>
  <c r="E378" i="44"/>
  <c r="F378" i="44" s="1"/>
  <c r="F377" i="44"/>
  <c r="E364" i="44"/>
  <c r="F364" i="44" s="1"/>
  <c r="F363" i="44"/>
  <c r="E350" i="44"/>
  <c r="F350" i="44" s="1"/>
  <c r="F349" i="44"/>
  <c r="I18" i="16"/>
  <c r="K18" i="16" s="1"/>
  <c r="K22" i="17"/>
  <c r="I410" i="44" l="1"/>
  <c r="E283" i="10" s="1"/>
  <c r="G365" i="44"/>
  <c r="D365" i="44" s="1"/>
  <c r="C365" i="44" s="1"/>
  <c r="G425" i="44"/>
  <c r="G426" i="44"/>
  <c r="G428" i="44"/>
  <c r="H410" i="44"/>
  <c r="D283" i="10" s="1"/>
  <c r="G429" i="44"/>
  <c r="G529" i="44"/>
  <c r="G430" i="44"/>
  <c r="I508" i="44"/>
  <c r="E291" i="10" s="1"/>
  <c r="G463" i="44"/>
  <c r="G459" i="44" s="1"/>
  <c r="D449" i="44"/>
  <c r="C449" i="44" s="1"/>
  <c r="G444" i="44" s="1"/>
  <c r="H508" i="44"/>
  <c r="D291" i="10" s="1"/>
  <c r="H480" i="44"/>
  <c r="D289" i="10" s="1"/>
  <c r="G351" i="44"/>
  <c r="G347" i="44" s="1"/>
  <c r="G547" i="44"/>
  <c r="I480" i="44"/>
  <c r="E289" i="10" s="1"/>
  <c r="G528" i="44"/>
  <c r="G527" i="44"/>
  <c r="G526" i="44"/>
  <c r="G524" i="44"/>
  <c r="G523" i="44"/>
  <c r="G522" i="44"/>
  <c r="G379" i="44"/>
  <c r="G375" i="44" s="1"/>
  <c r="D6" i="12"/>
  <c r="XFD67" i="16"/>
  <c r="K51" i="16"/>
  <c r="F51" i="16"/>
  <c r="K49" i="16"/>
  <c r="K37" i="16"/>
  <c r="K36" i="16"/>
  <c r="K35" i="16"/>
  <c r="K40" i="16" s="1"/>
  <c r="F40" i="16"/>
  <c r="K29" i="16"/>
  <c r="K28" i="16"/>
  <c r="V259" i="13"/>
  <c r="U259" i="13"/>
  <c r="V258" i="13"/>
  <c r="U258" i="13"/>
  <c r="V257" i="13"/>
  <c r="U257" i="13"/>
  <c r="V256" i="13"/>
  <c r="U256" i="13"/>
  <c r="V255" i="13"/>
  <c r="U255" i="13"/>
  <c r="V254" i="13"/>
  <c r="U254" i="13"/>
  <c r="V253" i="13"/>
  <c r="U253" i="13"/>
  <c r="V252" i="13"/>
  <c r="U252" i="13"/>
  <c r="V251" i="13"/>
  <c r="U251" i="13"/>
  <c r="V250" i="13"/>
  <c r="U250" i="13"/>
  <c r="V249" i="13"/>
  <c r="U249" i="13"/>
  <c r="V248" i="13"/>
  <c r="U248" i="13"/>
  <c r="V246" i="13"/>
  <c r="U246" i="13"/>
  <c r="V245" i="13"/>
  <c r="U245" i="13"/>
  <c r="V244" i="13"/>
  <c r="U244" i="13"/>
  <c r="V243" i="13"/>
  <c r="U243" i="13"/>
  <c r="V242" i="13"/>
  <c r="U242" i="13"/>
  <c r="V241" i="13"/>
  <c r="U241" i="13"/>
  <c r="V240" i="13"/>
  <c r="U240" i="13"/>
  <c r="V239" i="13"/>
  <c r="U239" i="13"/>
  <c r="I424" i="44" l="1"/>
  <c r="E284" i="10" s="1"/>
  <c r="G361" i="44"/>
  <c r="H424" i="44"/>
  <c r="D284" i="10" s="1"/>
  <c r="G439" i="44"/>
  <c r="D463" i="44"/>
  <c r="C463" i="44" s="1"/>
  <c r="G453" i="44" s="1"/>
  <c r="I522" i="44"/>
  <c r="E292" i="10" s="1"/>
  <c r="K33" i="16"/>
  <c r="G440" i="44"/>
  <c r="G442" i="44"/>
  <c r="G443" i="44"/>
  <c r="G438" i="44"/>
  <c r="D351" i="44"/>
  <c r="C351" i="44" s="1"/>
  <c r="H522" i="44"/>
  <c r="D292" i="10" s="1"/>
  <c r="D379" i="44"/>
  <c r="C379" i="44" s="1"/>
  <c r="G374" i="44" s="1"/>
  <c r="G543" i="44"/>
  <c r="D547" i="44"/>
  <c r="C547" i="44" s="1"/>
  <c r="G360" i="44"/>
  <c r="G359" i="44"/>
  <c r="G358" i="44"/>
  <c r="G356" i="44"/>
  <c r="G355" i="44"/>
  <c r="G354" i="44"/>
  <c r="D89" i="12"/>
  <c r="D92" i="12"/>
  <c r="D235" i="13"/>
  <c r="D41" i="12"/>
  <c r="D4" i="13"/>
  <c r="D74" i="12"/>
  <c r="D52" i="13" s="1"/>
  <c r="D53" i="13" s="1"/>
  <c r="D87" i="12"/>
  <c r="F33" i="16"/>
  <c r="N241" i="13"/>
  <c r="D14" i="22"/>
  <c r="F241" i="13"/>
  <c r="M241" i="13"/>
  <c r="W250" i="13"/>
  <c r="W258" i="13"/>
  <c r="W251" i="13"/>
  <c r="W259" i="13"/>
  <c r="W244" i="13"/>
  <c r="W257" i="13"/>
  <c r="W246" i="13"/>
  <c r="W248" i="13"/>
  <c r="W252" i="13"/>
  <c r="W256" i="13"/>
  <c r="W239" i="13"/>
  <c r="W240" i="13"/>
  <c r="W243" i="13"/>
  <c r="W254" i="13"/>
  <c r="W255" i="13"/>
  <c r="W241" i="13"/>
  <c r="W242" i="13"/>
  <c r="W245" i="13"/>
  <c r="W249" i="13"/>
  <c r="W253" i="13"/>
  <c r="D5" i="12"/>
  <c r="G457" i="44" l="1"/>
  <c r="G452" i="44"/>
  <c r="G456" i="44"/>
  <c r="G454" i="44"/>
  <c r="G458" i="44"/>
  <c r="I438" i="44"/>
  <c r="E285" i="10" s="1"/>
  <c r="O235" i="13"/>
  <c r="I16" i="22"/>
  <c r="M235" i="13"/>
  <c r="I17" i="22"/>
  <c r="N235" i="13"/>
  <c r="I18" i="22"/>
  <c r="D14" i="28"/>
  <c r="H132" i="12"/>
  <c r="D210" i="13"/>
  <c r="E210" i="13" s="1"/>
  <c r="I15" i="22" s="1"/>
  <c r="H438" i="44"/>
  <c r="D285" i="10" s="1"/>
  <c r="H354" i="44"/>
  <c r="D278" i="10" s="1"/>
  <c r="I354" i="44"/>
  <c r="E278" i="10" s="1"/>
  <c r="G370" i="44"/>
  <c r="G369" i="44"/>
  <c r="G372" i="44"/>
  <c r="G368" i="44"/>
  <c r="G373" i="44"/>
  <c r="G536" i="44"/>
  <c r="G542" i="44"/>
  <c r="G541" i="44"/>
  <c r="G540" i="44"/>
  <c r="G538" i="44"/>
  <c r="G537" i="44"/>
  <c r="E383" i="44"/>
  <c r="F382" i="44"/>
  <c r="G346" i="44"/>
  <c r="G345" i="44"/>
  <c r="G344" i="44"/>
  <c r="G342" i="44"/>
  <c r="G341" i="44"/>
  <c r="G340" i="44"/>
  <c r="D232" i="13"/>
  <c r="E606" i="13"/>
  <c r="E595" i="13"/>
  <c r="D27" i="13"/>
  <c r="F243" i="13"/>
  <c r="F237" i="13" s="1"/>
  <c r="F234" i="13" s="1"/>
  <c r="F235" i="13"/>
  <c r="F232" i="13" s="1"/>
  <c r="D40" i="12"/>
  <c r="X252" i="13"/>
  <c r="D252" i="13" s="1"/>
  <c r="D143" i="12" s="1"/>
  <c r="F239" i="13"/>
  <c r="F242" i="13"/>
  <c r="F240" i="13"/>
  <c r="F244" i="13"/>
  <c r="F246" i="13"/>
  <c r="F245" i="13"/>
  <c r="X242" i="13"/>
  <c r="D248" i="13"/>
  <c r="X257" i="13"/>
  <c r="D257" i="13" s="1"/>
  <c r="D148" i="12" s="1"/>
  <c r="X255" i="13"/>
  <c r="D255" i="13" s="1"/>
  <c r="D146" i="12" s="1"/>
  <c r="D42" i="12"/>
  <c r="X244" i="13"/>
  <c r="X254" i="13"/>
  <c r="D254" i="13" s="1"/>
  <c r="D145" i="12" s="1"/>
  <c r="X240" i="13"/>
  <c r="X259" i="13"/>
  <c r="D259" i="13" s="1"/>
  <c r="D150" i="12" s="1"/>
  <c r="X243" i="13"/>
  <c r="E243" i="13" s="1"/>
  <c r="E134" i="12" s="1"/>
  <c r="I13" i="24" s="1"/>
  <c r="K13" i="24" s="1"/>
  <c r="X256" i="13"/>
  <c r="D256" i="13" s="1"/>
  <c r="D147" i="12" s="1"/>
  <c r="X250" i="13"/>
  <c r="D250" i="13" s="1"/>
  <c r="D141" i="12" s="1"/>
  <c r="X253" i="13"/>
  <c r="D253" i="13" s="1"/>
  <c r="D144" i="12" s="1"/>
  <c r="X239" i="13"/>
  <c r="X249" i="13"/>
  <c r="D249" i="13" s="1"/>
  <c r="D140" i="12" s="1"/>
  <c r="X251" i="13"/>
  <c r="D251" i="13" s="1"/>
  <c r="D142" i="12" s="1"/>
  <c r="X245" i="13"/>
  <c r="X258" i="13"/>
  <c r="D258" i="13" s="1"/>
  <c r="D149" i="12" s="1"/>
  <c r="X246" i="13"/>
  <c r="I452" i="44" l="1"/>
  <c r="E286" i="10" s="1"/>
  <c r="H452" i="44"/>
  <c r="D286" i="10" s="1"/>
  <c r="F14" i="28"/>
  <c r="F23" i="28" s="1"/>
  <c r="G57" i="28" s="1"/>
  <c r="I14" i="28"/>
  <c r="K14" i="28" s="1"/>
  <c r="M232" i="13"/>
  <c r="I17" i="28"/>
  <c r="K17" i="28" s="1"/>
  <c r="N232" i="13"/>
  <c r="I18" i="28"/>
  <c r="K18" i="28" s="1"/>
  <c r="O232" i="13"/>
  <c r="I16" i="28"/>
  <c r="K16" i="28" s="1"/>
  <c r="D205" i="13"/>
  <c r="E205" i="13" s="1"/>
  <c r="I15" i="28" s="1"/>
  <c r="K15" i="28" s="1"/>
  <c r="E125" i="12"/>
  <c r="I13" i="27" s="1"/>
  <c r="K13" i="27" s="1"/>
  <c r="E128" i="12"/>
  <c r="I13" i="30" s="1"/>
  <c r="K13" i="30" s="1"/>
  <c r="D139" i="12"/>
  <c r="E385" i="13"/>
  <c r="I536" i="44"/>
  <c r="E293" i="10" s="1"/>
  <c r="H536" i="44"/>
  <c r="D293" i="10" s="1"/>
  <c r="H340" i="44"/>
  <c r="D277" i="10" s="1"/>
  <c r="I368" i="44"/>
  <c r="E279" i="10" s="1"/>
  <c r="I340" i="44"/>
  <c r="E277" i="10" s="1"/>
  <c r="H368" i="44"/>
  <c r="D279" i="10" s="1"/>
  <c r="E384" i="44"/>
  <c r="F383" i="44"/>
  <c r="D245" i="13"/>
  <c r="D136" i="12" s="1"/>
  <c r="D13" i="19" s="1"/>
  <c r="E245" i="13"/>
  <c r="E136" i="12" s="1"/>
  <c r="I13" i="19" s="1"/>
  <c r="K13" i="19" s="1"/>
  <c r="D242" i="13"/>
  <c r="D133" i="12" s="1"/>
  <c r="D13" i="23" s="1"/>
  <c r="E242" i="13"/>
  <c r="E133" i="12" s="1"/>
  <c r="I13" i="23" s="1"/>
  <c r="K13" i="23" s="1"/>
  <c r="D246" i="13"/>
  <c r="N246" i="13" s="1"/>
  <c r="E246" i="13"/>
  <c r="E137" i="12" s="1"/>
  <c r="I13" i="21" s="1"/>
  <c r="K13" i="21" s="1"/>
  <c r="E234" i="13"/>
  <c r="E237" i="13"/>
  <c r="D240" i="13"/>
  <c r="D131" i="12" s="1"/>
  <c r="D12" i="20" s="1"/>
  <c r="D44" i="20" s="1"/>
  <c r="E240" i="13"/>
  <c r="E131" i="12" s="1"/>
  <c r="I12" i="20" s="1"/>
  <c r="K12" i="20" s="1"/>
  <c r="D244" i="13"/>
  <c r="D135" i="12" s="1"/>
  <c r="D13" i="17" s="1"/>
  <c r="E244" i="13"/>
  <c r="E135" i="12" s="1"/>
  <c r="I13" i="17" s="1"/>
  <c r="K13" i="17" s="1"/>
  <c r="D239" i="13"/>
  <c r="D130" i="12" s="1"/>
  <c r="D13" i="16" s="1"/>
  <c r="E239" i="13"/>
  <c r="E130" i="12" s="1"/>
  <c r="I13" i="16" s="1"/>
  <c r="K13" i="16" s="1"/>
  <c r="E480" i="13"/>
  <c r="E469" i="13"/>
  <c r="E424" i="13"/>
  <c r="E413" i="13"/>
  <c r="E508" i="13"/>
  <c r="E497" i="13"/>
  <c r="E396" i="13"/>
  <c r="E441" i="13"/>
  <c r="E452" i="13"/>
  <c r="E399" i="13"/>
  <c r="E410" i="13"/>
  <c r="E494" i="13"/>
  <c r="E483" i="13"/>
  <c r="E596" i="13"/>
  <c r="F595" i="13"/>
  <c r="E536" i="13"/>
  <c r="E525" i="13"/>
  <c r="E550" i="13"/>
  <c r="E539" i="13"/>
  <c r="E522" i="13"/>
  <c r="E511" i="13"/>
  <c r="E455" i="13"/>
  <c r="E466" i="13"/>
  <c r="E427" i="13"/>
  <c r="E438" i="13"/>
  <c r="E553" i="13"/>
  <c r="E564" i="13"/>
  <c r="D26" i="13"/>
  <c r="D243" i="13"/>
  <c r="D134" i="12" s="1"/>
  <c r="D13" i="24" s="1"/>
  <c r="D237" i="13"/>
  <c r="D128" i="12" s="1"/>
  <c r="F233" i="13"/>
  <c r="F236" i="13"/>
  <c r="D3" i="13"/>
  <c r="D5" i="13"/>
  <c r="D28" i="13"/>
  <c r="M252" i="13"/>
  <c r="N252" i="13"/>
  <c r="D221" i="13"/>
  <c r="E221" i="13" s="1"/>
  <c r="I15" i="36" s="1"/>
  <c r="K15" i="36" s="1"/>
  <c r="K23" i="36" s="1"/>
  <c r="G61" i="36" s="1"/>
  <c r="G63" i="36" s="1"/>
  <c r="G64" i="36" s="1"/>
  <c r="G66" i="36" s="1"/>
  <c r="M248" i="13"/>
  <c r="N248" i="13"/>
  <c r="N253" i="13"/>
  <c r="M253" i="13"/>
  <c r="M250" i="13"/>
  <c r="N250" i="13"/>
  <c r="N255" i="13"/>
  <c r="M255" i="13"/>
  <c r="M256" i="13"/>
  <c r="N256" i="13"/>
  <c r="M257" i="13"/>
  <c r="N257" i="13"/>
  <c r="M258" i="13"/>
  <c r="N258" i="13"/>
  <c r="N259" i="13"/>
  <c r="M259" i="13"/>
  <c r="N251" i="13"/>
  <c r="M251" i="13"/>
  <c r="D226" i="13"/>
  <c r="E226" i="13" s="1"/>
  <c r="I15" i="41" s="1"/>
  <c r="K15" i="41" s="1"/>
  <c r="K23" i="41" s="1"/>
  <c r="G61" i="41" s="1"/>
  <c r="G63" i="41" s="1"/>
  <c r="G64" i="41" s="1"/>
  <c r="G66" i="41" s="1"/>
  <c r="M249" i="13"/>
  <c r="N249" i="13"/>
  <c r="N254" i="13"/>
  <c r="M254" i="13"/>
  <c r="D218" i="13"/>
  <c r="E218" i="13" s="1"/>
  <c r="I15" i="33" s="1"/>
  <c r="K15" i="33" s="1"/>
  <c r="K23" i="33" s="1"/>
  <c r="G61" i="33" s="1"/>
  <c r="G63" i="33" s="1"/>
  <c r="G64" i="33" s="1"/>
  <c r="G66" i="33" s="1"/>
  <c r="D223" i="13"/>
  <c r="E223" i="13" s="1"/>
  <c r="I15" i="38" s="1"/>
  <c r="K15" i="38" s="1"/>
  <c r="K23" i="38" s="1"/>
  <c r="G61" i="38" s="1"/>
  <c r="G63" i="38" s="1"/>
  <c r="G64" i="38" s="1"/>
  <c r="G66" i="38" s="1"/>
  <c r="D222" i="13"/>
  <c r="E222" i="13" s="1"/>
  <c r="I15" i="37" s="1"/>
  <c r="K15" i="37" s="1"/>
  <c r="K23" i="37" s="1"/>
  <c r="G61" i="37" s="1"/>
  <c r="G63" i="37" s="1"/>
  <c r="G64" i="37" s="1"/>
  <c r="G66" i="37" s="1"/>
  <c r="D219" i="13"/>
  <c r="E219" i="13" s="1"/>
  <c r="I15" i="34" s="1"/>
  <c r="K15" i="34" s="1"/>
  <c r="K23" i="34" s="1"/>
  <c r="G61" i="34" s="1"/>
  <c r="G63" i="34" s="1"/>
  <c r="G64" i="34" s="1"/>
  <c r="G66" i="34" s="1"/>
  <c r="D225" i="13"/>
  <c r="E225" i="13" s="1"/>
  <c r="I15" i="40" s="1"/>
  <c r="K15" i="40" s="1"/>
  <c r="K23" i="40" s="1"/>
  <c r="G61" i="40" s="1"/>
  <c r="G63" i="40" s="1"/>
  <c r="G64" i="40" s="1"/>
  <c r="G66" i="40" s="1"/>
  <c r="D227" i="13"/>
  <c r="E227" i="13" s="1"/>
  <c r="D224" i="13"/>
  <c r="E224" i="13" s="1"/>
  <c r="I15" i="39" s="1"/>
  <c r="K15" i="39" s="1"/>
  <c r="K23" i="39" s="1"/>
  <c r="G61" i="39" s="1"/>
  <c r="G63" i="39" s="1"/>
  <c r="G64" i="39" s="1"/>
  <c r="G66" i="39" s="1"/>
  <c r="D220" i="13"/>
  <c r="E220" i="13" s="1"/>
  <c r="I15" i="35" s="1"/>
  <c r="K15" i="35" s="1"/>
  <c r="K23" i="35" s="1"/>
  <c r="G61" i="35" s="1"/>
  <c r="G63" i="35" s="1"/>
  <c r="G64" i="35" s="1"/>
  <c r="G66" i="35" s="1"/>
  <c r="I15" i="42" l="1"/>
  <c r="K15" i="42" s="1"/>
  <c r="K23" i="42" s="1"/>
  <c r="G61" i="42" s="1"/>
  <c r="G63" i="42" s="1"/>
  <c r="G64" i="42" s="1"/>
  <c r="G66" i="42" s="1"/>
  <c r="K15" i="49"/>
  <c r="G60" i="49" s="1"/>
  <c r="G62" i="49" s="1"/>
  <c r="G63" i="49" s="1"/>
  <c r="G65" i="49" s="1"/>
  <c r="D125" i="12"/>
  <c r="D13" i="27" s="1"/>
  <c r="D13" i="30"/>
  <c r="I16" i="26"/>
  <c r="K16" i="26" s="1"/>
  <c r="I16" i="25"/>
  <c r="K16" i="25" s="1"/>
  <c r="I16" i="27"/>
  <c r="K16" i="27" s="1"/>
  <c r="D51" i="24"/>
  <c r="F51" i="24" s="1"/>
  <c r="F56" i="24" s="1"/>
  <c r="F13" i="24"/>
  <c r="I18" i="25"/>
  <c r="K18" i="25" s="1"/>
  <c r="I18" i="26"/>
  <c r="K18" i="26" s="1"/>
  <c r="I17" i="25"/>
  <c r="K17" i="25" s="1"/>
  <c r="I17" i="26"/>
  <c r="K17" i="26" s="1"/>
  <c r="K23" i="28"/>
  <c r="G61" i="28" s="1"/>
  <c r="F13" i="23"/>
  <c r="D51" i="23"/>
  <c r="F51" i="23" s="1"/>
  <c r="F56" i="23" s="1"/>
  <c r="D202" i="13"/>
  <c r="D14" i="25"/>
  <c r="D14" i="26"/>
  <c r="G58" i="28"/>
  <c r="G65" i="28"/>
  <c r="G59" i="28"/>
  <c r="D49" i="31"/>
  <c r="F49" i="31" s="1"/>
  <c r="F54" i="31" s="1"/>
  <c r="I13" i="31"/>
  <c r="K13" i="31" s="1"/>
  <c r="F13" i="31"/>
  <c r="D51" i="19"/>
  <c r="F51" i="19" s="1"/>
  <c r="F56" i="19" s="1"/>
  <c r="F13" i="19"/>
  <c r="I16" i="21"/>
  <c r="K16" i="21" s="1"/>
  <c r="K16" i="22"/>
  <c r="K18" i="22"/>
  <c r="I18" i="21"/>
  <c r="K18" i="21" s="1"/>
  <c r="F13" i="17"/>
  <c r="D51" i="17"/>
  <c r="F51" i="17" s="1"/>
  <c r="F56" i="17" s="1"/>
  <c r="F12" i="20"/>
  <c r="F44" i="20"/>
  <c r="F49" i="20" s="1"/>
  <c r="D217" i="13"/>
  <c r="E217" i="13" s="1"/>
  <c r="I15" i="32" s="1"/>
  <c r="K15" i="32" s="1"/>
  <c r="K23" i="32" s="1"/>
  <c r="G61" i="32" s="1"/>
  <c r="G63" i="32" s="1"/>
  <c r="G64" i="32" s="1"/>
  <c r="G66" i="32" s="1"/>
  <c r="D216" i="13"/>
  <c r="E216" i="13" s="1"/>
  <c r="I15" i="31" s="1"/>
  <c r="M245" i="13"/>
  <c r="I17" i="19" s="1"/>
  <c r="K17" i="19" s="1"/>
  <c r="E287" i="13"/>
  <c r="F287" i="13" s="1"/>
  <c r="F13" i="16"/>
  <c r="E357" i="13"/>
  <c r="F357" i="13" s="1"/>
  <c r="I16" i="19"/>
  <c r="K16" i="19" s="1"/>
  <c r="D209" i="13"/>
  <c r="N245" i="13"/>
  <c r="I18" i="19" s="1"/>
  <c r="K18" i="19" s="1"/>
  <c r="E124" i="12"/>
  <c r="E127" i="12"/>
  <c r="I13" i="29" s="1"/>
  <c r="K13" i="29" s="1"/>
  <c r="E315" i="13"/>
  <c r="E316" i="13" s="1"/>
  <c r="E298" i="13"/>
  <c r="E326" i="13"/>
  <c r="D233" i="13"/>
  <c r="E578" i="13" s="1"/>
  <c r="N244" i="13"/>
  <c r="I18" i="17" s="1"/>
  <c r="K18" i="17" s="1"/>
  <c r="D14" i="23"/>
  <c r="M242" i="13"/>
  <c r="E343" i="13"/>
  <c r="F343" i="13" s="1"/>
  <c r="N242" i="13"/>
  <c r="E354" i="13"/>
  <c r="D213" i="13"/>
  <c r="M246" i="13"/>
  <c r="I16" i="17"/>
  <c r="K16" i="17" s="1"/>
  <c r="D208" i="13"/>
  <c r="M244" i="13"/>
  <c r="I17" i="17" s="1"/>
  <c r="K17" i="17" s="1"/>
  <c r="D236" i="13"/>
  <c r="E609" i="13" s="1"/>
  <c r="E273" i="13"/>
  <c r="E274" i="13" s="1"/>
  <c r="E368" i="13"/>
  <c r="E284" i="13"/>
  <c r="E371" i="13"/>
  <c r="E372" i="13" s="1"/>
  <c r="D137" i="12"/>
  <c r="D13" i="21" s="1"/>
  <c r="D124" i="12"/>
  <c r="D127" i="12"/>
  <c r="D13" i="29" s="1"/>
  <c r="E385" i="44"/>
  <c r="F384" i="44"/>
  <c r="E382" i="13"/>
  <c r="E236" i="13"/>
  <c r="E233" i="13"/>
  <c r="E386" i="13"/>
  <c r="F385" i="13"/>
  <c r="E414" i="13"/>
  <c r="F413" i="13"/>
  <c r="E400" i="13"/>
  <c r="F399" i="13"/>
  <c r="E498" i="13"/>
  <c r="F497" i="13"/>
  <c r="D234" i="13"/>
  <c r="E623" i="13"/>
  <c r="E634" i="13"/>
  <c r="E554" i="13"/>
  <c r="F553" i="13"/>
  <c r="E456" i="13"/>
  <c r="F455" i="13"/>
  <c r="E597" i="13"/>
  <c r="F596" i="13"/>
  <c r="E302" i="13"/>
  <c r="F301" i="13"/>
  <c r="E340" i="13"/>
  <c r="E329" i="13"/>
  <c r="E540" i="13"/>
  <c r="F539" i="13"/>
  <c r="E428" i="13"/>
  <c r="F427" i="13"/>
  <c r="E344" i="13"/>
  <c r="E442" i="13"/>
  <c r="F441" i="13"/>
  <c r="F469" i="13"/>
  <c r="E470" i="13"/>
  <c r="E484" i="13"/>
  <c r="F483" i="13"/>
  <c r="E512" i="13"/>
  <c r="F511" i="13"/>
  <c r="E526" i="13"/>
  <c r="F525" i="13"/>
  <c r="D14" i="24"/>
  <c r="M243" i="13"/>
  <c r="N243" i="13"/>
  <c r="E65" i="6"/>
  <c r="D65" i="6"/>
  <c r="E60" i="6"/>
  <c r="D60" i="6"/>
  <c r="E24" i="6"/>
  <c r="D24" i="6"/>
  <c r="G60" i="28" l="1"/>
  <c r="M236" i="13"/>
  <c r="I17" i="23"/>
  <c r="K17" i="23" s="1"/>
  <c r="O236" i="13"/>
  <c r="I16" i="23"/>
  <c r="K16" i="23" s="1"/>
  <c r="F13" i="29"/>
  <c r="D49" i="29"/>
  <c r="F49" i="29" s="1"/>
  <c r="F54" i="29" s="1"/>
  <c r="I14" i="23"/>
  <c r="K14" i="23" s="1"/>
  <c r="F14" i="23"/>
  <c r="F23" i="23" s="1"/>
  <c r="G59" i="23" s="1"/>
  <c r="F14" i="24"/>
  <c r="F23" i="24" s="1"/>
  <c r="G59" i="24" s="1"/>
  <c r="I14" i="24"/>
  <c r="K14" i="24" s="1"/>
  <c r="I14" i="26"/>
  <c r="K14" i="26" s="1"/>
  <c r="F14" i="26"/>
  <c r="F23" i="26" s="1"/>
  <c r="G57" i="26" s="1"/>
  <c r="I14" i="25"/>
  <c r="K14" i="25" s="1"/>
  <c r="K23" i="25" s="1"/>
  <c r="G61" i="25" s="1"/>
  <c r="F14" i="25"/>
  <c r="F23" i="25" s="1"/>
  <c r="G57" i="25" s="1"/>
  <c r="F13" i="30"/>
  <c r="D49" i="30"/>
  <c r="F49" i="30" s="1"/>
  <c r="F54" i="30" s="1"/>
  <c r="N237" i="13"/>
  <c r="I18" i="24"/>
  <c r="K18" i="24" s="1"/>
  <c r="M237" i="13"/>
  <c r="I17" i="24"/>
  <c r="K17" i="24" s="1"/>
  <c r="O237" i="13"/>
  <c r="I16" i="24"/>
  <c r="K16" i="24" s="1"/>
  <c r="N236" i="13"/>
  <c r="I18" i="23"/>
  <c r="K18" i="23" s="1"/>
  <c r="I15" i="25"/>
  <c r="K15" i="25" s="1"/>
  <c r="I15" i="26"/>
  <c r="K15" i="26" s="1"/>
  <c r="F13" i="27"/>
  <c r="D49" i="27"/>
  <c r="F49" i="27" s="1"/>
  <c r="F54" i="27" s="1"/>
  <c r="D215" i="13"/>
  <c r="E215" i="13" s="1"/>
  <c r="D14" i="21"/>
  <c r="K17" i="22"/>
  <c r="I17" i="21"/>
  <c r="K17" i="21" s="1"/>
  <c r="D214" i="13"/>
  <c r="E214" i="13" s="1"/>
  <c r="I15" i="19" s="1"/>
  <c r="K15" i="19" s="1"/>
  <c r="D14" i="19"/>
  <c r="F13" i="21"/>
  <c r="D51" i="21"/>
  <c r="F51" i="21" s="1"/>
  <c r="D14" i="16"/>
  <c r="I14" i="16" s="1"/>
  <c r="K14" i="16" s="1"/>
  <c r="E208" i="13"/>
  <c r="I15" i="16" s="1"/>
  <c r="D211" i="13"/>
  <c r="E211" i="13" s="1"/>
  <c r="I15" i="23" s="1"/>
  <c r="K15" i="23" s="1"/>
  <c r="E213" i="13"/>
  <c r="I15" i="17" s="1"/>
  <c r="K15" i="17" s="1"/>
  <c r="D14" i="17"/>
  <c r="D13" i="20"/>
  <c r="I13" i="20" s="1"/>
  <c r="K13" i="20" s="1"/>
  <c r="E209" i="13"/>
  <c r="I14" i="20" s="1"/>
  <c r="D212" i="13"/>
  <c r="E212" i="13" s="1"/>
  <c r="I15" i="24" s="1"/>
  <c r="K15" i="24" s="1"/>
  <c r="F273" i="13"/>
  <c r="E288" i="13"/>
  <c r="E289" i="13" s="1"/>
  <c r="D29" i="13"/>
  <c r="D6" i="13"/>
  <c r="F315" i="13"/>
  <c r="E358" i="13"/>
  <c r="E359" i="13" s="1"/>
  <c r="E567" i="13"/>
  <c r="E568" i="13" s="1"/>
  <c r="D203" i="13"/>
  <c r="E203" i="13" s="1"/>
  <c r="E620" i="13"/>
  <c r="F371" i="13"/>
  <c r="E386" i="44"/>
  <c r="F385" i="44"/>
  <c r="E624" i="13"/>
  <c r="F623" i="13"/>
  <c r="E443" i="13"/>
  <c r="F442" i="13"/>
  <c r="E581" i="13"/>
  <c r="E592" i="13"/>
  <c r="E415" i="13"/>
  <c r="F414" i="13"/>
  <c r="E527" i="13"/>
  <c r="F526" i="13"/>
  <c r="E485" i="13"/>
  <c r="F484" i="13"/>
  <c r="E598" i="13"/>
  <c r="F597" i="13"/>
  <c r="E387" i="13"/>
  <c r="F386" i="13"/>
  <c r="F470" i="13"/>
  <c r="E471" i="13"/>
  <c r="F316" i="13"/>
  <c r="E317" i="13"/>
  <c r="E457" i="13"/>
  <c r="F456" i="13"/>
  <c r="E330" i="13"/>
  <c r="F329" i="13"/>
  <c r="E345" i="13"/>
  <c r="F344" i="13"/>
  <c r="E499" i="13"/>
  <c r="F498" i="13"/>
  <c r="F512" i="13"/>
  <c r="E513" i="13"/>
  <c r="E541" i="13"/>
  <c r="F540" i="13"/>
  <c r="E555" i="13"/>
  <c r="F554" i="13"/>
  <c r="E373" i="13"/>
  <c r="F372" i="13"/>
  <c r="E429" i="13"/>
  <c r="F428" i="13"/>
  <c r="F302" i="13"/>
  <c r="E303" i="13"/>
  <c r="E401" i="13"/>
  <c r="F400" i="13"/>
  <c r="E610" i="13"/>
  <c r="F609" i="13"/>
  <c r="E275" i="13"/>
  <c r="F274" i="13"/>
  <c r="D67" i="6"/>
  <c r="E67" i="6" s="1"/>
  <c r="G61" i="23" l="1"/>
  <c r="G67" i="23"/>
  <c r="G60" i="23"/>
  <c r="G61" i="24"/>
  <c r="G60" i="24"/>
  <c r="G67" i="24"/>
  <c r="D14" i="30"/>
  <c r="N234" i="13"/>
  <c r="I18" i="27" s="1"/>
  <c r="K18" i="27" s="1"/>
  <c r="K18" i="31"/>
  <c r="I18" i="30"/>
  <c r="K18" i="30" s="1"/>
  <c r="M234" i="13"/>
  <c r="I17" i="27" s="1"/>
  <c r="K17" i="27" s="1"/>
  <c r="K17" i="31"/>
  <c r="I17" i="30"/>
  <c r="K17" i="30" s="1"/>
  <c r="D206" i="13"/>
  <c r="E206" i="13" s="1"/>
  <c r="I15" i="29" s="1"/>
  <c r="K15" i="29" s="1"/>
  <c r="D14" i="29"/>
  <c r="K23" i="26"/>
  <c r="G61" i="26" s="1"/>
  <c r="O233" i="13"/>
  <c r="I16" i="29"/>
  <c r="K16" i="29" s="1"/>
  <c r="N233" i="13"/>
  <c r="I18" i="29"/>
  <c r="K18" i="29" s="1"/>
  <c r="G59" i="26"/>
  <c r="G65" i="26"/>
  <c r="G58" i="26"/>
  <c r="K23" i="24"/>
  <c r="G63" i="24" s="1"/>
  <c r="M233" i="13"/>
  <c r="I17" i="29"/>
  <c r="K17" i="29" s="1"/>
  <c r="F14" i="16"/>
  <c r="F26" i="16" s="1"/>
  <c r="O234" i="13"/>
  <c r="I16" i="30"/>
  <c r="K16" i="30" s="1"/>
  <c r="K16" i="31"/>
  <c r="K23" i="23"/>
  <c r="G63" i="23" s="1"/>
  <c r="G65" i="25"/>
  <c r="G59" i="25"/>
  <c r="G58" i="25"/>
  <c r="I14" i="19"/>
  <c r="K14" i="19" s="1"/>
  <c r="K23" i="19" s="1"/>
  <c r="G63" i="19" s="1"/>
  <c r="F14" i="19"/>
  <c r="F23" i="19" s="1"/>
  <c r="G59" i="19" s="1"/>
  <c r="F56" i="21"/>
  <c r="F14" i="21"/>
  <c r="I14" i="21"/>
  <c r="K14" i="21" s="1"/>
  <c r="K23" i="21" s="1"/>
  <c r="G63" i="21" s="1"/>
  <c r="F23" i="21"/>
  <c r="G59" i="21" s="1"/>
  <c r="I14" i="22"/>
  <c r="K14" i="22" s="1"/>
  <c r="F14" i="22"/>
  <c r="F23" i="22" s="1"/>
  <c r="G59" i="22" s="1"/>
  <c r="I15" i="21"/>
  <c r="K15" i="21" s="1"/>
  <c r="K15" i="22"/>
  <c r="K14" i="20"/>
  <c r="K24" i="20" s="1"/>
  <c r="G56" i="20" s="1"/>
  <c r="F13" i="20"/>
  <c r="K15" i="16"/>
  <c r="K26" i="16" s="1"/>
  <c r="F14" i="17"/>
  <c r="I14" i="17"/>
  <c r="K14" i="17" s="1"/>
  <c r="K23" i="17" s="1"/>
  <c r="D207" i="13"/>
  <c r="E207" i="13" s="1"/>
  <c r="F288" i="13"/>
  <c r="F358" i="13"/>
  <c r="F567" i="13"/>
  <c r="E387" i="44"/>
  <c r="F386" i="44"/>
  <c r="E556" i="13"/>
  <c r="F555" i="13"/>
  <c r="F568" i="13"/>
  <c r="E569" i="13"/>
  <c r="F359" i="13"/>
  <c r="E360" i="13"/>
  <c r="E416" i="13"/>
  <c r="F415" i="13"/>
  <c r="E304" i="13"/>
  <c r="F303" i="13"/>
  <c r="E318" i="13"/>
  <c r="F317" i="13"/>
  <c r="E542" i="13"/>
  <c r="F541" i="13"/>
  <c r="E346" i="13"/>
  <c r="F345" i="13"/>
  <c r="E599" i="13"/>
  <c r="F598" i="13"/>
  <c r="F581" i="13"/>
  <c r="E582" i="13"/>
  <c r="E514" i="13"/>
  <c r="F513" i="13"/>
  <c r="F471" i="13"/>
  <c r="E472" i="13"/>
  <c r="E486" i="13"/>
  <c r="F485" i="13"/>
  <c r="E611" i="13"/>
  <c r="F610" i="13"/>
  <c r="E444" i="13"/>
  <c r="F443" i="13"/>
  <c r="E430" i="13"/>
  <c r="F429" i="13"/>
  <c r="E374" i="13"/>
  <c r="F373" i="13"/>
  <c r="E458" i="13"/>
  <c r="F457" i="13"/>
  <c r="F387" i="13"/>
  <c r="E388" i="13"/>
  <c r="E528" i="13"/>
  <c r="F527" i="13"/>
  <c r="E331" i="13"/>
  <c r="F330" i="13"/>
  <c r="E402" i="13"/>
  <c r="F401" i="13"/>
  <c r="F499" i="13"/>
  <c r="E500" i="13"/>
  <c r="F624" i="13"/>
  <c r="E625" i="13"/>
  <c r="E290" i="13"/>
  <c r="F289" i="13"/>
  <c r="E276" i="13"/>
  <c r="F275" i="13"/>
  <c r="G62" i="23" l="1"/>
  <c r="G60" i="25"/>
  <c r="I14" i="30"/>
  <c r="K14" i="30" s="1"/>
  <c r="F14" i="30"/>
  <c r="F23" i="30" s="1"/>
  <c r="G57" i="30" s="1"/>
  <c r="D204" i="13"/>
  <c r="E204" i="13" s="1"/>
  <c r="I15" i="27" s="1"/>
  <c r="K15" i="27" s="1"/>
  <c r="D14" i="27"/>
  <c r="G60" i="26"/>
  <c r="I14" i="31"/>
  <c r="K14" i="31" s="1"/>
  <c r="K23" i="31" s="1"/>
  <c r="G61" i="31" s="1"/>
  <c r="F14" i="31"/>
  <c r="F23" i="31" s="1"/>
  <c r="G57" i="31" s="1"/>
  <c r="G62" i="24"/>
  <c r="K15" i="31"/>
  <c r="I15" i="30"/>
  <c r="K15" i="30" s="1"/>
  <c r="K23" i="22"/>
  <c r="G63" i="22" s="1"/>
  <c r="I14" i="29"/>
  <c r="K14" i="29" s="1"/>
  <c r="K23" i="29" s="1"/>
  <c r="G61" i="29" s="1"/>
  <c r="F14" i="29"/>
  <c r="F23" i="29" s="1"/>
  <c r="G57" i="29" s="1"/>
  <c r="G67" i="21"/>
  <c r="G60" i="21"/>
  <c r="G61" i="21"/>
  <c r="G67" i="19"/>
  <c r="G60" i="19"/>
  <c r="G61" i="19"/>
  <c r="F23" i="17"/>
  <c r="G59" i="17" s="1"/>
  <c r="G67" i="22"/>
  <c r="G61" i="22"/>
  <c r="G60" i="22"/>
  <c r="G63" i="17"/>
  <c r="F24" i="20"/>
  <c r="G52" i="20" s="1"/>
  <c r="G54" i="20" s="1"/>
  <c r="E388" i="44"/>
  <c r="F387" i="44"/>
  <c r="E403" i="13"/>
  <c r="F402" i="13"/>
  <c r="F528" i="13"/>
  <c r="E529" i="13"/>
  <c r="E431" i="13"/>
  <c r="F430" i="13"/>
  <c r="E347" i="13"/>
  <c r="F346" i="13"/>
  <c r="E501" i="13"/>
  <c r="F500" i="13"/>
  <c r="E389" i="13"/>
  <c r="F388" i="13"/>
  <c r="F416" i="13"/>
  <c r="E417" i="13"/>
  <c r="E445" i="13"/>
  <c r="F444" i="13"/>
  <c r="E515" i="13"/>
  <c r="F514" i="13"/>
  <c r="E543" i="13"/>
  <c r="F542" i="13"/>
  <c r="F360" i="13"/>
  <c r="E361" i="13"/>
  <c r="F582" i="13"/>
  <c r="E583" i="13"/>
  <c r="E570" i="13"/>
  <c r="F569" i="13"/>
  <c r="E459" i="13"/>
  <c r="F458" i="13"/>
  <c r="E319" i="13"/>
  <c r="F318" i="13"/>
  <c r="E612" i="13"/>
  <c r="F611" i="13"/>
  <c r="E332" i="13"/>
  <c r="F331" i="13"/>
  <c r="E375" i="13"/>
  <c r="F374" i="13"/>
  <c r="E487" i="13"/>
  <c r="F486" i="13"/>
  <c r="E600" i="13"/>
  <c r="F599" i="13"/>
  <c r="E626" i="13"/>
  <c r="F625" i="13"/>
  <c r="F472" i="13"/>
  <c r="E473" i="13"/>
  <c r="F304" i="13"/>
  <c r="E305" i="13"/>
  <c r="E557" i="13"/>
  <c r="F556" i="13"/>
  <c r="E277" i="13"/>
  <c r="F276" i="13"/>
  <c r="E291" i="13"/>
  <c r="F290" i="13"/>
  <c r="G62" i="21" l="1"/>
  <c r="G62" i="19"/>
  <c r="I14" i="27"/>
  <c r="K14" i="27" s="1"/>
  <c r="K23" i="27" s="1"/>
  <c r="G61" i="27" s="1"/>
  <c r="F14" i="27"/>
  <c r="G58" i="29"/>
  <c r="G65" i="29"/>
  <c r="G59" i="29"/>
  <c r="G65" i="30"/>
  <c r="G59" i="30"/>
  <c r="G58" i="30"/>
  <c r="G58" i="31"/>
  <c r="G65" i="31"/>
  <c r="G59" i="31"/>
  <c r="K23" i="30"/>
  <c r="G61" i="30" s="1"/>
  <c r="G62" i="22"/>
  <c r="G61" i="17"/>
  <c r="G60" i="17"/>
  <c r="G67" i="17"/>
  <c r="G53" i="20"/>
  <c r="G55" i="20" s="1"/>
  <c r="G60" i="20"/>
  <c r="E389" i="44"/>
  <c r="F388" i="44"/>
  <c r="E584" i="13"/>
  <c r="F583" i="13"/>
  <c r="F473" i="13"/>
  <c r="E474" i="13"/>
  <c r="E558" i="13"/>
  <c r="F557" i="13"/>
  <c r="E601" i="13"/>
  <c r="F600" i="13"/>
  <c r="E613" i="13"/>
  <c r="F612" i="13"/>
  <c r="E446" i="13"/>
  <c r="F445" i="13"/>
  <c r="F347" i="13"/>
  <c r="E348" i="13"/>
  <c r="E362" i="13"/>
  <c r="F361" i="13"/>
  <c r="F417" i="13"/>
  <c r="E418" i="13"/>
  <c r="F305" i="13"/>
  <c r="E306" i="13"/>
  <c r="E488" i="13"/>
  <c r="F487" i="13"/>
  <c r="F319" i="13"/>
  <c r="E320" i="13"/>
  <c r="E432" i="13"/>
  <c r="F431" i="13"/>
  <c r="E530" i="13"/>
  <c r="F529" i="13"/>
  <c r="E544" i="13"/>
  <c r="F543" i="13"/>
  <c r="E376" i="13"/>
  <c r="F375" i="13"/>
  <c r="E390" i="13"/>
  <c r="F389" i="13"/>
  <c r="F459" i="13"/>
  <c r="E460" i="13"/>
  <c r="E627" i="13"/>
  <c r="F626" i="13"/>
  <c r="E333" i="13"/>
  <c r="F332" i="13"/>
  <c r="E571" i="13"/>
  <c r="F570" i="13"/>
  <c r="F515" i="13"/>
  <c r="E516" i="13"/>
  <c r="E502" i="13"/>
  <c r="F501" i="13"/>
  <c r="F403" i="13"/>
  <c r="E404" i="13"/>
  <c r="E292" i="13"/>
  <c r="F291" i="13"/>
  <c r="E278" i="13"/>
  <c r="F277" i="13"/>
  <c r="G62" i="17" l="1"/>
  <c r="G60" i="30"/>
  <c r="G60" i="31"/>
  <c r="G60" i="29"/>
  <c r="F23" i="27"/>
  <c r="G57" i="27" s="1"/>
  <c r="E390" i="44"/>
  <c r="F389" i="44"/>
  <c r="E475" i="13"/>
  <c r="F474" i="13"/>
  <c r="E334" i="13"/>
  <c r="F333" i="13"/>
  <c r="E377" i="13"/>
  <c r="F376" i="13"/>
  <c r="E363" i="13"/>
  <c r="F362" i="13"/>
  <c r="F601" i="13"/>
  <c r="E602" i="13"/>
  <c r="E503" i="13"/>
  <c r="F502" i="13"/>
  <c r="E545" i="13"/>
  <c r="F544" i="13"/>
  <c r="E349" i="13"/>
  <c r="F348" i="13"/>
  <c r="E531" i="13"/>
  <c r="F530" i="13"/>
  <c r="F627" i="13"/>
  <c r="E628" i="13"/>
  <c r="E489" i="13"/>
  <c r="F488" i="13"/>
  <c r="E517" i="13"/>
  <c r="F516" i="13"/>
  <c r="E461" i="13"/>
  <c r="F460" i="13"/>
  <c r="E307" i="13"/>
  <c r="F306" i="13"/>
  <c r="E559" i="13"/>
  <c r="F558" i="13"/>
  <c r="E447" i="13"/>
  <c r="F446" i="13"/>
  <c r="F571" i="13"/>
  <c r="E572" i="13"/>
  <c r="E391" i="13"/>
  <c r="F390" i="13"/>
  <c r="E433" i="13"/>
  <c r="F432" i="13"/>
  <c r="E419" i="13"/>
  <c r="F418" i="13"/>
  <c r="E405" i="13"/>
  <c r="F404" i="13"/>
  <c r="E321" i="13"/>
  <c r="F320" i="13"/>
  <c r="E614" i="13"/>
  <c r="F613" i="13"/>
  <c r="E585" i="13"/>
  <c r="F584" i="13"/>
  <c r="E279" i="13"/>
  <c r="F278" i="13"/>
  <c r="E293" i="13"/>
  <c r="F292" i="13"/>
  <c r="D43" i="13"/>
  <c r="D42" i="13"/>
  <c r="D69" i="13"/>
  <c r="D68" i="13"/>
  <c r="D20" i="13"/>
  <c r="G59" i="27" l="1"/>
  <c r="G65" i="27"/>
  <c r="G58" i="27"/>
  <c r="E391" i="44"/>
  <c r="F390" i="44"/>
  <c r="E586" i="13"/>
  <c r="F585" i="13"/>
  <c r="E420" i="13"/>
  <c r="F419" i="13"/>
  <c r="E448" i="13"/>
  <c r="F447" i="13"/>
  <c r="E518" i="13"/>
  <c r="F517" i="13"/>
  <c r="F349" i="13"/>
  <c r="E350" i="13"/>
  <c r="E364" i="13"/>
  <c r="F363" i="13"/>
  <c r="E615" i="13"/>
  <c r="F614" i="13"/>
  <c r="E434" i="13"/>
  <c r="F433" i="13"/>
  <c r="E560" i="13"/>
  <c r="F559" i="13"/>
  <c r="F489" i="13"/>
  <c r="E490" i="13"/>
  <c r="E546" i="13"/>
  <c r="F545" i="13"/>
  <c r="F377" i="13"/>
  <c r="E378" i="13"/>
  <c r="E392" i="13"/>
  <c r="F391" i="13"/>
  <c r="E335" i="13"/>
  <c r="F334" i="13"/>
  <c r="F307" i="13"/>
  <c r="E308" i="13"/>
  <c r="E573" i="13"/>
  <c r="F572" i="13"/>
  <c r="E603" i="13"/>
  <c r="F602" i="13"/>
  <c r="E629" i="13"/>
  <c r="F628" i="13"/>
  <c r="F321" i="13"/>
  <c r="E322" i="13"/>
  <c r="E504" i="13"/>
  <c r="F503" i="13"/>
  <c r="E406" i="13"/>
  <c r="F405" i="13"/>
  <c r="F461" i="13"/>
  <c r="E462" i="13"/>
  <c r="E532" i="13"/>
  <c r="F531" i="13"/>
  <c r="E476" i="13"/>
  <c r="F475" i="13"/>
  <c r="E294" i="13"/>
  <c r="F293" i="13"/>
  <c r="E280" i="13"/>
  <c r="F279" i="13"/>
  <c r="G60" i="27" l="1"/>
  <c r="E392" i="44"/>
  <c r="F392" i="44" s="1"/>
  <c r="F391" i="44"/>
  <c r="E379" i="13"/>
  <c r="F378" i="13"/>
  <c r="E505" i="13"/>
  <c r="F504" i="13"/>
  <c r="E574" i="13"/>
  <c r="F573" i="13"/>
  <c r="E435" i="13"/>
  <c r="F434" i="13"/>
  <c r="F518" i="13"/>
  <c r="E519" i="13"/>
  <c r="E491" i="13"/>
  <c r="F490" i="13"/>
  <c r="E309" i="13"/>
  <c r="F308" i="13"/>
  <c r="F462" i="13"/>
  <c r="E463" i="13"/>
  <c r="E477" i="13"/>
  <c r="F476" i="13"/>
  <c r="E323" i="13"/>
  <c r="F322" i="13"/>
  <c r="E533" i="13"/>
  <c r="F532" i="13"/>
  <c r="E547" i="13"/>
  <c r="F546" i="13"/>
  <c r="E616" i="13"/>
  <c r="F615" i="13"/>
  <c r="E449" i="13"/>
  <c r="F448" i="13"/>
  <c r="F629" i="13"/>
  <c r="E630" i="13"/>
  <c r="E365" i="13"/>
  <c r="F364" i="13"/>
  <c r="F350" i="13"/>
  <c r="E351" i="13"/>
  <c r="E336" i="13"/>
  <c r="F335" i="13"/>
  <c r="E421" i="13"/>
  <c r="F420" i="13"/>
  <c r="F406" i="13"/>
  <c r="E407" i="13"/>
  <c r="E604" i="13"/>
  <c r="F603" i="13"/>
  <c r="E393" i="13"/>
  <c r="F392" i="13"/>
  <c r="E561" i="13"/>
  <c r="F560" i="13"/>
  <c r="E587" i="13"/>
  <c r="F586" i="13"/>
  <c r="E281" i="13"/>
  <c r="F280" i="13"/>
  <c r="E295" i="13"/>
  <c r="F294" i="13"/>
  <c r="G393" i="44" l="1"/>
  <c r="G389" i="44" s="1"/>
  <c r="E366" i="13"/>
  <c r="F365" i="13"/>
  <c r="E548" i="13"/>
  <c r="F547" i="13"/>
  <c r="E436" i="13"/>
  <c r="F435" i="13"/>
  <c r="F630" i="13"/>
  <c r="E631" i="13"/>
  <c r="E464" i="13"/>
  <c r="F463" i="13"/>
  <c r="E588" i="13"/>
  <c r="F587" i="13"/>
  <c r="E562" i="13"/>
  <c r="F561" i="13"/>
  <c r="E422" i="13"/>
  <c r="F421" i="13"/>
  <c r="E534" i="13"/>
  <c r="F533" i="13"/>
  <c r="E310" i="13"/>
  <c r="F309" i="13"/>
  <c r="F574" i="13"/>
  <c r="E575" i="13"/>
  <c r="E394" i="13"/>
  <c r="F393" i="13"/>
  <c r="E337" i="13"/>
  <c r="F336" i="13"/>
  <c r="E450" i="13"/>
  <c r="F449" i="13"/>
  <c r="F323" i="13"/>
  <c r="E324" i="13"/>
  <c r="E492" i="13"/>
  <c r="F491" i="13"/>
  <c r="E506" i="13"/>
  <c r="F505" i="13"/>
  <c r="E408" i="13"/>
  <c r="F407" i="13"/>
  <c r="E352" i="13"/>
  <c r="F351" i="13"/>
  <c r="E520" i="13"/>
  <c r="F519" i="13"/>
  <c r="E605" i="13"/>
  <c r="F605" i="13" s="1"/>
  <c r="F604" i="13"/>
  <c r="E617" i="13"/>
  <c r="F616" i="13"/>
  <c r="F477" i="13"/>
  <c r="E478" i="13"/>
  <c r="E380" i="13"/>
  <c r="F379" i="13"/>
  <c r="E296" i="13"/>
  <c r="F295" i="13"/>
  <c r="E282" i="13"/>
  <c r="F281" i="13"/>
  <c r="G606" i="13" l="1"/>
  <c r="G602" i="13" s="1"/>
  <c r="D393" i="44"/>
  <c r="C393" i="44" s="1"/>
  <c r="G387" i="44" s="1"/>
  <c r="E632" i="13"/>
  <c r="F631" i="13"/>
  <c r="E521" i="13"/>
  <c r="F521" i="13" s="1"/>
  <c r="F520" i="13"/>
  <c r="E576" i="13"/>
  <c r="F575" i="13"/>
  <c r="E325" i="13"/>
  <c r="F325" i="13" s="1"/>
  <c r="F324" i="13"/>
  <c r="F352" i="13"/>
  <c r="E353" i="13"/>
  <c r="F353" i="13" s="1"/>
  <c r="E563" i="13"/>
  <c r="F563" i="13" s="1"/>
  <c r="F562" i="13"/>
  <c r="E437" i="13"/>
  <c r="F437" i="13" s="1"/>
  <c r="F436" i="13"/>
  <c r="E493" i="13"/>
  <c r="F493" i="13" s="1"/>
  <c r="F492" i="13"/>
  <c r="E423" i="13"/>
  <c r="F423" i="13" s="1"/>
  <c r="F422" i="13"/>
  <c r="E479" i="13"/>
  <c r="F479" i="13" s="1"/>
  <c r="F478" i="13"/>
  <c r="E618" i="13"/>
  <c r="F617" i="13"/>
  <c r="F408" i="13"/>
  <c r="E409" i="13"/>
  <c r="F409" i="13" s="1"/>
  <c r="E451" i="13"/>
  <c r="F451" i="13" s="1"/>
  <c r="F450" i="13"/>
  <c r="G452" i="13" s="1"/>
  <c r="E311" i="13"/>
  <c r="F311" i="13" s="1"/>
  <c r="F310" i="13"/>
  <c r="E589" i="13"/>
  <c r="F588" i="13"/>
  <c r="E549" i="13"/>
  <c r="F549" i="13" s="1"/>
  <c r="F548" i="13"/>
  <c r="E381" i="13"/>
  <c r="F381" i="13" s="1"/>
  <c r="F380" i="13"/>
  <c r="G382" i="13" s="1"/>
  <c r="E395" i="13"/>
  <c r="F395" i="13" s="1"/>
  <c r="F394" i="13"/>
  <c r="E507" i="13"/>
  <c r="F507" i="13" s="1"/>
  <c r="F506" i="13"/>
  <c r="E338" i="13"/>
  <c r="F337" i="13"/>
  <c r="E535" i="13"/>
  <c r="F535" i="13" s="1"/>
  <c r="F534" i="13"/>
  <c r="G536" i="13" s="1"/>
  <c r="E465" i="13"/>
  <c r="F465" i="13" s="1"/>
  <c r="F464" i="13"/>
  <c r="E367" i="13"/>
  <c r="F367" i="13" s="1"/>
  <c r="F366" i="13"/>
  <c r="E283" i="13"/>
  <c r="F283" i="13" s="1"/>
  <c r="F282" i="13"/>
  <c r="E297" i="13"/>
  <c r="F297" i="13" s="1"/>
  <c r="F296" i="13"/>
  <c r="G298" i="13" s="1"/>
  <c r="G424" i="13" l="1"/>
  <c r="G420" i="13" s="1"/>
  <c r="G466" i="13"/>
  <c r="G462" i="13" s="1"/>
  <c r="G396" i="13"/>
  <c r="G392" i="13" s="1"/>
  <c r="G312" i="13"/>
  <c r="D312" i="13" s="1"/>
  <c r="C312" i="13" s="1"/>
  <c r="G480" i="13"/>
  <c r="G476" i="13" s="1"/>
  <c r="G564" i="13"/>
  <c r="G560" i="13" s="1"/>
  <c r="G522" i="13"/>
  <c r="G518" i="13" s="1"/>
  <c r="D606" i="13"/>
  <c r="C606" i="13" s="1"/>
  <c r="G597" i="13" s="1"/>
  <c r="G388" i="44"/>
  <c r="G382" i="44"/>
  <c r="G383" i="44"/>
  <c r="G384" i="44"/>
  <c r="G386" i="44"/>
  <c r="G368" i="13"/>
  <c r="G364" i="13" s="1"/>
  <c r="G508" i="13"/>
  <c r="G504" i="13" s="1"/>
  <c r="G550" i="13"/>
  <c r="G546" i="13" s="1"/>
  <c r="G438" i="13"/>
  <c r="G434" i="13" s="1"/>
  <c r="G494" i="13"/>
  <c r="D494" i="13" s="1"/>
  <c r="C494" i="13" s="1"/>
  <c r="G326" i="13"/>
  <c r="G322" i="13" s="1"/>
  <c r="G410" i="13"/>
  <c r="E590" i="13"/>
  <c r="F589" i="13"/>
  <c r="E619" i="13"/>
  <c r="F619" i="13" s="1"/>
  <c r="F618" i="13"/>
  <c r="E577" i="13"/>
  <c r="F577" i="13" s="1"/>
  <c r="F576" i="13"/>
  <c r="G378" i="13"/>
  <c r="D382" i="13"/>
  <c r="C382" i="13" s="1"/>
  <c r="G532" i="13"/>
  <c r="D536" i="13"/>
  <c r="C536" i="13" s="1"/>
  <c r="G448" i="13"/>
  <c r="D452" i="13"/>
  <c r="C452" i="13" s="1"/>
  <c r="E339" i="13"/>
  <c r="F339" i="13" s="1"/>
  <c r="F338" i="13"/>
  <c r="G354" i="13"/>
  <c r="E633" i="13"/>
  <c r="F633" i="13" s="1"/>
  <c r="F632" i="13"/>
  <c r="G294" i="13"/>
  <c r="D298" i="13"/>
  <c r="C298" i="13" s="1"/>
  <c r="G284" i="13"/>
  <c r="I382" i="44" l="1"/>
  <c r="E281" i="10" s="1"/>
  <c r="H382" i="44"/>
  <c r="D281" i="10" s="1"/>
  <c r="D424" i="13"/>
  <c r="C424" i="13" s="1"/>
  <c r="G600" i="13"/>
  <c r="D396" i="13"/>
  <c r="C396" i="13" s="1"/>
  <c r="G391" i="13" s="1"/>
  <c r="D466" i="13"/>
  <c r="C466" i="13" s="1"/>
  <c r="G457" i="13" s="1"/>
  <c r="G340" i="13"/>
  <c r="G336" i="13" s="1"/>
  <c r="G595" i="13"/>
  <c r="G308" i="13"/>
  <c r="D564" i="13"/>
  <c r="C564" i="13" s="1"/>
  <c r="G553" i="13" s="1"/>
  <c r="G599" i="13"/>
  <c r="D522" i="13"/>
  <c r="C522" i="13" s="1"/>
  <c r="G516" i="13" s="1"/>
  <c r="D508" i="13"/>
  <c r="C508" i="13" s="1"/>
  <c r="G499" i="13" s="1"/>
  <c r="D480" i="13"/>
  <c r="C480" i="13" s="1"/>
  <c r="G473" i="13" s="1"/>
  <c r="G601" i="13"/>
  <c r="G596" i="13"/>
  <c r="D368" i="13"/>
  <c r="C368" i="13" s="1"/>
  <c r="G359" i="13" s="1"/>
  <c r="D550" i="13"/>
  <c r="C550" i="13" s="1"/>
  <c r="G544" i="13" s="1"/>
  <c r="G490" i="13"/>
  <c r="D438" i="13"/>
  <c r="C438" i="13" s="1"/>
  <c r="G428" i="13" s="1"/>
  <c r="D326" i="13"/>
  <c r="C326" i="13" s="1"/>
  <c r="G317" i="13" s="1"/>
  <c r="G634" i="13"/>
  <c r="G630" i="13" s="1"/>
  <c r="G511" i="13"/>
  <c r="I595" i="13"/>
  <c r="K52" i="28" s="1"/>
  <c r="G488" i="13"/>
  <c r="G487" i="13"/>
  <c r="G485" i="13"/>
  <c r="G484" i="13"/>
  <c r="G483" i="13"/>
  <c r="G489" i="13"/>
  <c r="G578" i="13"/>
  <c r="G419" i="13"/>
  <c r="G418" i="13"/>
  <c r="G417" i="13"/>
  <c r="G415" i="13"/>
  <c r="G414" i="13"/>
  <c r="G413" i="13"/>
  <c r="G442" i="13"/>
  <c r="G441" i="13"/>
  <c r="G447" i="13"/>
  <c r="G446" i="13"/>
  <c r="G445" i="13"/>
  <c r="G443" i="13"/>
  <c r="G376" i="13"/>
  <c r="G375" i="13"/>
  <c r="G373" i="13"/>
  <c r="G372" i="13"/>
  <c r="G371" i="13"/>
  <c r="G377" i="13"/>
  <c r="G620" i="13"/>
  <c r="E591" i="13"/>
  <c r="F591" i="13" s="1"/>
  <c r="F590" i="13"/>
  <c r="G350" i="13"/>
  <c r="D354" i="13"/>
  <c r="C354" i="13" s="1"/>
  <c r="G531" i="13"/>
  <c r="G530" i="13"/>
  <c r="G526" i="13"/>
  <c r="G529" i="13"/>
  <c r="G527" i="13"/>
  <c r="G525" i="13"/>
  <c r="G307" i="13"/>
  <c r="G306" i="13"/>
  <c r="G305" i="13"/>
  <c r="G303" i="13"/>
  <c r="G301" i="13"/>
  <c r="G302" i="13"/>
  <c r="G406" i="13"/>
  <c r="D410" i="13"/>
  <c r="C410" i="13" s="1"/>
  <c r="D284" i="13"/>
  <c r="C284" i="13" s="1"/>
  <c r="G280" i="13"/>
  <c r="G293" i="13"/>
  <c r="G292" i="13"/>
  <c r="G291" i="13"/>
  <c r="G289" i="13"/>
  <c r="G287" i="13"/>
  <c r="G288" i="13"/>
  <c r="G387" i="13" l="1"/>
  <c r="G455" i="13"/>
  <c r="G459" i="13"/>
  <c r="G460" i="13"/>
  <c r="G557" i="13"/>
  <c r="G461" i="13"/>
  <c r="G456" i="13"/>
  <c r="G501" i="13"/>
  <c r="G389" i="13"/>
  <c r="G555" i="13"/>
  <c r="G502" i="13"/>
  <c r="G385" i="13"/>
  <c r="G386" i="13"/>
  <c r="G390" i="13"/>
  <c r="G517" i="13"/>
  <c r="G554" i="13"/>
  <c r="G512" i="13"/>
  <c r="D340" i="13"/>
  <c r="C340" i="13" s="1"/>
  <c r="G333" i="13" s="1"/>
  <c r="G427" i="13"/>
  <c r="G513" i="13"/>
  <c r="G319" i="13"/>
  <c r="G503" i="13"/>
  <c r="G497" i="13"/>
  <c r="G515" i="13"/>
  <c r="G498" i="13"/>
  <c r="H595" i="13"/>
  <c r="G558" i="13"/>
  <c r="G559" i="13"/>
  <c r="G475" i="13"/>
  <c r="G470" i="13"/>
  <c r="G471" i="13"/>
  <c r="G545" i="13"/>
  <c r="G539" i="13"/>
  <c r="G362" i="13"/>
  <c r="G363" i="13"/>
  <c r="G361" i="13"/>
  <c r="G474" i="13"/>
  <c r="H469" i="13" s="1"/>
  <c r="G320" i="13"/>
  <c r="G321" i="13"/>
  <c r="G469" i="13"/>
  <c r="G543" i="13"/>
  <c r="H539" i="13" s="1"/>
  <c r="G357" i="13"/>
  <c r="G540" i="13"/>
  <c r="G316" i="13"/>
  <c r="G541" i="13"/>
  <c r="G358" i="13"/>
  <c r="G315" i="13"/>
  <c r="G429" i="13"/>
  <c r="G432" i="13"/>
  <c r="G431" i="13"/>
  <c r="G433" i="13"/>
  <c r="E275" i="12"/>
  <c r="J235" i="13"/>
  <c r="I483" i="13"/>
  <c r="H301" i="13"/>
  <c r="H483" i="13"/>
  <c r="D634" i="13"/>
  <c r="C634" i="13" s="1"/>
  <c r="G625" i="13" s="1"/>
  <c r="H441" i="13"/>
  <c r="H413" i="13"/>
  <c r="H287" i="13"/>
  <c r="G592" i="13"/>
  <c r="G588" i="13" s="1"/>
  <c r="I525" i="13"/>
  <c r="H525" i="13"/>
  <c r="I455" i="13"/>
  <c r="E293" i="12" s="1"/>
  <c r="H371" i="13"/>
  <c r="I413" i="13"/>
  <c r="I301" i="13"/>
  <c r="G345" i="13"/>
  <c r="G344" i="13"/>
  <c r="G343" i="13"/>
  <c r="G348" i="13"/>
  <c r="G349" i="13"/>
  <c r="G347" i="13"/>
  <c r="G405" i="13"/>
  <c r="G404" i="13"/>
  <c r="G403" i="13"/>
  <c r="G401" i="13"/>
  <c r="G399" i="13"/>
  <c r="G400" i="13"/>
  <c r="G616" i="13"/>
  <c r="D620" i="13"/>
  <c r="C620" i="13" s="1"/>
  <c r="I371" i="13"/>
  <c r="I441" i="13"/>
  <c r="G574" i="13"/>
  <c r="D578" i="13"/>
  <c r="C578" i="13" s="1"/>
  <c r="I287" i="13"/>
  <c r="G275" i="13"/>
  <c r="G274" i="13"/>
  <c r="G273" i="13"/>
  <c r="G279" i="13"/>
  <c r="G278" i="13"/>
  <c r="G277" i="13"/>
  <c r="D275" i="12" l="1"/>
  <c r="K53" i="28"/>
  <c r="K54" i="28" s="1"/>
  <c r="G62" i="28" s="1"/>
  <c r="G63" i="28" s="1"/>
  <c r="G64" i="28" s="1"/>
  <c r="G66" i="28" s="1"/>
  <c r="I511" i="13"/>
  <c r="K54" i="21"/>
  <c r="K54" i="22"/>
  <c r="K55" i="21"/>
  <c r="K55" i="22"/>
  <c r="I315" i="13"/>
  <c r="K54" i="23" s="1"/>
  <c r="G329" i="13"/>
  <c r="H455" i="13"/>
  <c r="D293" i="12" s="1"/>
  <c r="H385" i="13"/>
  <c r="D288" i="12" s="1"/>
  <c r="H511" i="13"/>
  <c r="D297" i="12" s="1"/>
  <c r="I385" i="13"/>
  <c r="E288" i="12" s="1"/>
  <c r="G331" i="13"/>
  <c r="G335" i="13"/>
  <c r="H497" i="13"/>
  <c r="I256" i="13" s="1"/>
  <c r="G330" i="13"/>
  <c r="I553" i="13"/>
  <c r="I469" i="13"/>
  <c r="J254" i="13" s="1"/>
  <c r="I497" i="13"/>
  <c r="E296" i="12" s="1"/>
  <c r="I427" i="13"/>
  <c r="E291" i="12" s="1"/>
  <c r="G334" i="13"/>
  <c r="H357" i="13"/>
  <c r="H553" i="13"/>
  <c r="I232" i="13" s="1"/>
  <c r="I235" i="13"/>
  <c r="I539" i="13"/>
  <c r="E299" i="12" s="1"/>
  <c r="H315" i="13"/>
  <c r="H427" i="13"/>
  <c r="D291" i="12" s="1"/>
  <c r="I357" i="13"/>
  <c r="D592" i="13"/>
  <c r="C592" i="13" s="1"/>
  <c r="G587" i="13" s="1"/>
  <c r="H399" i="13"/>
  <c r="D289" i="12" s="1"/>
  <c r="E290" i="12"/>
  <c r="J250" i="13"/>
  <c r="E298" i="12"/>
  <c r="J258" i="13"/>
  <c r="D286" i="12"/>
  <c r="I246" i="13"/>
  <c r="D294" i="12"/>
  <c r="I254" i="13"/>
  <c r="D295" i="12"/>
  <c r="I255" i="13"/>
  <c r="E292" i="12"/>
  <c r="J252" i="13"/>
  <c r="D299" i="12"/>
  <c r="I259" i="13"/>
  <c r="E286" i="12"/>
  <c r="J246" i="13"/>
  <c r="D298" i="12"/>
  <c r="I258" i="13"/>
  <c r="D280" i="12"/>
  <c r="K48" i="20" s="1"/>
  <c r="I240" i="13"/>
  <c r="D281" i="12"/>
  <c r="I241" i="13"/>
  <c r="D292" i="12"/>
  <c r="I252" i="13"/>
  <c r="E280" i="12"/>
  <c r="K47" i="20" s="1"/>
  <c r="J240" i="13"/>
  <c r="E297" i="12"/>
  <c r="J257" i="13"/>
  <c r="E295" i="12"/>
  <c r="J255" i="13"/>
  <c r="E282" i="12"/>
  <c r="J242" i="13"/>
  <c r="E281" i="12"/>
  <c r="J241" i="13"/>
  <c r="D290" i="12"/>
  <c r="I250" i="13"/>
  <c r="G628" i="13"/>
  <c r="I273" i="13"/>
  <c r="G627" i="13"/>
  <c r="G629" i="13"/>
  <c r="G623" i="13"/>
  <c r="G624" i="13"/>
  <c r="H343" i="13"/>
  <c r="K55" i="17" s="1"/>
  <c r="H273" i="13"/>
  <c r="G569" i="13"/>
  <c r="G568" i="13"/>
  <c r="G567" i="13"/>
  <c r="G572" i="13"/>
  <c r="G573" i="13"/>
  <c r="G571" i="13"/>
  <c r="G615" i="13"/>
  <c r="G614" i="13"/>
  <c r="G613" i="13"/>
  <c r="G611" i="13"/>
  <c r="G610" i="13"/>
  <c r="G609" i="13"/>
  <c r="I343" i="13"/>
  <c r="K54" i="17" s="1"/>
  <c r="I399" i="13"/>
  <c r="I242" i="13" l="1"/>
  <c r="K55" i="23"/>
  <c r="K56" i="23" s="1"/>
  <c r="G64" i="23" s="1"/>
  <c r="G65" i="23" s="1"/>
  <c r="G66" i="23" s="1"/>
  <c r="G68" i="23" s="1"/>
  <c r="E272" i="12"/>
  <c r="K52" i="26"/>
  <c r="K52" i="25"/>
  <c r="E294" i="12"/>
  <c r="J248" i="13"/>
  <c r="K56" i="17"/>
  <c r="G64" i="17" s="1"/>
  <c r="G65" i="17" s="1"/>
  <c r="G66" i="17" s="1"/>
  <c r="G68" i="17" s="1"/>
  <c r="I253" i="13"/>
  <c r="I248" i="13"/>
  <c r="D285" i="12"/>
  <c r="K55" i="19"/>
  <c r="E285" i="12"/>
  <c r="K54" i="19"/>
  <c r="K56" i="19" s="1"/>
  <c r="G64" i="19" s="1"/>
  <c r="G65" i="19" s="1"/>
  <c r="G66" i="19" s="1"/>
  <c r="G68" i="19" s="1"/>
  <c r="K56" i="22"/>
  <c r="G64" i="22" s="1"/>
  <c r="G65" i="22" s="1"/>
  <c r="G66" i="22" s="1"/>
  <c r="G68" i="22" s="1"/>
  <c r="K56" i="21"/>
  <c r="G64" i="21" s="1"/>
  <c r="G65" i="21" s="1"/>
  <c r="G66" i="21" s="1"/>
  <c r="G68" i="21" s="1"/>
  <c r="D296" i="12"/>
  <c r="H329" i="13"/>
  <c r="D272" i="12"/>
  <c r="I257" i="13"/>
  <c r="I329" i="13"/>
  <c r="K54" i="24" s="1"/>
  <c r="J256" i="13"/>
  <c r="J232" i="13"/>
  <c r="I251" i="13"/>
  <c r="J251" i="13"/>
  <c r="G581" i="13"/>
  <c r="G582" i="13"/>
  <c r="I245" i="13"/>
  <c r="J259" i="13"/>
  <c r="D282" i="12"/>
  <c r="G583" i="13"/>
  <c r="G585" i="13"/>
  <c r="G586" i="13"/>
  <c r="J245" i="13"/>
  <c r="I249" i="13"/>
  <c r="K49" i="20"/>
  <c r="G57" i="20" s="1"/>
  <c r="G58" i="20" s="1"/>
  <c r="G59" i="20" s="1"/>
  <c r="G61" i="20" s="1"/>
  <c r="H623" i="13"/>
  <c r="D279" i="12"/>
  <c r="K53" i="16" s="1"/>
  <c r="I239" i="13"/>
  <c r="E289" i="12"/>
  <c r="J249" i="13"/>
  <c r="E284" i="12"/>
  <c r="J244" i="13"/>
  <c r="D284" i="12"/>
  <c r="I244" i="13"/>
  <c r="E279" i="12"/>
  <c r="J239" i="13"/>
  <c r="D283" i="12"/>
  <c r="I243" i="13"/>
  <c r="I623" i="13"/>
  <c r="H609" i="13"/>
  <c r="K53" i="29" s="1"/>
  <c r="H567" i="13"/>
  <c r="I609" i="13"/>
  <c r="K52" i="29" s="1"/>
  <c r="I567" i="13"/>
  <c r="K54" i="29" l="1"/>
  <c r="G62" i="29" s="1"/>
  <c r="G63" i="29" s="1"/>
  <c r="G64" i="29" s="1"/>
  <c r="G66" i="29" s="1"/>
  <c r="D277" i="12"/>
  <c r="K53" i="31"/>
  <c r="K53" i="30"/>
  <c r="J243" i="13"/>
  <c r="K52" i="30"/>
  <c r="K54" i="30" s="1"/>
  <c r="G62" i="30" s="1"/>
  <c r="G63" i="30" s="1"/>
  <c r="G64" i="30" s="1"/>
  <c r="G66" i="30" s="1"/>
  <c r="K52" i="31"/>
  <c r="E283" i="12"/>
  <c r="H581" i="13"/>
  <c r="K53" i="27" s="1"/>
  <c r="K55" i="24"/>
  <c r="K56" i="24" s="1"/>
  <c r="G64" i="24" s="1"/>
  <c r="G65" i="24" s="1"/>
  <c r="G66" i="24" s="1"/>
  <c r="G68" i="24" s="1"/>
  <c r="K53" i="26"/>
  <c r="K54" i="26" s="1"/>
  <c r="G62" i="26" s="1"/>
  <c r="G63" i="26" s="1"/>
  <c r="G64" i="26" s="1"/>
  <c r="G66" i="26" s="1"/>
  <c r="K53" i="25"/>
  <c r="K54" i="25" s="1"/>
  <c r="G62" i="25" s="1"/>
  <c r="G63" i="25" s="1"/>
  <c r="G64" i="25" s="1"/>
  <c r="G66" i="25" s="1"/>
  <c r="I581" i="13"/>
  <c r="I237" i="13"/>
  <c r="D273" i="12"/>
  <c r="I233" i="13"/>
  <c r="D276" i="12"/>
  <c r="I236" i="13"/>
  <c r="K52" i="16"/>
  <c r="E276" i="12"/>
  <c r="J236" i="13"/>
  <c r="E273" i="12"/>
  <c r="J233" i="13"/>
  <c r="E277" i="12"/>
  <c r="J237" i="13"/>
  <c r="J234" i="13" l="1"/>
  <c r="K52" i="27"/>
  <c r="K54" i="27" s="1"/>
  <c r="G62" i="27" s="1"/>
  <c r="G63" i="27" s="1"/>
  <c r="G64" i="27" s="1"/>
  <c r="G66" i="27" s="1"/>
  <c r="I234" i="13"/>
  <c r="D274" i="12"/>
  <c r="K54" i="31"/>
  <c r="G62" i="31" s="1"/>
  <c r="G63" i="31" s="1"/>
  <c r="G64" i="31" s="1"/>
  <c r="G66" i="31" s="1"/>
  <c r="K54" i="16"/>
  <c r="G62" i="16" s="1"/>
  <c r="G63" i="16" s="1"/>
  <c r="E274" i="12"/>
  <c r="E25" i="104" l="1"/>
  <c r="K35" i="106" s="1"/>
  <c r="M35" i="106" s="1"/>
  <c r="E27" i="104" l="1"/>
  <c r="E23" i="105"/>
  <c r="G31" i="104" l="1"/>
  <c r="E31" i="104" s="1"/>
  <c r="K50" i="106" s="1"/>
  <c r="K36" i="106"/>
  <c r="M36" i="106" l="1"/>
  <c r="E29" i="106"/>
  <c r="G29" i="106" s="1"/>
  <c r="G46" i="106" s="1"/>
  <c r="E48" i="106"/>
  <c r="G48" i="106" s="1"/>
  <c r="G53" i="106" s="1"/>
  <c r="M50" i="106"/>
  <c r="M53" i="106" l="1"/>
  <c r="H62" i="106" s="1"/>
  <c r="M46" i="106"/>
  <c r="H60" i="106" s="1"/>
  <c r="H56" i="106"/>
  <c r="H58" i="106" s="1"/>
  <c r="H61" i="106" l="1"/>
  <c r="H63" i="106" s="1"/>
  <c r="H57" i="106"/>
  <c r="H59" i="106" s="1"/>
  <c r="H65" i="106"/>
  <c r="H64" i="106" l="1"/>
  <c r="H66" i="106" s="1"/>
  <c r="I42" i="16"/>
  <c r="D49" i="16" s="1"/>
  <c r="K42" i="101"/>
  <c r="K47" i="101" s="1"/>
  <c r="K42" i="16" l="1"/>
  <c r="K47" i="16" s="1"/>
  <c r="F49" i="16"/>
  <c r="F54" i="16" l="1"/>
  <c r="G57" i="16" s="1"/>
  <c r="G59" i="16" l="1"/>
  <c r="G65" i="16"/>
  <c r="G58" i="16"/>
  <c r="G60" i="16" s="1"/>
  <c r="G64" i="16" s="1"/>
  <c r="G6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<sst xmlns="http://schemas.openxmlformats.org/spreadsheetml/2006/main" count="15494" uniqueCount="2951">
  <si>
    <t>Артикул</t>
  </si>
  <si>
    <t>Длина</t>
  </si>
  <si>
    <t>Кол-во</t>
  </si>
  <si>
    <t>Наименование</t>
  </si>
  <si>
    <t>Толщ. реза</t>
  </si>
  <si>
    <t>Мин ост.</t>
  </si>
  <si>
    <t>Кромка</t>
  </si>
  <si>
    <t>Размер</t>
  </si>
  <si>
    <t>Нет</t>
  </si>
  <si>
    <t>Точность</t>
  </si>
  <si>
    <t>Остатки на складе</t>
  </si>
  <si>
    <t>Потребность</t>
  </si>
  <si>
    <t>Описание</t>
  </si>
  <si>
    <t>Сводный отчет</t>
  </si>
  <si>
    <t>Артикул:</t>
  </si>
  <si>
    <t>Наименование:</t>
  </si>
  <si>
    <t>Ширина реза:</t>
  </si>
  <si>
    <t>Исходные детали:</t>
  </si>
  <si>
    <t>№</t>
  </si>
  <si>
    <t>Ниаменование</t>
  </si>
  <si>
    <t>Итого</t>
  </si>
  <si>
    <t>Потери:</t>
  </si>
  <si>
    <t>Использовано:</t>
  </si>
  <si>
    <t>Раскрой в 2 проф.</t>
  </si>
  <si>
    <t>Размер проф.</t>
  </si>
  <si>
    <t>Неликв.</t>
  </si>
  <si>
    <t>Расход</t>
  </si>
  <si>
    <t>Кол.</t>
  </si>
  <si>
    <t>Остаток</t>
  </si>
  <si>
    <t>Кромка:</t>
  </si>
  <si>
    <t>Детали</t>
  </si>
  <si>
    <t>Сохранены остатки:</t>
  </si>
  <si>
    <t>A1</t>
  </si>
  <si>
    <t>Основной профиль</t>
  </si>
  <si>
    <t>Деталь 1</t>
  </si>
  <si>
    <t>Деталь 2</t>
  </si>
  <si>
    <t>Деталь 3</t>
  </si>
  <si>
    <t>Деталь 4</t>
  </si>
  <si>
    <t>Деталь 5</t>
  </si>
  <si>
    <t>Деталь 6</t>
  </si>
  <si>
    <t>Деталь 7</t>
  </si>
  <si>
    <t>Деталь 8</t>
  </si>
  <si>
    <t>Деталь 9</t>
  </si>
  <si>
    <t>Деталь 10</t>
  </si>
  <si>
    <t>Деталь 11</t>
  </si>
  <si>
    <t>Деталь 12</t>
  </si>
  <si>
    <t>Деталь 13</t>
  </si>
  <si>
    <t>2150;1930;1520</t>
  </si>
  <si>
    <t>2200;1880;1520</t>
  </si>
  <si>
    <t>2000;1880;1710</t>
  </si>
  <si>
    <t>2140;1930;1520</t>
  </si>
  <si>
    <t>2150;1880;1560</t>
  </si>
  <si>
    <t>1880;1880;1820</t>
  </si>
  <si>
    <t>2050;1820;1710</t>
  </si>
  <si>
    <t>2100;2100;1380</t>
  </si>
  <si>
    <t>2150;2050;1380</t>
  </si>
  <si>
    <t>2200;1820;1560</t>
  </si>
  <si>
    <t>2200;2000;1380</t>
  </si>
  <si>
    <t>2150;1710;1710</t>
  </si>
  <si>
    <t>2140;1710;1710</t>
  </si>
  <si>
    <t>1820;1820;1380</t>
  </si>
  <si>
    <t>мм</t>
  </si>
  <si>
    <t>шт.</t>
  </si>
  <si>
    <t>м3</t>
  </si>
  <si>
    <t>Перекрытие 01</t>
  </si>
  <si>
    <t>Перекрытие 02</t>
  </si>
  <si>
    <t>Перекрытие 03</t>
  </si>
  <si>
    <t>Перекрытие 04</t>
  </si>
  <si>
    <t>Перекрытие 05</t>
  </si>
  <si>
    <t>Перекрытие 06</t>
  </si>
  <si>
    <t>Перекрытие 07</t>
  </si>
  <si>
    <t>Перекрытие 08</t>
  </si>
  <si>
    <t>Перекрытие 09</t>
  </si>
  <si>
    <t>Ширина</t>
  </si>
  <si>
    <t>Высота</t>
  </si>
  <si>
    <t>Шаг, мм</t>
  </si>
  <si>
    <t>Длина лаги, мм</t>
  </si>
  <si>
    <t>Кол-во лаг, шт.</t>
  </si>
  <si>
    <t>Доска</t>
  </si>
  <si>
    <t>№ этажа</t>
  </si>
  <si>
    <t>ИТОГО</t>
  </si>
  <si>
    <t>Перекрытие 10</t>
  </si>
  <si>
    <t>Перекрытие 11</t>
  </si>
  <si>
    <t>Перекрытие 12</t>
  </si>
  <si>
    <t>Перекрытие 13</t>
  </si>
  <si>
    <t>шт</t>
  </si>
  <si>
    <t>п.м.</t>
  </si>
  <si>
    <t>База брус 145x140</t>
  </si>
  <si>
    <t>Брус с отходом</t>
  </si>
  <si>
    <t xml:space="preserve">Опора бруса раскрытая OBR R-50х140х2 </t>
  </si>
  <si>
    <t>Лента межвенцового утеплителя Политерм 15/300</t>
  </si>
  <si>
    <t>ВхШ</t>
  </si>
  <si>
    <t>отход</t>
  </si>
  <si>
    <t>высота 3100</t>
  </si>
  <si>
    <t>9х9х3000</t>
  </si>
  <si>
    <t>перерубы</t>
  </si>
  <si>
    <t>1/ряд/36м</t>
  </si>
  <si>
    <t xml:space="preserve">перерубы 1ряд/4штуки </t>
  </si>
  <si>
    <t>22р/4стороны</t>
  </si>
  <si>
    <t>перерубы 4стр/22ряда</t>
  </si>
  <si>
    <t>коэфицент</t>
  </si>
  <si>
    <t>камерной сушки</t>
  </si>
  <si>
    <t>145х45</t>
  </si>
  <si>
    <t>145х95</t>
  </si>
  <si>
    <t>ест. Влаж</t>
  </si>
  <si>
    <t>145х140</t>
  </si>
  <si>
    <t>145х190</t>
  </si>
  <si>
    <t>195х190</t>
  </si>
  <si>
    <t>145х145</t>
  </si>
  <si>
    <t>145х195</t>
  </si>
  <si>
    <t>195х195</t>
  </si>
  <si>
    <t>кл. брус</t>
  </si>
  <si>
    <t>145х160</t>
  </si>
  <si>
    <t>145х200</t>
  </si>
  <si>
    <t>190х160</t>
  </si>
  <si>
    <t>190х200</t>
  </si>
  <si>
    <t>145х240</t>
  </si>
  <si>
    <t>190х240</t>
  </si>
  <si>
    <t>230х160</t>
  </si>
  <si>
    <t>230х200</t>
  </si>
  <si>
    <t>230х240</t>
  </si>
  <si>
    <t>250х160</t>
  </si>
  <si>
    <t>250х200</t>
  </si>
  <si>
    <t>280х200</t>
  </si>
  <si>
    <t>Приложение № 2</t>
  </si>
  <si>
    <t>к Договору подряда № ______        от "   "              202  года</t>
  </si>
  <si>
    <t xml:space="preserve">         "СОГЛАСОВАНО"</t>
  </si>
  <si>
    <t>"УТВЕРЖДАЮ"</t>
  </si>
  <si>
    <t xml:space="preserve">Подрядчик: ООО </t>
  </si>
  <si>
    <t xml:space="preserve">Заказчик: </t>
  </si>
  <si>
    <t xml:space="preserve">_________________________  /                      /                     </t>
  </si>
  <si>
    <t>__________________________/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</si>
  <si>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марта 202  г. </t>
    </r>
    <r>
      <rPr>
        <sz val="11"/>
        <rFont val="Times New Roman"/>
        <family val="1"/>
        <charset val="204"/>
      </rPr>
      <t xml:space="preserve">   </t>
    </r>
  </si>
  <si>
    <t xml:space="preserve">                                                                                                      </t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</si>
  <si>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202  г.    </t>
    </r>
  </si>
  <si>
    <t xml:space="preserve">ЛОКАЛЬНАЯ СМЕТА </t>
  </si>
  <si>
    <t>Раздел -  Строительно-монтажные работы по коробке</t>
  </si>
  <si>
    <t>Вид работ</t>
  </si>
  <si>
    <t>Наименование работ</t>
  </si>
  <si>
    <t>Ед. изм.</t>
  </si>
  <si>
    <t>Цена работ, руб.</t>
  </si>
  <si>
    <t>Итого работы, руб.</t>
  </si>
  <si>
    <t>Наименование материалов</t>
  </si>
  <si>
    <t>Цена материалы, руб.</t>
  </si>
  <si>
    <t>Итого материалы, руб.</t>
  </si>
  <si>
    <t xml:space="preserve">1.  Монтаж стен </t>
  </si>
  <si>
    <t>1.</t>
  </si>
  <si>
    <t>Лента межвенцового утеплителя Политерм</t>
  </si>
  <si>
    <t>м.п.</t>
  </si>
  <si>
    <t>Нагель</t>
  </si>
  <si>
    <t>к-т</t>
  </si>
  <si>
    <t xml:space="preserve">Монтаж столбов </t>
  </si>
  <si>
    <t>Анкер регулируемый 120х120х4мм М24 H-200мм</t>
  </si>
  <si>
    <t xml:space="preserve">Глухарь 8х100 </t>
  </si>
  <si>
    <t xml:space="preserve">Монтаж и демонтаж лесов </t>
  </si>
  <si>
    <t xml:space="preserve">Комплект пиломатериалов на леса </t>
  </si>
  <si>
    <t>кг</t>
  </si>
  <si>
    <t>Итого работы</t>
  </si>
  <si>
    <t>Итого материалы</t>
  </si>
  <si>
    <t>Монтаж балок перекрытия</t>
  </si>
  <si>
    <t>м2</t>
  </si>
  <si>
    <t>Саморез 51 мм</t>
  </si>
  <si>
    <t xml:space="preserve">Прием домокомплекта </t>
  </si>
  <si>
    <t>Аренда а/м до 1,5 тн</t>
  </si>
  <si>
    <t>2.</t>
  </si>
  <si>
    <t xml:space="preserve">Прием  материалов </t>
  </si>
  <si>
    <t>см</t>
  </si>
  <si>
    <t>м/см</t>
  </si>
  <si>
    <t>маш</t>
  </si>
  <si>
    <t xml:space="preserve">Итого </t>
  </si>
  <si>
    <t>Ст-ть работ</t>
  </si>
  <si>
    <t>Транспортные расходы 3%</t>
  </si>
  <si>
    <t>Накладные расходы 16%</t>
  </si>
  <si>
    <t>Ст-ть материалов</t>
  </si>
  <si>
    <t xml:space="preserve">Транспортные расходы </t>
  </si>
  <si>
    <t>ИТОГО по смете, руб</t>
  </si>
  <si>
    <t>ПСР 3%</t>
  </si>
  <si>
    <t>ВСЕГО по смете, руб.</t>
  </si>
  <si>
    <t>п.м.в 1м3</t>
  </si>
  <si>
    <t>политерм</t>
  </si>
  <si>
    <t>Скобы степлерные</t>
  </si>
  <si>
    <t>уп.</t>
  </si>
  <si>
    <t>уп</t>
  </si>
  <si>
    <t>Перфорированная лента LM монтажная 80 мм х 2 мм Х 10 м</t>
  </si>
  <si>
    <t>рул</t>
  </si>
  <si>
    <t>перфолента</t>
  </si>
  <si>
    <t>нагеля</t>
  </si>
  <si>
    <t>Гайка 12мм</t>
  </si>
  <si>
    <t>Шпилька 12мм</t>
  </si>
  <si>
    <t>Шайба усиленная</t>
  </si>
  <si>
    <t>саморезы/лента</t>
  </si>
  <si>
    <t>Соединительная гайка</t>
  </si>
  <si>
    <t>фундамент п.м. 1 этаж до 60м2</t>
  </si>
  <si>
    <t>Работа</t>
  </si>
  <si>
    <t>Гвоздь строительный 120 мм</t>
  </si>
  <si>
    <t>Доска 50х150мм</t>
  </si>
  <si>
    <t>3.</t>
  </si>
  <si>
    <t>Шпилька 12мм 2000мм</t>
  </si>
  <si>
    <t>Шайба 12мм усиленная</t>
  </si>
  <si>
    <t xml:space="preserve">Сборка стенового комплекта </t>
  </si>
  <si>
    <t>Проф. Брус камерной сушки 145х45мм</t>
  </si>
  <si>
    <t>Перфорированная лента LM монтажная 60 мм х 2 мм Х 10 м</t>
  </si>
  <si>
    <t>Брус 50х200мм  камерной сушки</t>
  </si>
  <si>
    <t>Проф. Брус камерной сушки 145х95мм</t>
  </si>
  <si>
    <t>База брус 145х45</t>
  </si>
  <si>
    <t>Брус с отходом 145х45</t>
  </si>
  <si>
    <t>База брус 145х95</t>
  </si>
  <si>
    <t>Брус с отходом 145х95</t>
  </si>
  <si>
    <t xml:space="preserve">фундамент </t>
  </si>
  <si>
    <t>Анкер регулируемый  50x50x4мм  М16 Н-150</t>
  </si>
  <si>
    <t xml:space="preserve">Глухарь 6х80 </t>
  </si>
  <si>
    <t>1.  Монтаж комплекта</t>
  </si>
  <si>
    <t>1. Монтаж комплекта</t>
  </si>
  <si>
    <t>данные</t>
  </si>
  <si>
    <t>цена</t>
  </si>
  <si>
    <t>монтаж бруса</t>
  </si>
  <si>
    <t>монтаж столбов</t>
  </si>
  <si>
    <t>Монтаж балок</t>
  </si>
  <si>
    <t>Разгрузка домокомплета</t>
  </si>
  <si>
    <t xml:space="preserve">Прием комплекта (пиломатериал/домокомплект) </t>
  </si>
  <si>
    <t>Прием  материалов (крепеж/политерм)</t>
  </si>
  <si>
    <t>Монтаж межвенцового утеплителя</t>
  </si>
  <si>
    <t>Монтаж шпилек</t>
  </si>
  <si>
    <t>добавить в админку поле</t>
  </si>
  <si>
    <t>5.</t>
  </si>
  <si>
    <t>4.</t>
  </si>
  <si>
    <t xml:space="preserve">  Прием материалов. Транспортные расходы</t>
  </si>
  <si>
    <t>Доставка домокомплекта а/маш 20 тн</t>
  </si>
  <si>
    <t>Доставка домокомплекта а/маш 10 тн</t>
  </si>
  <si>
    <t>Болт оцинкованный 8х50</t>
  </si>
  <si>
    <t>Болт оцинкованный 8х60</t>
  </si>
  <si>
    <t>Болт оцинкованный 8х100</t>
  </si>
  <si>
    <t>работа</t>
  </si>
  <si>
    <t>ячейки D68 и D69 основные в них поступают данные с админки</t>
  </si>
  <si>
    <t>ВАЖНО</t>
  </si>
  <si>
    <t>ест. Влаж. Листва</t>
  </si>
  <si>
    <t>190х190</t>
  </si>
  <si>
    <t>ест влаж. кедр</t>
  </si>
  <si>
    <r>
      <rPr>
        <b/>
        <sz val="11"/>
        <color rgb="FFFF0000"/>
        <rFont val="Calibri"/>
        <family val="2"/>
        <charset val="204"/>
        <scheme val="minor"/>
      </rPr>
      <t>Основной данные с АДМИНКИ</t>
    </r>
    <r>
      <rPr>
        <sz val="11"/>
        <color theme="1"/>
        <rFont val="Calibri"/>
        <family val="2"/>
        <charset val="204"/>
        <scheme val="minor"/>
      </rPr>
      <t xml:space="preserve">    ест. Влаж</t>
    </r>
  </si>
  <si>
    <t>20 тонн</t>
  </si>
  <si>
    <t>10 тонн</t>
  </si>
  <si>
    <t>Основные данные с АДМИНКИ    ест. Влаж</t>
  </si>
  <si>
    <t>Вместимость в машину</t>
  </si>
  <si>
    <t>ЦЕНА ДОСТАВКИ</t>
  </si>
  <si>
    <t>Маш/20тонн</t>
  </si>
  <si>
    <t>Маш/10 тонн</t>
  </si>
  <si>
    <t>РАСЧЕТ ОБЪЕМА ЛАГ НА ПЕРЕКРЫТИЯ</t>
  </si>
  <si>
    <t>После занесения (корректировки) данных нажать на РАСЧЕТ</t>
  </si>
  <si>
    <t>Показатель</t>
  </si>
  <si>
    <t>Кол-во лаг по этажам, шт.</t>
  </si>
  <si>
    <t>Объем лаг в чистоте, м3</t>
  </si>
  <si>
    <t>Объем досок на лаги, м3</t>
  </si>
  <si>
    <t>Остаток, м3</t>
  </si>
  <si>
    <t>% остатков от общего объема</t>
  </si>
  <si>
    <t>Объем доски</t>
  </si>
  <si>
    <t>Количество</t>
  </si>
  <si>
    <t>Объем всего</t>
  </si>
  <si>
    <t>Тип</t>
  </si>
  <si>
    <t>№ перекрытия</t>
  </si>
  <si>
    <t>Ширина помещения, мм</t>
  </si>
  <si>
    <t>Кол-во лаг из 1 доски, шт.</t>
  </si>
  <si>
    <t>Кол-во лаг из 1-ой доски</t>
  </si>
  <si>
    <t>Кол-во досок на лаги, шт.</t>
  </si>
  <si>
    <t>Объем досок на лаги,м3</t>
  </si>
  <si>
    <t>Объем на 1 лагу</t>
  </si>
  <si>
    <t>А1</t>
  </si>
  <si>
    <t>Перекрытие 14</t>
  </si>
  <si>
    <t>Перекрытие 15</t>
  </si>
  <si>
    <t>Перекрытие 16</t>
  </si>
  <si>
    <t>Перекрытие 17</t>
  </si>
  <si>
    <t>Перекрытие 18</t>
  </si>
  <si>
    <t>Перекрытие 19</t>
  </si>
  <si>
    <t>Перекрытие 20</t>
  </si>
  <si>
    <t>Перекрытие 21</t>
  </si>
  <si>
    <t>Перекрытие 22</t>
  </si>
  <si>
    <t>Перекрытие 23</t>
  </si>
  <si>
    <t>Перекрытие 24</t>
  </si>
  <si>
    <t>Перекрытие 25</t>
  </si>
  <si>
    <t>Перекрытие 26</t>
  </si>
  <si>
    <t>Перекрытие 27</t>
  </si>
  <si>
    <t>Перекрытие 28</t>
  </si>
  <si>
    <t>Перекрытие 29</t>
  </si>
  <si>
    <t>Перекрытие 30</t>
  </si>
  <si>
    <t>Перекрытие 31</t>
  </si>
  <si>
    <t>Перекрытие 32</t>
  </si>
  <si>
    <t>Перекрытие 33</t>
  </si>
  <si>
    <t>Перекрытие 34</t>
  </si>
  <si>
    <t>Перекрытие 35</t>
  </si>
  <si>
    <t>Перекрытие 36</t>
  </si>
  <si>
    <t>Перекрытие 37</t>
  </si>
  <si>
    <t>Перекрытие 38</t>
  </si>
  <si>
    <t>Перекрытие 39</t>
  </si>
  <si>
    <t>Перекрытие 40</t>
  </si>
  <si>
    <t>Перекрытие 41</t>
  </si>
  <si>
    <t>Перекрытие 42</t>
  </si>
  <si>
    <t>Перекрытие 43</t>
  </si>
  <si>
    <t>Перекрытие 44</t>
  </si>
  <si>
    <t>Перекрытие 45</t>
  </si>
  <si>
    <t>Перекрытие 46</t>
  </si>
  <si>
    <t>Перекрытие 47</t>
  </si>
  <si>
    <t>Перекрытие 48</t>
  </si>
  <si>
    <t>Перекрытие 49</t>
  </si>
  <si>
    <t>Перекрытие 50</t>
  </si>
  <si>
    <t>Перекрытие 51</t>
  </si>
  <si>
    <t>Перекрытие 52</t>
  </si>
  <si>
    <t>Перекрытие 53</t>
  </si>
  <si>
    <t>Перекрытие 54</t>
  </si>
  <si>
    <t>Перекрытие 55</t>
  </si>
  <si>
    <t>Перекрытие 56</t>
  </si>
  <si>
    <t>Перекрытие 57</t>
  </si>
  <si>
    <t>Перекрытие 58</t>
  </si>
  <si>
    <t>Перекрытие 59</t>
  </si>
  <si>
    <t>Перекрытие 60</t>
  </si>
  <si>
    <t>Перекрытие 61</t>
  </si>
  <si>
    <t>Перекрытие 62</t>
  </si>
  <si>
    <t>Перекрытие 63</t>
  </si>
  <si>
    <t>Перекрытие 64</t>
  </si>
  <si>
    <t>Перекрытие 65</t>
  </si>
  <si>
    <t>Перекрытие 66</t>
  </si>
  <si>
    <t>Перекрытие 67</t>
  </si>
  <si>
    <t>Перекрытие 68</t>
  </si>
  <si>
    <t>Перекрытие 69</t>
  </si>
  <si>
    <t>Перекрытие 70</t>
  </si>
  <si>
    <t>Перекрытие 71</t>
  </si>
  <si>
    <t>Перекрытие 72</t>
  </si>
  <si>
    <t>Перекрытие 73</t>
  </si>
  <si>
    <t>Перекрытие 74</t>
  </si>
  <si>
    <t>Перекрытие 75</t>
  </si>
  <si>
    <t>Перекрытие 76</t>
  </si>
  <si>
    <t>Перекрытие 77</t>
  </si>
  <si>
    <t>Перекрытие 78</t>
  </si>
  <si>
    <t>Перекрытие 79</t>
  </si>
  <si>
    <t>Перекрытие 80</t>
  </si>
  <si>
    <t>Перекрытие 81</t>
  </si>
  <si>
    <t>Перекрытие 82</t>
  </si>
  <si>
    <t>Перекрытие 83</t>
  </si>
  <si>
    <t>Перекрытие 84</t>
  </si>
  <si>
    <t>Перекрытие 85</t>
  </si>
  <si>
    <t>Перекрытие 86</t>
  </si>
  <si>
    <t>Перекрытие 87</t>
  </si>
  <si>
    <t>Перекрытие 88</t>
  </si>
  <si>
    <t>Перекрытие 89</t>
  </si>
  <si>
    <t>Перекрытие 90</t>
  </si>
  <si>
    <t>Перекрытие 91</t>
  </si>
  <si>
    <t>Перекрытие 92</t>
  </si>
  <si>
    <t>Перекрытие 93</t>
  </si>
  <si>
    <t>Перекрытие 94</t>
  </si>
  <si>
    <t>Перекрытие 95</t>
  </si>
  <si>
    <t>Перекрытие 96</t>
  </si>
  <si>
    <t>Перекрытие 97</t>
  </si>
  <si>
    <t>Перекрытие 98</t>
  </si>
  <si>
    <t>Перекрытие 99</t>
  </si>
  <si>
    <t>Конец таблицы</t>
  </si>
  <si>
    <t>Добавлять строки перед этой строкой</t>
  </si>
  <si>
    <t>Ч</t>
  </si>
  <si>
    <t>ч</t>
  </si>
  <si>
    <t>Проф. Брус камерной сушки 145х145мм</t>
  </si>
  <si>
    <t>ОЦБ Хвоя</t>
  </si>
  <si>
    <t>ОЦБ Листва</t>
  </si>
  <si>
    <t>ОЦБ Кедр</t>
  </si>
  <si>
    <t>D</t>
  </si>
  <si>
    <t>М/20 тонн</t>
  </si>
  <si>
    <t>М/10 тонн</t>
  </si>
  <si>
    <t>Рубка Хвоя</t>
  </si>
  <si>
    <t>Рубка Листва</t>
  </si>
  <si>
    <t>Рубка Кедр</t>
  </si>
  <si>
    <t>Основные данные с АДМИНКИОЦБ Хвоя</t>
  </si>
  <si>
    <t>Основные данные с АДМИНКИ Рубка Хвоя</t>
  </si>
  <si>
    <t>2. Монтаж перекрытия первого этажа</t>
  </si>
  <si>
    <t>2.1 Монтаж перекрытия второго этажа</t>
  </si>
  <si>
    <t>2.2 Монтаж перекрытия третьего этажа</t>
  </si>
  <si>
    <t>2.3 Монтаж перекрытия потолка</t>
  </si>
  <si>
    <t>2.2 Монтаж потолочного перекрытия</t>
  </si>
  <si>
    <t>А/м до 10 тн (пиломатериал/комплектующие)</t>
  </si>
  <si>
    <t>ДЛЯ БРУСА 145Х45   И  145Х95</t>
  </si>
  <si>
    <t>КФ-НТ</t>
  </si>
  <si>
    <t>с отходом</t>
  </si>
  <si>
    <t>Маш 20т / цена</t>
  </si>
  <si>
    <t>Маш 10т / цена</t>
  </si>
  <si>
    <t>Цена 20/тонн</t>
  </si>
  <si>
    <t>Цена 10/тонн</t>
  </si>
  <si>
    <t>Робот доставки</t>
  </si>
  <si>
    <t>Цена доставки</t>
  </si>
  <si>
    <t>до 20 тн</t>
  </si>
  <si>
    <t>до 10 тн</t>
  </si>
  <si>
    <t>Максимальный обьем по договору установлен в м3</t>
  </si>
  <si>
    <t>балки чердак 50х150мм</t>
  </si>
  <si>
    <t>балки 1 и 2й этажи  50х200</t>
  </si>
  <si>
    <t>Брус 50х150мм  камерной сушки</t>
  </si>
  <si>
    <t>Цокольный</t>
  </si>
  <si>
    <t>Первый</t>
  </si>
  <si>
    <t>Второй</t>
  </si>
  <si>
    <t>Третий</t>
  </si>
  <si>
    <t>Чердак</t>
  </si>
  <si>
    <t>с админки данные</t>
  </si>
  <si>
    <t>Максимальный обьем по договору  в м3</t>
  </si>
  <si>
    <t xml:space="preserve">Длина ленты </t>
  </si>
  <si>
    <t>м</t>
  </si>
  <si>
    <t xml:space="preserve">Ширина ленты  </t>
  </si>
  <si>
    <t xml:space="preserve">Высота  цоколя </t>
  </si>
  <si>
    <t>Количество пересечений крест</t>
  </si>
  <si>
    <t>700х300</t>
  </si>
  <si>
    <t>Количество пересечений Т-обр</t>
  </si>
  <si>
    <t>Количество углов Г</t>
  </si>
  <si>
    <t>Количество углов 45 гр</t>
  </si>
  <si>
    <t xml:space="preserve">Толщина песчаного основания </t>
  </si>
  <si>
    <t>Толщина щебеночного основания</t>
  </si>
  <si>
    <t>S пятна застройки</t>
  </si>
  <si>
    <t>АРМИРОВАНИЕ ЛЕНТА</t>
  </si>
  <si>
    <t>ЗЕМЛЯНЫЕ РАБОТЫ</t>
  </si>
  <si>
    <t>РАЗБИВКА И ВЫНОС ОСЕЙ</t>
  </si>
  <si>
    <t>внешний длина арматуры в метрах (1 прут)</t>
  </si>
  <si>
    <t>разработка траншеи</t>
  </si>
  <si>
    <t>внутренний длина арматуры в метрах(1 прут)</t>
  </si>
  <si>
    <t>зачистка дня траншеи</t>
  </si>
  <si>
    <t>внешний количество рядов по ширине</t>
  </si>
  <si>
    <t xml:space="preserve">песок </t>
  </si>
  <si>
    <t>ряд</t>
  </si>
  <si>
    <t>внутренний количество рядов по ширине</t>
  </si>
  <si>
    <t xml:space="preserve">щебень </t>
  </si>
  <si>
    <t xml:space="preserve"> количество горизонтальных рядов по высоте</t>
  </si>
  <si>
    <t>V арматуры</t>
  </si>
  <si>
    <t>геотекстиль</t>
  </si>
  <si>
    <t>тн</t>
  </si>
  <si>
    <t>армирование ленты д.12 мм А500С</t>
  </si>
  <si>
    <t>S/РУЛ/ ШИРИНА</t>
  </si>
  <si>
    <t>количество деталей крест   шт/длина</t>
  </si>
  <si>
    <t xml:space="preserve">ОПАЛУБКА </t>
  </si>
  <si>
    <t>Деталь д.12 мм А500С</t>
  </si>
  <si>
    <t>доска S/вер/раскос/длина</t>
  </si>
  <si>
    <t>количество деталей Т шт/длина</t>
  </si>
  <si>
    <t>внешняя</t>
  </si>
  <si>
    <t>L/шт</t>
  </si>
  <si>
    <t>шпилька к-т 2 гайки 2 шайбы  мм.</t>
  </si>
  <si>
    <t>внутренняя</t>
  </si>
  <si>
    <t>количество деталей угол 90   шт/длина</t>
  </si>
  <si>
    <t>труба д.15 мм</t>
  </si>
  <si>
    <t>пленка</t>
  </si>
  <si>
    <t>количество деталей угол 45   шт/длина</t>
  </si>
  <si>
    <t>гвозди 100 мм</t>
  </si>
  <si>
    <t>саморез 4,8х100</t>
  </si>
  <si>
    <t>количество хомутов   шт/длина</t>
  </si>
  <si>
    <t>Хомут А240 8 мм</t>
  </si>
  <si>
    <t>внешние</t>
  </si>
  <si>
    <t>продухи</t>
  </si>
  <si>
    <t>внутренние</t>
  </si>
  <si>
    <t>количество вертикальной шаг 600 мм шт/ м.п.</t>
  </si>
  <si>
    <t>ГИДРОИЗОЛЯЦИЯ ГОРИЗОНТАЛЬНАЯ</t>
  </si>
  <si>
    <t>Вертикаль д.12 мм А500С ШАГ 600</t>
  </si>
  <si>
    <t>Проволока вязальная</t>
  </si>
  <si>
    <t>Проволока ВР-1</t>
  </si>
  <si>
    <t>ведро 20 л</t>
  </si>
  <si>
    <t>БЕТОН</t>
  </si>
  <si>
    <t>Транспорт</t>
  </si>
  <si>
    <t>Транспорт 8 тн</t>
  </si>
  <si>
    <t>Металл</t>
  </si>
  <si>
    <t>Дрова</t>
  </si>
  <si>
    <t>К-кт</t>
  </si>
  <si>
    <t>МЕХ</t>
  </si>
  <si>
    <t>Б/насос</t>
  </si>
  <si>
    <t>сечение фундамента в мм. ВхШ</t>
  </si>
  <si>
    <t>сечение фундамента с учетом перепада грунта в мм. ВхШ</t>
  </si>
  <si>
    <t>ед изм</t>
  </si>
  <si>
    <t>Цена</t>
  </si>
  <si>
    <t>кол-во</t>
  </si>
  <si>
    <t>Песок карьерный</t>
  </si>
  <si>
    <t>Геотекстиль плотность 160 г/м2 ,50 м.п. шириной мм.</t>
  </si>
  <si>
    <t>Щебень фр 20х40</t>
  </si>
  <si>
    <t>Доска 50х150 обр</t>
  </si>
  <si>
    <t>Шпилька М12  2000 мм</t>
  </si>
  <si>
    <t>Шайба усиленная  М12</t>
  </si>
  <si>
    <t>Гайка М12</t>
  </si>
  <si>
    <t>Гильза (Трубка изолирующая)</t>
  </si>
  <si>
    <t>Гвоздь строительный  100 мм</t>
  </si>
  <si>
    <t>Саморез черный по дереву усиленный 96 мм</t>
  </si>
  <si>
    <t>Пленка п/э 200 мкр</t>
  </si>
  <si>
    <t>Арматура д.12 мм  А500С</t>
  </si>
  <si>
    <t>Арматура д.8 мм  А240</t>
  </si>
  <si>
    <t xml:space="preserve">Проволока вязальная </t>
  </si>
  <si>
    <t>Бетон В 25</t>
  </si>
  <si>
    <t>Опорная площадка "Стульчик"</t>
  </si>
  <si>
    <t>Труба SN4 д.160 мм дл.2000 мм</t>
  </si>
  <si>
    <t>Гидроизол</t>
  </si>
  <si>
    <t>Мастика №24 мгтн (20 кг)</t>
  </si>
  <si>
    <t>ведро</t>
  </si>
  <si>
    <t>Расходные материалы</t>
  </si>
  <si>
    <t>диск отрезной д 125 мм</t>
  </si>
  <si>
    <t>собка для степлера 1000 шт</t>
  </si>
  <si>
    <t>пачка</t>
  </si>
  <si>
    <t>нитка разметочная 150 м</t>
  </si>
  <si>
    <t xml:space="preserve">бухта </t>
  </si>
  <si>
    <t>Аренда а/м до 8 тн</t>
  </si>
  <si>
    <t>Аренда JSB</t>
  </si>
  <si>
    <t>Аренда бетононасоса</t>
  </si>
  <si>
    <t>РАБОТЫ</t>
  </si>
  <si>
    <t>Разбивка  площадки с выносом осей</t>
  </si>
  <si>
    <t>Разработка траншеи в ручную</t>
  </si>
  <si>
    <t>Зачистка дна траншеи вручную</t>
  </si>
  <si>
    <t>Устройство песчаного основания с трамбоакой</t>
  </si>
  <si>
    <t>Укладка геотекстиля</t>
  </si>
  <si>
    <t>Устройство щебеночного основания с трамбовкой</t>
  </si>
  <si>
    <t>Монтаж опалубки</t>
  </si>
  <si>
    <t xml:space="preserve">Устройство армокаркаса монолитного ростверка </t>
  </si>
  <si>
    <t>Изготовление детали "хомут"</t>
  </si>
  <si>
    <t>Изготовление Д3 "УГОЛ"</t>
  </si>
  <si>
    <t>Изготовление Д4 "УГОЛ 45"</t>
  </si>
  <si>
    <t>Изготовление Д5 "крест"</t>
  </si>
  <si>
    <t>Изготовление Д6 "Т"</t>
  </si>
  <si>
    <t>Изготовление Д1 "Стойка"</t>
  </si>
  <si>
    <t>Монтаж продухов</t>
  </si>
  <si>
    <t>Бетонирование монолитного ростверка</t>
  </si>
  <si>
    <t>Горизонтальная гидроизоляция</t>
  </si>
  <si>
    <t>Прием матералов на фундамент</t>
  </si>
  <si>
    <t>смена</t>
  </si>
  <si>
    <t>Приложение к договору № __</t>
  </si>
  <si>
    <t>к Договору подряда № ______  от "___"_______ 202__года</t>
  </si>
  <si>
    <t xml:space="preserve">Подрядчик:  ______________ </t>
  </si>
  <si>
    <t xml:space="preserve">_________________________  /_____________/                     </t>
  </si>
  <si>
    <t>Заказчик: __________________________/______________/</t>
  </si>
  <si>
    <r>
      <t xml:space="preserve">     </t>
    </r>
    <r>
      <rPr>
        <u/>
        <sz val="11"/>
        <rFont val="Times New Roman"/>
        <family val="1"/>
        <charset val="204"/>
      </rPr>
      <t xml:space="preserve">"_____" _________ 202__ г. </t>
    </r>
    <r>
      <rPr>
        <sz val="11"/>
        <rFont val="Times New Roman"/>
        <family val="1"/>
        <charset val="204"/>
      </rPr>
      <t xml:space="preserve">   </t>
    </r>
  </si>
  <si>
    <r>
      <t xml:space="preserve">    </t>
    </r>
    <r>
      <rPr>
        <u/>
        <sz val="11"/>
        <rFont val="Times New Roman"/>
        <family val="1"/>
        <charset val="204"/>
      </rPr>
      <t xml:space="preserve"> "___" ________ 202__ г.    </t>
    </r>
  </si>
  <si>
    <t xml:space="preserve">                ЛОКАЛЬНАЯ СМЕТА </t>
  </si>
  <si>
    <t xml:space="preserve">                           Раздел №1 Строительно-монтажные работы по устройству "ленточного фундамента" </t>
  </si>
  <si>
    <t>1. Земляные и подготовительные работы</t>
  </si>
  <si>
    <t>Расходный материал</t>
  </si>
  <si>
    <t>к-кт</t>
  </si>
  <si>
    <t xml:space="preserve">Разработка траншеи в ручную ширина ленты + 100мм с перемещением до 10 м без вывоза </t>
  </si>
  <si>
    <t xml:space="preserve">Устройство песчаного основания ширина ленты + 100мм., толщиной  мм </t>
  </si>
  <si>
    <t xml:space="preserve">Укладка геотекстиля плотность 160  </t>
  </si>
  <si>
    <t xml:space="preserve">м2 </t>
  </si>
  <si>
    <t xml:space="preserve">Устройство щебеночного основания ширина ленты + 100мм толщ мм </t>
  </si>
  <si>
    <t xml:space="preserve">2. Устройство фундамента </t>
  </si>
  <si>
    <t>2.1.</t>
  </si>
  <si>
    <t>2.2.</t>
  </si>
  <si>
    <t>2.3.</t>
  </si>
  <si>
    <t>2.4.</t>
  </si>
  <si>
    <t>2.5.</t>
  </si>
  <si>
    <t>Труба SN4 д.160 мм 2000 мм</t>
  </si>
  <si>
    <t>пач.</t>
  </si>
  <si>
    <t>бух</t>
  </si>
  <si>
    <t>Непердвиденные 3,5%</t>
  </si>
  <si>
    <t>Материал</t>
  </si>
  <si>
    <t>Транспортные расходы</t>
  </si>
  <si>
    <t xml:space="preserve">  Прием материалов. </t>
  </si>
  <si>
    <t>Доска 50х100 обрезная</t>
  </si>
  <si>
    <t>Для объектов Кам Сушка и ПБКЛ</t>
  </si>
  <si>
    <t>2.3 Монтаж потолочного перекрытия</t>
  </si>
  <si>
    <t>Брус 50х200мм Кам. Сушка</t>
  </si>
  <si>
    <t>Для объектов ест. Влажности всех</t>
  </si>
  <si>
    <t>Брус 50х200мм Ест. влажность</t>
  </si>
  <si>
    <t>Брус 50х200мм  ест. Влажность</t>
  </si>
  <si>
    <t>цена брус</t>
  </si>
  <si>
    <t>цена полит.</t>
  </si>
  <si>
    <t>Углы Г</t>
  </si>
  <si>
    <t>Углы Т</t>
  </si>
  <si>
    <t>Углы 45</t>
  </si>
  <si>
    <t>Угл +</t>
  </si>
  <si>
    <t>скоб. Степл.</t>
  </si>
  <si>
    <t>скобы степл</t>
  </si>
  <si>
    <t>Проф. Брус камерной сушки 145х195мм</t>
  </si>
  <si>
    <t>Проф. Брус естеств. влажности 145х140мм</t>
  </si>
  <si>
    <t>Проф. Брус камерной сушки 195х195мм</t>
  </si>
  <si>
    <t>монтаж бруса  ест. Влаж</t>
  </si>
  <si>
    <t>Проф. Брус естеств. влажности 145х190мм</t>
  </si>
  <si>
    <t>Проф. Брус естеств. влажности 195х190мм</t>
  </si>
  <si>
    <t>Проф. Брус Лиственница естеств. влажности 195х190мм</t>
  </si>
  <si>
    <t>Проф. Брус Лиственница естеств. влажности 145х140мм</t>
  </si>
  <si>
    <t>Проф. Брус Лиственница естеств. влажности 145х190мм</t>
  </si>
  <si>
    <t>Проф. Брус Кедр естеств. влажности 195х190мм</t>
  </si>
  <si>
    <t>Проф. Брус Кедр естеств. влажности 145х140мм</t>
  </si>
  <si>
    <t>Проф. Брус Кедр естеств. влажности 145х190мм</t>
  </si>
  <si>
    <t>Клееный проф. Брус 145х160мм</t>
  </si>
  <si>
    <t>в админк</t>
  </si>
  <si>
    <t>в админку</t>
  </si>
  <si>
    <t>монтаж бруса  - ПБКЛ</t>
  </si>
  <si>
    <t xml:space="preserve">монтаж бруса ПБКС </t>
  </si>
  <si>
    <t>Клееный проф. Брус 145х200мм</t>
  </si>
  <si>
    <t>Клееный проф. Брус 190х160мм</t>
  </si>
  <si>
    <t>Клееный проф. Брус 190х200мм</t>
  </si>
  <si>
    <t>Клееный проф. Брус 190х240мм</t>
  </si>
  <si>
    <t>Клееный проф. Брус 145х240мм</t>
  </si>
  <si>
    <t>Клееный проф. Брус 230х160мм</t>
  </si>
  <si>
    <t>Клееный проф. Брус 230х200мм</t>
  </si>
  <si>
    <t>Клееный проф. Брус 230х240мм</t>
  </si>
  <si>
    <t>Клееный проф. Брус 250х160мм</t>
  </si>
  <si>
    <t>Клееный проф. Брус 250х200мм</t>
  </si>
  <si>
    <t>Клееный проф. Брус 280х200мм</t>
  </si>
  <si>
    <t>Оцилиндрованное бревно (ель/сосна) D 180мм</t>
  </si>
  <si>
    <t>Брус 50х200мм ест. Влажность</t>
  </si>
  <si>
    <t>База бревно 200мм</t>
  </si>
  <si>
    <t>Бревно с отходом</t>
  </si>
  <si>
    <t>ячейки D3 и D4 основные в них поступают данные с админки</t>
  </si>
  <si>
    <t>Монтаж бревна 200мм</t>
  </si>
  <si>
    <t>Монтаж бревна 220мм</t>
  </si>
  <si>
    <t>Монтаж бревна 240мм</t>
  </si>
  <si>
    <t>Монтаж бревна 260мм</t>
  </si>
  <si>
    <t>Монтаж бревна 280мм</t>
  </si>
  <si>
    <t>Монтаж бревна 300мм</t>
  </si>
  <si>
    <t>ХВ Монтаж бревна 180мм</t>
  </si>
  <si>
    <t>ХВ Монтаж бревна 200мм</t>
  </si>
  <si>
    <t>ХВ Монтаж бревна 220мм</t>
  </si>
  <si>
    <t>ХВ Монтаж бревна 240мм</t>
  </si>
  <si>
    <t>ХВ Монтаж бревна 260мм</t>
  </si>
  <si>
    <t>ХВ Монтаж бревна 280мм</t>
  </si>
  <si>
    <t>ХВ Монтаж бревна 300мм</t>
  </si>
  <si>
    <t>ОЦБ Ель/сосна</t>
  </si>
  <si>
    <t>Политерм 100/15/300</t>
  </si>
  <si>
    <t>Политерм 110/15/300</t>
  </si>
  <si>
    <t>Политерм 120/15/300</t>
  </si>
  <si>
    <t>Политерм 130/15/300</t>
  </si>
  <si>
    <t>Политерм 140/15/300</t>
  </si>
  <si>
    <t>Политерм 150/15/300</t>
  </si>
  <si>
    <t>степл. Ск</t>
  </si>
  <si>
    <t>Политерм 90/15/300</t>
  </si>
  <si>
    <t>Автокран монтаж</t>
  </si>
  <si>
    <t>авт/см</t>
  </si>
  <si>
    <t>Автокран</t>
  </si>
  <si>
    <t>Оцилиндрованное бревно (ель/сосна) D 200мм</t>
  </si>
  <si>
    <t>Оцилиндрованное бревно (ель/сосна) D 220мм</t>
  </si>
  <si>
    <t>Цена бревно</t>
  </si>
  <si>
    <t>Оцилиндрованное бревно (ель/сосна) D 240мм</t>
  </si>
  <si>
    <t>Оцилиндрованное бревно (ель/сосна) D 260мм</t>
  </si>
  <si>
    <t>Оцилиндрованное бревно (ель/сосна) D 280мм</t>
  </si>
  <si>
    <t>Оцилиндрованное бревно (ель/сосна) D 300мм</t>
  </si>
  <si>
    <t>Оцилиндрованное бревно (лиственница) D 300мм</t>
  </si>
  <si>
    <t>Оцилиндрованное бревно (лиственница) D 200мм</t>
  </si>
  <si>
    <t>Оцилиндрованное бревно (лиственница) D 220мм</t>
  </si>
  <si>
    <t>Оцилиндрованное бревно (лиственница) D 240мм</t>
  </si>
  <si>
    <t>Оцилиндрованное бревно (лиственница) D 260мм</t>
  </si>
  <si>
    <t>Оцилиндрованное бревно (кедр) D 200мм</t>
  </si>
  <si>
    <t>Оцилиндрованное бревно (кедр) D 220мм</t>
  </si>
  <si>
    <t>Оцилиндрованное бревно (кедр) D 240мм</t>
  </si>
  <si>
    <t>Оцилиндрованное бревно (кедр) D 260мм</t>
  </si>
  <si>
    <t>Оцилиндрованное бревно (кедр) D 280мм</t>
  </si>
  <si>
    <t>Оцилиндрованное бревно (кедр) D 300мм</t>
  </si>
  <si>
    <t>Листы железа</t>
  </si>
  <si>
    <t>д/ш/м2</t>
  </si>
  <si>
    <t>Кровля под рубероид</t>
  </si>
  <si>
    <t>Кровля мягкая</t>
  </si>
  <si>
    <t>Площадь кровли</t>
  </si>
  <si>
    <t>Доска 50х200 ест. Влажность</t>
  </si>
  <si>
    <t>Гибкая черепица "Shnglas" коллекция _________</t>
  </si>
  <si>
    <t>упак</t>
  </si>
  <si>
    <t>Доска обр 25х150 мм ест. влажность</t>
  </si>
  <si>
    <t xml:space="preserve">Подкладочный ковер </t>
  </si>
  <si>
    <t>Рубероид кровельный</t>
  </si>
  <si>
    <t>Конек карниз</t>
  </si>
  <si>
    <t>Рейка 25х50</t>
  </si>
  <si>
    <t>Мастика битумная 3.6 кг</t>
  </si>
  <si>
    <t>банк</t>
  </si>
  <si>
    <t>Монтаж прижимной рейки</t>
  </si>
  <si>
    <t>Мастика битумная12 кг</t>
  </si>
  <si>
    <t xml:space="preserve">Конек широкий </t>
  </si>
  <si>
    <t>Разгрузка рубероид крепеж</t>
  </si>
  <si>
    <t>компл</t>
  </si>
  <si>
    <t>Конек односкатной крыши</t>
  </si>
  <si>
    <t>Доставка комплектующих авт. До 3т.</t>
  </si>
  <si>
    <t>Планка ветровая</t>
  </si>
  <si>
    <t>Карнизная планка</t>
  </si>
  <si>
    <t xml:space="preserve">Капельники </t>
  </si>
  <si>
    <t>Ендова</t>
  </si>
  <si>
    <t>Гвоздь кровельный</t>
  </si>
  <si>
    <t>Саморез 70</t>
  </si>
  <si>
    <t>Упаковка</t>
  </si>
  <si>
    <t>Изоспан АМ 70м2</t>
  </si>
  <si>
    <t>Изоспан АМ 35м2</t>
  </si>
  <si>
    <t>Лента клеещая двухсторонняя</t>
  </si>
  <si>
    <t>Роквул скандик</t>
  </si>
  <si>
    <t>Изоспан В 70м2</t>
  </si>
  <si>
    <t>Изоспан В 35м2</t>
  </si>
  <si>
    <t>Кровля металочерепица</t>
  </si>
  <si>
    <t>Примыкание угловое</t>
  </si>
  <si>
    <t>Примыкание накладное</t>
  </si>
  <si>
    <t>Металлочерепица 0,5мм</t>
  </si>
  <si>
    <t>OSB-3 12 мм</t>
  </si>
  <si>
    <t>лист</t>
  </si>
  <si>
    <t>Конек широкий</t>
  </si>
  <si>
    <t>Саморез 35мм</t>
  </si>
  <si>
    <t>Аэратор конька</t>
  </si>
  <si>
    <t>Аэратор скатный</t>
  </si>
  <si>
    <t>Стропила 50х200</t>
  </si>
  <si>
    <t>Капельники</t>
  </si>
  <si>
    <t>Брусок 50х50х3000мм</t>
  </si>
  <si>
    <t>Ендова нижняя</t>
  </si>
  <si>
    <t>Гвоздь 120мм</t>
  </si>
  <si>
    <t>Ендова верхняя</t>
  </si>
  <si>
    <t>Доска кам. Сушки 25х150мм</t>
  </si>
  <si>
    <t>Саморез 35</t>
  </si>
  <si>
    <t>Саморез 3.8х70мм</t>
  </si>
  <si>
    <t>Соеденительная пластина</t>
  </si>
  <si>
    <t>Гайки 12мм</t>
  </si>
  <si>
    <t>Шайбы 12мм усиленные</t>
  </si>
  <si>
    <t>Лента клеещая двухстороняя</t>
  </si>
  <si>
    <t>уплотнительная лента для контробрешетки 60мм</t>
  </si>
  <si>
    <t>Скользячки</t>
  </si>
  <si>
    <t xml:space="preserve">Саморез 4,2х90 мм </t>
  </si>
  <si>
    <t>Саморез 51 на скользячки</t>
  </si>
  <si>
    <t>Лента вентиляционная карнизная  0.1х5м</t>
  </si>
  <si>
    <t xml:space="preserve">Огнебиозащита Сенеж Проф 23кг </t>
  </si>
  <si>
    <t>Доставка пиломатериал до 10т.</t>
  </si>
  <si>
    <t>Объем стропил</t>
  </si>
  <si>
    <t>Доставка кровля/утепдитель/водосток/комплектующие</t>
  </si>
  <si>
    <t>Доска 25х150мм</t>
  </si>
  <si>
    <t>Монтаж пароизоляционной мембраны</t>
  </si>
  <si>
    <t>Монтаж утеплителя 150мм</t>
  </si>
  <si>
    <t>Монтаж утеплителя 200мм</t>
  </si>
  <si>
    <t>Монтаж гидроизоляционной мембраны</t>
  </si>
  <si>
    <t>Монтаж стропила 200/150мм</t>
  </si>
  <si>
    <t>Монтаж контробрешетки</t>
  </si>
  <si>
    <t>Монтаж уплотнительной ленты</t>
  </si>
  <si>
    <t>Монтаж обрешетки</t>
  </si>
  <si>
    <t>Обработка септиком</t>
  </si>
  <si>
    <t xml:space="preserve">Монтаж кровельного покрытия </t>
  </si>
  <si>
    <t>Монтаж подкладочного ковра</t>
  </si>
  <si>
    <t>Монтаж водостока труба</t>
  </si>
  <si>
    <t>Монтаж водостока желоб</t>
  </si>
  <si>
    <t>Прием  пиломатериалов для кровли</t>
  </si>
  <si>
    <t>Прием  материалов кровли</t>
  </si>
  <si>
    <t>Водосток пластиковый</t>
  </si>
  <si>
    <t>Желоб 3м</t>
  </si>
  <si>
    <t>Соединитель желоба</t>
  </si>
  <si>
    <t>Кронштейн желоба</t>
  </si>
  <si>
    <t>Заглушка</t>
  </si>
  <si>
    <t>Воронка</t>
  </si>
  <si>
    <t>Колено</t>
  </si>
  <si>
    <t>Отвод</t>
  </si>
  <si>
    <t>Труба 3м</t>
  </si>
  <si>
    <t>Труба 1м</t>
  </si>
  <si>
    <t>Хомут трубы</t>
  </si>
  <si>
    <t>Муфта трубы</t>
  </si>
  <si>
    <r>
      <t>Угол желоба 90</t>
    </r>
    <r>
      <rPr>
        <sz val="11"/>
        <rFont val="Calibri"/>
        <family val="2"/>
        <charset val="204"/>
      </rPr>
      <t>°</t>
    </r>
  </si>
  <si>
    <r>
      <t>Угол желоба 135</t>
    </r>
    <r>
      <rPr>
        <sz val="11"/>
        <rFont val="Calibri"/>
        <family val="2"/>
        <charset val="204"/>
      </rPr>
      <t>°</t>
    </r>
  </si>
  <si>
    <t>Водосток металлический</t>
  </si>
  <si>
    <t>Угол желоба 90° внутренний</t>
  </si>
  <si>
    <t>Угол желоба 90° внешний</t>
  </si>
  <si>
    <t>Угол желоба наружный 135°</t>
  </si>
  <si>
    <t>Кровля мягкая материал/работа</t>
  </si>
  <si>
    <t>Название</t>
  </si>
  <si>
    <t>парам</t>
  </si>
  <si>
    <t>колич</t>
  </si>
  <si>
    <t>Роквул скандик при 200мм утепление</t>
  </si>
  <si>
    <t>Саморез 35мм в 1 кг 550шт 32шт на лист</t>
  </si>
  <si>
    <t>Стропила 50х150мм</t>
  </si>
  <si>
    <t>Стропила 50х200мм</t>
  </si>
  <si>
    <t>Саморез 4,2х90 мм 131шт в кг</t>
  </si>
  <si>
    <t>Гвоздь 120мм в 1кг - 87 штук</t>
  </si>
  <si>
    <t>Саморез 3.8х70мм   в 1кг - 248 штук</t>
  </si>
  <si>
    <t xml:space="preserve">Огнебиозащита Сенеж Проф 23кг         300 гр/м² для II группы </t>
  </si>
  <si>
    <t>стропила 50х200мм - м2</t>
  </si>
  <si>
    <t>Брусок 50х50х3000мм - м2</t>
  </si>
  <si>
    <t>Доска 25х150мм - м2</t>
  </si>
  <si>
    <t>тон.</t>
  </si>
  <si>
    <t>Роквул скандик при 150мм утепление</t>
  </si>
  <si>
    <t>Работа кровля</t>
  </si>
  <si>
    <t>Доска обр 25 мм</t>
  </si>
  <si>
    <t>Брус 50х200 естеств влаж</t>
  </si>
  <si>
    <t xml:space="preserve">Саморезы для обрешетки </t>
  </si>
  <si>
    <t>Саморезы для рейки</t>
  </si>
  <si>
    <t>Саморез 51 мм для скользячек</t>
  </si>
  <si>
    <t>Доставка пиломатериал авт. до 10т.</t>
  </si>
  <si>
    <t>Доставка комплектующих</t>
  </si>
  <si>
    <t>к Договору подряда № _______           от "  "              202_ года</t>
  </si>
  <si>
    <t xml:space="preserve">_________________________  /                       /                     </t>
  </si>
  <si>
    <t>__________________________/   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</si>
  <si>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                       202_ г. </t>
    </r>
    <r>
      <rPr>
        <sz val="11"/>
        <rFont val="Times New Roman"/>
        <family val="1"/>
        <charset val="204"/>
      </rPr>
      <t xml:space="preserve">   </t>
    </r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</si>
  <si>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    202_ г.    </t>
    </r>
  </si>
  <si>
    <t xml:space="preserve">Раздел -  Строительно-монтажные работы по кровле </t>
  </si>
  <si>
    <t>1. Стропильная система</t>
  </si>
  <si>
    <t>Установка стропильных ног</t>
  </si>
  <si>
    <t>Брус 50х200мм камерной сушки</t>
  </si>
  <si>
    <t>Антисептирование всего пиломатериала (стропила/контробрешетка/обрешетка)</t>
  </si>
  <si>
    <t>Огнебиозащита Сенеж Проф 23кг</t>
  </si>
  <si>
    <t xml:space="preserve">2. Устройство основания кровли </t>
  </si>
  <si>
    <t>Брусок 50х50х3000мм кам. Сушки</t>
  </si>
  <si>
    <t>Гвозди 120мм</t>
  </si>
  <si>
    <t>Уплотнительная лента для контробрешетки 60мм</t>
  </si>
  <si>
    <t>6.</t>
  </si>
  <si>
    <t>Монтаж OSB-3 12 мм</t>
  </si>
  <si>
    <t>Доска обрезная 25х150 мм</t>
  </si>
  <si>
    <t xml:space="preserve">Скользящая опора для стропил 160х90х40х2 </t>
  </si>
  <si>
    <t xml:space="preserve">Саморез 51мм </t>
  </si>
  <si>
    <t>Лента вентиляционная карнизная  100х5000</t>
  </si>
  <si>
    <t>3. Монтаж кровельного покрытия</t>
  </si>
  <si>
    <t xml:space="preserve">  Водосток пластиковый</t>
  </si>
  <si>
    <t>Монтаж желоба</t>
  </si>
  <si>
    <t>Монтаж трубы</t>
  </si>
  <si>
    <t xml:space="preserve"> Водосток металлический</t>
  </si>
  <si>
    <t>Доставка пиломатериала авт. до 10т.</t>
  </si>
  <si>
    <t>Доставка кровли и комплектующих</t>
  </si>
  <si>
    <t>Накладные расходы 10%</t>
  </si>
  <si>
    <t>ИТОГО по смете</t>
  </si>
  <si>
    <t>ВСЕГО по смете</t>
  </si>
  <si>
    <t xml:space="preserve">Брус обрезной кам. Сушки 50х200мм </t>
  </si>
  <si>
    <t>Доска обрезная кам. Сушки 25х150 мм</t>
  </si>
  <si>
    <t>Металлочерепица Grand Line серия Classic 0,5</t>
  </si>
  <si>
    <t>Раздел -  Строительно-монтажные работы по кровле под рубероид</t>
  </si>
  <si>
    <t>Монтаж временного кровельного покрытия</t>
  </si>
  <si>
    <t>Разгрузка (пиломатериал)</t>
  </si>
  <si>
    <t>Разгрузка комплетующие</t>
  </si>
  <si>
    <t>Монтаж обрешетки сплошной настил</t>
  </si>
  <si>
    <t>дл./шт.</t>
  </si>
  <si>
    <r>
      <t xml:space="preserve">Прием  материалов кровли </t>
    </r>
    <r>
      <rPr>
        <b/>
        <sz val="11"/>
        <color rgb="FFFF0000"/>
        <rFont val="Arial"/>
        <family val="2"/>
        <charset val="204"/>
      </rPr>
      <t>мягкая</t>
    </r>
  </si>
  <si>
    <r>
      <t xml:space="preserve">Прием  материалов кровли </t>
    </r>
    <r>
      <rPr>
        <b/>
        <sz val="11"/>
        <color rgb="FFFF0000"/>
        <rFont val="Arial"/>
        <family val="2"/>
        <charset val="204"/>
      </rPr>
      <t>железо</t>
    </r>
  </si>
  <si>
    <t>утепл вес</t>
  </si>
  <si>
    <t>ковер</t>
  </si>
  <si>
    <t>ОСБ</t>
  </si>
  <si>
    <t>огнебио</t>
  </si>
  <si>
    <t>Доставка пиломатериала до  10 тн.</t>
  </si>
  <si>
    <t>Доставка кровли и комплектующих до 10 тн.</t>
  </si>
  <si>
    <t>маст 3,6кг</t>
  </si>
  <si>
    <t>маст 12кг</t>
  </si>
  <si>
    <t>мягкая крыш</t>
  </si>
  <si>
    <t>металлоч</t>
  </si>
  <si>
    <t>не трогать!</t>
  </si>
  <si>
    <t>ФУНДАМЕНТ ЛЕНТОЧНЫЙ И ЛЕНТОЧНЫЙ С РОСТВЕРКОМ</t>
  </si>
  <si>
    <t>работы</t>
  </si>
  <si>
    <t>Труба А/Ц БНТ 300 5000 мм</t>
  </si>
  <si>
    <t>Количество свай</t>
  </si>
  <si>
    <t>НЕ ТРОГАТЬ!!!!!!</t>
  </si>
  <si>
    <t>ПОЛЯ ДЛЯ ВВОДА ДАННЫХ!!!!</t>
  </si>
  <si>
    <t>Горизонтальная гидроизоляция 1 слой</t>
  </si>
  <si>
    <t>ДАННЫЕ С АДМИНКИ!!!</t>
  </si>
  <si>
    <t>Устройство скважин под сваи</t>
  </si>
  <si>
    <t>Расходный материал на разбивку площадки</t>
  </si>
  <si>
    <t>Монтаж Трубы а/ц д. 300</t>
  </si>
  <si>
    <t xml:space="preserve"> </t>
  </si>
  <si>
    <t>Устройство армокаркаса свай</t>
  </si>
  <si>
    <t>Укладка бетонной смеси - сваи</t>
  </si>
  <si>
    <t>Непредвиденные 3,5%</t>
  </si>
  <si>
    <t>ФУНДАМЕНТ ВИНТОВОЙ И ЖБ СВАИ</t>
  </si>
  <si>
    <t>Винтовой</t>
  </si>
  <si>
    <t>ЖБ</t>
  </si>
  <si>
    <t>площадь</t>
  </si>
  <si>
    <t>Погонные метры</t>
  </si>
  <si>
    <t>база</t>
  </si>
  <si>
    <t>объем бруса 200х200</t>
  </si>
  <si>
    <t>объем бруса 150х150</t>
  </si>
  <si>
    <t>для дачных</t>
  </si>
  <si>
    <t>МАТЕРИАЛ</t>
  </si>
  <si>
    <t>Свая СВС 89/2500</t>
  </si>
  <si>
    <t>дачные</t>
  </si>
  <si>
    <t>ЖБ Свая С30. 15-3</t>
  </si>
  <si>
    <t>Свая СВС 89/3000</t>
  </si>
  <si>
    <t>ЖБ Свая С30. 20-3</t>
  </si>
  <si>
    <t>Свая СВС 108/2500</t>
  </si>
  <si>
    <t>ЖБ Свая С40. 15-3</t>
  </si>
  <si>
    <t>Свая СВС 108/3000</t>
  </si>
  <si>
    <t>ЖБ Свая С40. 20-3</t>
  </si>
  <si>
    <t>Оголовки</t>
  </si>
  <si>
    <t>Шуруп-болт (глухарь) 8х100</t>
  </si>
  <si>
    <t>Пескобетон  М300, 40 кг</t>
  </si>
  <si>
    <t>Брус 200200мм</t>
  </si>
  <si>
    <t>доставка свай С30. 15-3</t>
  </si>
  <si>
    <t>доставка свай С30. 20-3</t>
  </si>
  <si>
    <t>гвоздь-100мм</t>
  </si>
  <si>
    <t>доставка свай С40. 15-3</t>
  </si>
  <si>
    <t>Брус 50х150/200мм</t>
  </si>
  <si>
    <t>доставка свай С40. 20-3</t>
  </si>
  <si>
    <t>Доставка свай 108/2500</t>
  </si>
  <si>
    <t>Доставка свай 108/3000</t>
  </si>
  <si>
    <t>Доставка свай 89/2500</t>
  </si>
  <si>
    <t>Доставка свай 89/3000</t>
  </si>
  <si>
    <t>Монтаж свай С30. 15-3</t>
  </si>
  <si>
    <t>Саморез 4.8х89мм</t>
  </si>
  <si>
    <t>Уголок усиленный 90х90х2,0мм</t>
  </si>
  <si>
    <t>Монтаж свай С30. 20-3</t>
  </si>
  <si>
    <t>Монтаж свай 89/2500</t>
  </si>
  <si>
    <t>Монтаж оголовков</t>
  </si>
  <si>
    <t>Монтаж свай 89/3000</t>
  </si>
  <si>
    <t xml:space="preserve">Монтаж бруса </t>
  </si>
  <si>
    <t>Монтаж свай 108/2500</t>
  </si>
  <si>
    <t>Разгрузка бруса</t>
  </si>
  <si>
    <t>Монтаж свай 108/3000</t>
  </si>
  <si>
    <t>Разгрузка пескобетона</t>
  </si>
  <si>
    <t>МОНОЛИТНАЯ ПЛИТА</t>
  </si>
  <si>
    <t>Блок</t>
  </si>
  <si>
    <t>Наименовани позиции</t>
  </si>
  <si>
    <t>Данные</t>
  </si>
  <si>
    <t>Саморез 4,8х100 черный по дереву</t>
  </si>
  <si>
    <t>Разработка котлована без вывоза грунта</t>
  </si>
  <si>
    <r>
      <t xml:space="preserve">Вид строения дерево/камень </t>
    </r>
    <r>
      <rPr>
        <b/>
        <sz val="12"/>
        <color theme="1"/>
        <rFont val="Calibri"/>
        <family val="2"/>
        <charset val="204"/>
        <scheme val="minor"/>
      </rPr>
      <t>1/0</t>
    </r>
  </si>
  <si>
    <t>Арматура д.14 мм  А500С</t>
  </si>
  <si>
    <r>
      <t xml:space="preserve">Разработка грунта </t>
    </r>
    <r>
      <rPr>
        <b/>
        <sz val="12"/>
        <rFont val="Arial"/>
        <family val="2"/>
        <charset val="204"/>
      </rPr>
      <t>ХВС/ЭОМ/СС</t>
    </r>
    <r>
      <rPr>
        <sz val="12"/>
        <rFont val="Arial"/>
        <family val="2"/>
        <charset val="204"/>
      </rPr>
      <t xml:space="preserve"> в ручную </t>
    </r>
  </si>
  <si>
    <t>Ширина утепления под отмосток</t>
  </si>
  <si>
    <t>кнопка ДА/НЕТ на сайт Не более 1200 мм.</t>
  </si>
  <si>
    <t>Арматура д.10 мм  А500С</t>
  </si>
  <si>
    <r>
      <t xml:space="preserve">Устройство основания под закладную трубу </t>
    </r>
    <r>
      <rPr>
        <b/>
        <sz val="12"/>
        <rFont val="Arial"/>
        <family val="2"/>
        <charset val="204"/>
      </rPr>
      <t xml:space="preserve">ХВС/ЭОМ/СС </t>
    </r>
    <r>
      <rPr>
        <sz val="12"/>
        <rFont val="Arial"/>
        <family val="2"/>
        <charset val="204"/>
      </rPr>
      <t xml:space="preserve"> "постелька", с последующей обваловкой песком до 100 мм.</t>
    </r>
  </si>
  <si>
    <t>4 Основная плита</t>
  </si>
  <si>
    <t>S плиты фундаментной основная</t>
  </si>
  <si>
    <t>Бетон В-7,5</t>
  </si>
  <si>
    <t xml:space="preserve">Укладка трубы ввода ХВС, с утеплением в в гильзе </t>
  </si>
  <si>
    <t>Внешний периметр плиты основной</t>
  </si>
  <si>
    <t>с админки</t>
  </si>
  <si>
    <t>Труба SN4 д.110 мм дл.2000 мм</t>
  </si>
  <si>
    <r>
      <t xml:space="preserve">Обратная засыпка траншеи </t>
    </r>
    <r>
      <rPr>
        <b/>
        <sz val="12"/>
        <rFont val="Arial"/>
        <family val="2"/>
        <charset val="204"/>
      </rPr>
      <t>ХВС/ЭОМ/СС</t>
    </r>
  </si>
  <si>
    <t>Толщина плиты основной</t>
  </si>
  <si>
    <t>0,2/0,25/0,3/0,35</t>
  </si>
  <si>
    <t>Труба SN4 д.110 мм дл.1000 мм</t>
  </si>
  <si>
    <t>Укладка трубы ввода ЭОМ</t>
  </si>
  <si>
    <t>Ячейка 200х200/150х150    1/0</t>
  </si>
  <si>
    <t>Отвод 110 мм x 15° ПП</t>
  </si>
  <si>
    <t>Укладка трубы ввода СС</t>
  </si>
  <si>
    <t>Количество углов 90 гр</t>
  </si>
  <si>
    <t>Отвод 110 мм x 30° ПП</t>
  </si>
  <si>
    <t>Укладка трубы вывода канализации</t>
  </si>
  <si>
    <t>Отвод 110 мм x 45° ПП</t>
  </si>
  <si>
    <t>Выравнивание дна котлована, трашеи</t>
  </si>
  <si>
    <t>Глубина заложения (низ плиты от ур грунта)</t>
  </si>
  <si>
    <t>Отвод 110 мм x 90° ПП</t>
  </si>
  <si>
    <t>Устройство теплозащитного слоя толщиной мм</t>
  </si>
  <si>
    <t>15. Основания</t>
  </si>
  <si>
    <t>Тройник 110х110х110х90 гр</t>
  </si>
  <si>
    <t>Устройство бетонного основания Бетон М100 В 7,5 100мм</t>
  </si>
  <si>
    <t xml:space="preserve">Труба ПНД 50 х 3.0 Pn10 SDR 17 </t>
  </si>
  <si>
    <t>Гидроизоляция плиты в два слоя</t>
  </si>
  <si>
    <t>Толщина бетонного основания</t>
  </si>
  <si>
    <t>Труба ПНД 32 х 2.4 Pn12.5 SDR 13.</t>
  </si>
  <si>
    <t>Устройство армокаркаса монолитной плиты</t>
  </si>
  <si>
    <t>Толщина утепления (ЭППС) 0,05/0,1</t>
  </si>
  <si>
    <t>Утеплитель трубный НПЭ 35*13мм (для трубы ПНД Д32) отрезок 2м</t>
  </si>
  <si>
    <t>Изготовление Д3 "лягушка"</t>
  </si>
  <si>
    <t>Горизонтальная гидроизоляция да/нет 1/0</t>
  </si>
  <si>
    <t>Скотч сантехнический армированный серый UNIBOB 48мм х 50м</t>
  </si>
  <si>
    <t>рол</t>
  </si>
  <si>
    <t>Изготовление Д4 "торец"</t>
  </si>
  <si>
    <t>17. ИНЖ-Комм</t>
  </si>
  <si>
    <t>Ввод ХВС длина от точки до края ф-та</t>
  </si>
  <si>
    <t>ЭППС толщ 50 мм</t>
  </si>
  <si>
    <t>Укладка бетона монолитной фундаментной плиты</t>
  </si>
  <si>
    <t>Ввод ЭОМ длина от точки до края ф-та</t>
  </si>
  <si>
    <t>ЭППС толщ 100 мм</t>
  </si>
  <si>
    <t>Гидроизоляция ОТМОСТОК  в 2 слоя</t>
  </si>
  <si>
    <t>Ввод СС длина от точки до края ф-та</t>
  </si>
  <si>
    <t xml:space="preserve">Газ 40 кг </t>
  </si>
  <si>
    <t>балл</t>
  </si>
  <si>
    <t>Устройство отмостка толщ 120-150 мм</t>
  </si>
  <si>
    <r>
      <t xml:space="preserve">Вывод канализации </t>
    </r>
    <r>
      <rPr>
        <b/>
        <sz val="12"/>
        <color theme="1"/>
        <rFont val="Calibri"/>
        <family val="2"/>
        <charset val="204"/>
        <scheme val="minor"/>
      </rPr>
      <t>точка 1</t>
    </r>
    <r>
      <rPr>
        <sz val="11"/>
        <color theme="1"/>
        <rFont val="Calibri"/>
        <family val="2"/>
        <charset val="204"/>
        <scheme val="minor"/>
      </rPr>
      <t xml:space="preserve"> длина от точки до края ф-та</t>
    </r>
  </si>
  <si>
    <t>Аренда а/м до 3,5 тн</t>
  </si>
  <si>
    <t>Отмосток да/нет 1/0</t>
  </si>
  <si>
    <t xml:space="preserve">Устройство отсечки </t>
  </si>
  <si>
    <t>Брусовые дома</t>
  </si>
  <si>
    <t>Фундамент п.м.</t>
  </si>
  <si>
    <t>не трогать</t>
  </si>
  <si>
    <t>База 145х140</t>
  </si>
  <si>
    <t>Отход 145х140</t>
  </si>
  <si>
    <t>Столбы</t>
  </si>
  <si>
    <t>наименование</t>
  </si>
  <si>
    <t>ед.изм</t>
  </si>
  <si>
    <t>под 45й  - 30мм</t>
  </si>
  <si>
    <t>Ед. Изм.</t>
  </si>
  <si>
    <t>под 95й - 50мм</t>
  </si>
  <si>
    <t>под остальной - 100мм</t>
  </si>
  <si>
    <t>Шуруп оцинкованный 8х100</t>
  </si>
  <si>
    <t xml:space="preserve">Шуруп оцинкованный 6х80 </t>
  </si>
  <si>
    <t>Обработка септиком брус/ОЦБ/бревно рубка</t>
  </si>
  <si>
    <t>цена политерма</t>
  </si>
  <si>
    <t>K</t>
  </si>
  <si>
    <t>Доска 50х150мм. Ест. Влажность</t>
  </si>
  <si>
    <r>
      <rPr>
        <b/>
        <sz val="11"/>
        <rFont val="Arial"/>
        <family val="2"/>
        <charset val="204"/>
      </rPr>
      <t>45 и 95 мм</t>
    </r>
    <r>
      <rPr>
        <sz val="11"/>
        <rFont val="Arial"/>
        <family val="2"/>
        <charset val="204"/>
      </rPr>
      <t xml:space="preserve"> - Опора бруса раскрытая OBR R-50х140х2 </t>
    </r>
  </si>
  <si>
    <t>Шуруп оцинкованный 8х50</t>
  </si>
  <si>
    <t>Саморез 3.5х41 мм</t>
  </si>
  <si>
    <t xml:space="preserve">Опора бруса раскрытая OBR R-50х160х2 </t>
  </si>
  <si>
    <t>Нагеля</t>
  </si>
  <si>
    <t>Дома ОЦБ</t>
  </si>
  <si>
    <t>Цена 20/тн</t>
  </si>
  <si>
    <t>Цена 10/тн</t>
  </si>
  <si>
    <t>цена бревно</t>
  </si>
  <si>
    <t>Автокран монтаж ОЦБ/Рубка</t>
  </si>
  <si>
    <t>Дома Ручная Рубка</t>
  </si>
  <si>
    <t>Политерм 160/15/300</t>
  </si>
  <si>
    <t>Политерм 170/15/300</t>
  </si>
  <si>
    <t>Политерм 180/15/300</t>
  </si>
  <si>
    <t>Политерм 190/15/300</t>
  </si>
  <si>
    <t>Политерм 200/15/300</t>
  </si>
  <si>
    <t xml:space="preserve"> Ель/сосна</t>
  </si>
  <si>
    <t>Рубка</t>
  </si>
  <si>
    <t>Сборка</t>
  </si>
  <si>
    <t>ХВ Монтаж бревна 320мм</t>
  </si>
  <si>
    <t>ХВ Монтаж бревна 340мм</t>
  </si>
  <si>
    <t>ХВ Монтаж бревна 360мм</t>
  </si>
  <si>
    <t>ХВ Монтаж бревна 380мм</t>
  </si>
  <si>
    <t>ХВ Монтаж бревна 400мм</t>
  </si>
  <si>
    <t xml:space="preserve"> Листва</t>
  </si>
  <si>
    <t>Монтаж бревна 320мм</t>
  </si>
  <si>
    <t>Монтаж бревна 340мм</t>
  </si>
  <si>
    <t>Монтаж бревна 360мм</t>
  </si>
  <si>
    <t>Монтаж бревна 380мм</t>
  </si>
  <si>
    <t>Монтаж бревна 400мм</t>
  </si>
  <si>
    <t xml:space="preserve"> Кедр</t>
  </si>
  <si>
    <t>Крыши</t>
  </si>
  <si>
    <t>metalist[0]['width']</t>
  </si>
  <si>
    <t>metalist[0]['quantity]</t>
  </si>
  <si>
    <t>metalist[1]['width']</t>
  </si>
  <si>
    <t>metalist[1]['quantity]</t>
  </si>
  <si>
    <t>metalist[2]['width']</t>
  </si>
  <si>
    <t>metalist[2]['quantity]</t>
  </si>
  <si>
    <t>DB-srCherep</t>
  </si>
  <si>
    <t>metalist[3]['width']</t>
  </si>
  <si>
    <t>metalist[3]['quantity]</t>
  </si>
  <si>
    <t>DB-srKover</t>
  </si>
  <si>
    <t>metalist[4]['width']</t>
  </si>
  <si>
    <t>metalist[4]['quantity]</t>
  </si>
  <si>
    <t>DB-srKonK</t>
  </si>
  <si>
    <t>metalist[5]['width']</t>
  </si>
  <si>
    <t>metalist[5]['quantity]</t>
  </si>
  <si>
    <t>DB-srMastika1</t>
  </si>
  <si>
    <t>metalist[6]['width']</t>
  </si>
  <si>
    <t>metalist[6]['quantity]</t>
  </si>
  <si>
    <t>DB-srMastika</t>
  </si>
  <si>
    <t>metalist[7]['width']</t>
  </si>
  <si>
    <t>metalist[7]['quantity]</t>
  </si>
  <si>
    <t>DB-srKonShir</t>
  </si>
  <si>
    <t>metalist[8]['width']</t>
  </si>
  <si>
    <t>metalist[8]['quantity]</t>
  </si>
  <si>
    <t>DB-srKonOneSkat</t>
  </si>
  <si>
    <t>metalist[9]['width']</t>
  </si>
  <si>
    <t>metalist[9]['quantity]</t>
  </si>
  <si>
    <t>DB-srPlanVetr</t>
  </si>
  <si>
    <t>metalist[10]['width']</t>
  </si>
  <si>
    <t>metalist[10]['quantity]</t>
  </si>
  <si>
    <t>DB-srPlanK</t>
  </si>
  <si>
    <t>metalist[11]['width']</t>
  </si>
  <si>
    <t>metalist[11]['quantity]</t>
  </si>
  <si>
    <t>DB-srKapelnik</t>
  </si>
  <si>
    <t>metalist[12]['width']</t>
  </si>
  <si>
    <t>metalist[12]['quantity]</t>
  </si>
  <si>
    <t>DB-srEndn</t>
  </si>
  <si>
    <t>metalist[13]['width']</t>
  </si>
  <si>
    <t>metalist[13]['quantity]</t>
  </si>
  <si>
    <t>DB-srGvozd</t>
  </si>
  <si>
    <t>metalist[14]['width']</t>
  </si>
  <si>
    <t>metalist[14]['quantity]</t>
  </si>
  <si>
    <t>DB-srSam70</t>
  </si>
  <si>
    <t>metalist[15]['width']</t>
  </si>
  <si>
    <t>metalist[15]['quantity]</t>
  </si>
  <si>
    <t>DB-srPack</t>
  </si>
  <si>
    <t>metalist[16]['width']</t>
  </si>
  <si>
    <t>metalist[16]['quantity]</t>
  </si>
  <si>
    <t>DB-srIzospanAM</t>
  </si>
  <si>
    <t>metalist[17]['width']</t>
  </si>
  <si>
    <t>metalist[17]['quantity]</t>
  </si>
  <si>
    <t>DB-srIzospanAM35</t>
  </si>
  <si>
    <t>metalist[18]['width']</t>
  </si>
  <si>
    <t>metalist[18]['quantity]</t>
  </si>
  <si>
    <t>DB-srLenta</t>
  </si>
  <si>
    <t>metalist[19]['width']</t>
  </si>
  <si>
    <t>metalist[19]['quantity]</t>
  </si>
  <si>
    <t>DB-srRokvul</t>
  </si>
  <si>
    <t>DB-srIzospanB</t>
  </si>
  <si>
    <t>DB-srIzospanB35</t>
  </si>
  <si>
    <t>DB-srPrimUgol</t>
  </si>
  <si>
    <t>DB-mrPrimNakl</t>
  </si>
  <si>
    <t>DB-srOSB</t>
  </si>
  <si>
    <t>mrKon</t>
  </si>
  <si>
    <t>mrKonOneSkat</t>
  </si>
  <si>
    <t>DB-srAero</t>
  </si>
  <si>
    <t>DB-srAeroSkat</t>
  </si>
  <si>
    <t>DB-srtropValue</t>
  </si>
  <si>
    <t>srEndn</t>
  </si>
  <si>
    <t>srEndv</t>
  </si>
  <si>
    <t>mrSam35</t>
  </si>
  <si>
    <t>srSam70</t>
  </si>
  <si>
    <t>srPack</t>
  </si>
  <si>
    <t>srIzospanAM</t>
  </si>
  <si>
    <t>srIzospanAM35</t>
  </si>
  <si>
    <t>srPrimUgol</t>
  </si>
  <si>
    <t>srPrimNakl</t>
  </si>
  <si>
    <t>Монтаж верхней контробрешетки</t>
  </si>
  <si>
    <t>Монтаж нижней контробрешетки</t>
  </si>
  <si>
    <t>J13</t>
  </si>
  <si>
    <t>ff310</t>
  </si>
  <si>
    <t>J14</t>
  </si>
  <si>
    <t>ff325</t>
  </si>
  <si>
    <t>ff302</t>
  </si>
  <si>
    <t>ff303</t>
  </si>
  <si>
    <t>ff301</t>
  </si>
  <si>
    <t>ff299</t>
  </si>
  <si>
    <t>ff311</t>
  </si>
  <si>
    <t>section</t>
  </si>
  <si>
    <t>p_type</t>
  </si>
  <si>
    <t>p_title</t>
  </si>
  <si>
    <t>p_value</t>
  </si>
  <si>
    <t>p_cell</t>
  </si>
  <si>
    <t>p_code</t>
  </si>
  <si>
    <t>DBSec</t>
  </si>
  <si>
    <t>DBCell</t>
  </si>
  <si>
    <t>DBDProrerty</t>
  </si>
  <si>
    <t>DBfetchCode</t>
  </si>
  <si>
    <t>fVinta</t>
  </si>
  <si>
    <t>mat</t>
  </si>
  <si>
    <t>2110</t>
  </si>
  <si>
    <t>E49</t>
  </si>
  <si>
    <t>roof</t>
  </si>
  <si>
    <t>D284</t>
  </si>
  <si>
    <t>srCherep</t>
  </si>
  <si>
    <t>2440</t>
  </si>
  <si>
    <t>E50</t>
  </si>
  <si>
    <t>D285</t>
  </si>
  <si>
    <t>srKover</t>
  </si>
  <si>
    <t>E51</t>
  </si>
  <si>
    <t>D286</t>
  </si>
  <si>
    <t>srKonK</t>
  </si>
  <si>
    <t>2830</t>
  </si>
  <si>
    <t>E52</t>
  </si>
  <si>
    <t>D287</t>
  </si>
  <si>
    <t>srMastika1</t>
  </si>
  <si>
    <t>300</t>
  </si>
  <si>
    <t>E53</t>
  </si>
  <si>
    <t>D288</t>
  </si>
  <si>
    <t>srMastika</t>
  </si>
  <si>
    <t>16</t>
  </si>
  <si>
    <t>E54</t>
  </si>
  <si>
    <t>D289</t>
  </si>
  <si>
    <t>srKonShir</t>
  </si>
  <si>
    <t>324</t>
  </si>
  <si>
    <t>E55</t>
  </si>
  <si>
    <t>D290</t>
  </si>
  <si>
    <t>srKonOneSkat</t>
  </si>
  <si>
    <t>17000</t>
  </si>
  <si>
    <t>E59</t>
  </si>
  <si>
    <t>D291</t>
  </si>
  <si>
    <t>srPlanVetr</t>
  </si>
  <si>
    <t>15000</t>
  </si>
  <si>
    <t>E60</t>
  </si>
  <si>
    <t>D292</t>
  </si>
  <si>
    <t>srPlanK</t>
  </si>
  <si>
    <t>E61</t>
  </si>
  <si>
    <t>D293</t>
  </si>
  <si>
    <t>srKapelnik</t>
  </si>
  <si>
    <t>E62</t>
  </si>
  <si>
    <t>D294</t>
  </si>
  <si>
    <t>E63</t>
  </si>
  <si>
    <t>D295</t>
  </si>
  <si>
    <t>srGvozd</t>
  </si>
  <si>
    <t>Брус гвоздь 100мм</t>
  </si>
  <si>
    <t>150</t>
  </si>
  <si>
    <t>F59</t>
  </si>
  <si>
    <t>D296</t>
  </si>
  <si>
    <t>380</t>
  </si>
  <si>
    <t>E65</t>
  </si>
  <si>
    <t>D297</t>
  </si>
  <si>
    <t>47</t>
  </si>
  <si>
    <t>E66</t>
  </si>
  <si>
    <t>D298</t>
  </si>
  <si>
    <t>2220</t>
  </si>
  <si>
    <t>J49</t>
  </si>
  <si>
    <t>D299</t>
  </si>
  <si>
    <t>3060</t>
  </si>
  <si>
    <t>J50</t>
  </si>
  <si>
    <t>D300</t>
  </si>
  <si>
    <t>srLenta</t>
  </si>
  <si>
    <t>2870</t>
  </si>
  <si>
    <t>J51</t>
  </si>
  <si>
    <t>D301</t>
  </si>
  <si>
    <t>srRokvul</t>
  </si>
  <si>
    <t>3990</t>
  </si>
  <si>
    <t>J52</t>
  </si>
  <si>
    <t>D302</t>
  </si>
  <si>
    <t>srIzospanB</t>
  </si>
  <si>
    <t>J53</t>
  </si>
  <si>
    <t>D303</t>
  </si>
  <si>
    <t>srIzospanB35</t>
  </si>
  <si>
    <t>J56</t>
  </si>
  <si>
    <t>D304</t>
  </si>
  <si>
    <t>J57</t>
  </si>
  <si>
    <t>D305</t>
  </si>
  <si>
    <t>mrPrimNakl</t>
  </si>
  <si>
    <t>J58</t>
  </si>
  <si>
    <t>D306</t>
  </si>
  <si>
    <t>srOSB</t>
  </si>
  <si>
    <t>J59</t>
  </si>
  <si>
    <t>D308</t>
  </si>
  <si>
    <t>srAero</t>
  </si>
  <si>
    <t>labour</t>
  </si>
  <si>
    <t>100</t>
  </si>
  <si>
    <t>D68</t>
  </si>
  <si>
    <t>D309</t>
  </si>
  <si>
    <t>srAeroSkat</t>
  </si>
  <si>
    <t>1200</t>
  </si>
  <si>
    <t>D70</t>
  </si>
  <si>
    <t>D310</t>
  </si>
  <si>
    <t>srtropValue</t>
  </si>
  <si>
    <t>D71</t>
  </si>
  <si>
    <t>D351</t>
  </si>
  <si>
    <t>pvPart1</t>
  </si>
  <si>
    <t>D72</t>
  </si>
  <si>
    <t>D352</t>
  </si>
  <si>
    <t>pvPart2</t>
  </si>
  <si>
    <t>D73</t>
  </si>
  <si>
    <t>D353</t>
  </si>
  <si>
    <t>pvPart3</t>
  </si>
  <si>
    <t>250</t>
  </si>
  <si>
    <t>D74</t>
  </si>
  <si>
    <t>D354</t>
  </si>
  <si>
    <t>pvPart4</t>
  </si>
  <si>
    <t>450</t>
  </si>
  <si>
    <t>D75</t>
  </si>
  <si>
    <t>D355</t>
  </si>
  <si>
    <t>pvPart5</t>
  </si>
  <si>
    <t>500</t>
  </si>
  <si>
    <t>D76</t>
  </si>
  <si>
    <t>D356</t>
  </si>
  <si>
    <t>pvPart6</t>
  </si>
  <si>
    <t>5000</t>
  </si>
  <si>
    <t>D77</t>
  </si>
  <si>
    <t>D357</t>
  </si>
  <si>
    <t>pvPart7</t>
  </si>
  <si>
    <t>1900</t>
  </si>
  <si>
    <t>I64</t>
  </si>
  <si>
    <t>D358</t>
  </si>
  <si>
    <t>pvPart8</t>
  </si>
  <si>
    <t>2100</t>
  </si>
  <si>
    <t>I67</t>
  </si>
  <si>
    <t>D359</t>
  </si>
  <si>
    <t>pvPart9</t>
  </si>
  <si>
    <t>2260</t>
  </si>
  <si>
    <t>I68</t>
  </si>
  <si>
    <t>D360</t>
  </si>
  <si>
    <t>pvPart10</t>
  </si>
  <si>
    <t>I69</t>
  </si>
  <si>
    <t>D361</t>
  </si>
  <si>
    <t>pvPart11</t>
  </si>
  <si>
    <t>fMono</t>
  </si>
  <si>
    <t>390</t>
  </si>
  <si>
    <t>I82</t>
  </si>
  <si>
    <t>D362</t>
  </si>
  <si>
    <t>pvPart12</t>
  </si>
  <si>
    <t>62780</t>
  </si>
  <si>
    <t>I83</t>
  </si>
  <si>
    <t>D363</t>
  </si>
  <si>
    <t>pvPart13</t>
  </si>
  <si>
    <t>63980</t>
  </si>
  <si>
    <t>I84</t>
  </si>
  <si>
    <t>D367</t>
  </si>
  <si>
    <t>mvpart1</t>
  </si>
  <si>
    <t>6300</t>
  </si>
  <si>
    <t>I85</t>
  </si>
  <si>
    <t>D368</t>
  </si>
  <si>
    <t>mvpart2</t>
  </si>
  <si>
    <t>I86</t>
  </si>
  <si>
    <t>D369</t>
  </si>
  <si>
    <t>mvpart3</t>
  </si>
  <si>
    <t>290</t>
  </si>
  <si>
    <t>I87</t>
  </si>
  <si>
    <t>D370</t>
  </si>
  <si>
    <t>mvpart4</t>
  </si>
  <si>
    <t>I88</t>
  </si>
  <si>
    <t>D371</t>
  </si>
  <si>
    <t>mvpart5</t>
  </si>
  <si>
    <t>I89</t>
  </si>
  <si>
    <t>D372</t>
  </si>
  <si>
    <t>mvpart6</t>
  </si>
  <si>
    <t>I90</t>
  </si>
  <si>
    <t>D373</t>
  </si>
  <si>
    <t>mvpart7</t>
  </si>
  <si>
    <t>I91</t>
  </si>
  <si>
    <t>D374</t>
  </si>
  <si>
    <t>mvpart8</t>
  </si>
  <si>
    <t>265</t>
  </si>
  <si>
    <t>I92</t>
  </si>
  <si>
    <t>D375</t>
  </si>
  <si>
    <t>mvpart9</t>
  </si>
  <si>
    <t>120</t>
  </si>
  <si>
    <t>I93</t>
  </si>
  <si>
    <t>D376</t>
  </si>
  <si>
    <t>mvpart10</t>
  </si>
  <si>
    <t>72</t>
  </si>
  <si>
    <t>I94</t>
  </si>
  <si>
    <t>D377</t>
  </si>
  <si>
    <t>mvpart11</t>
  </si>
  <si>
    <t>96</t>
  </si>
  <si>
    <t>I95</t>
  </si>
  <si>
    <t>D378</t>
  </si>
  <si>
    <t>mvpart12</t>
  </si>
  <si>
    <t>350</t>
  </si>
  <si>
    <t>I96</t>
  </si>
  <si>
    <t>D379</t>
  </si>
  <si>
    <t>mvpart13</t>
  </si>
  <si>
    <t>2250</t>
  </si>
  <si>
    <t>I97</t>
  </si>
  <si>
    <t>L281</t>
  </si>
  <si>
    <t>metaList[0]['width']</t>
  </si>
  <si>
    <t>2680</t>
  </si>
  <si>
    <t>I98</t>
  </si>
  <si>
    <t>L282</t>
  </si>
  <si>
    <t>metaList[1]['width']</t>
  </si>
  <si>
    <t>1350</t>
  </si>
  <si>
    <t>I99</t>
  </si>
  <si>
    <t>L283</t>
  </si>
  <si>
    <t>metaList[2]['width']</t>
  </si>
  <si>
    <t>H100</t>
  </si>
  <si>
    <t>L284</t>
  </si>
  <si>
    <t>metaList[3]['width']</t>
  </si>
  <si>
    <t>P82</t>
  </si>
  <si>
    <t>L285</t>
  </si>
  <si>
    <t>metaList[4]['width']</t>
  </si>
  <si>
    <t xml:space="preserve">Разработка грунта ХВС/ЭОМ/СС в ручную </t>
  </si>
  <si>
    <t>1250</t>
  </si>
  <si>
    <t>P83</t>
  </si>
  <si>
    <t>L286</t>
  </si>
  <si>
    <t>metaList[5]['width']</t>
  </si>
  <si>
    <t>Устройство основания под закладную трубу ХВС/ЭОМ/СС  "постелька", с последующей обваловкой песком до 100 мм.</t>
  </si>
  <si>
    <t>650</t>
  </si>
  <si>
    <t>P84</t>
  </si>
  <si>
    <t>L287</t>
  </si>
  <si>
    <t>metaList[6]['width']</t>
  </si>
  <si>
    <t>P85</t>
  </si>
  <si>
    <t>L288</t>
  </si>
  <si>
    <t>metaList[7]['width']</t>
  </si>
  <si>
    <t>Обратная засыпка траншеи ХВС/ЭОМ/СС</t>
  </si>
  <si>
    <t>800</t>
  </si>
  <si>
    <t>P86</t>
  </si>
  <si>
    <t>L289</t>
  </si>
  <si>
    <t>metaList[8]['width']</t>
  </si>
  <si>
    <t>P87</t>
  </si>
  <si>
    <t>L290</t>
  </si>
  <si>
    <t>metaList[9]['width']</t>
  </si>
  <si>
    <t>P88</t>
  </si>
  <si>
    <t>L291</t>
  </si>
  <si>
    <t>metaList[10]['width']</t>
  </si>
  <si>
    <t>P89</t>
  </si>
  <si>
    <t>L292</t>
  </si>
  <si>
    <t>metaList[11]['width']</t>
  </si>
  <si>
    <t>P90</t>
  </si>
  <si>
    <t>L293</t>
  </si>
  <si>
    <t>metaList[12]['width']</t>
  </si>
  <si>
    <t>P91</t>
  </si>
  <si>
    <t>L294</t>
  </si>
  <si>
    <t>metaList[13]['width']</t>
  </si>
  <si>
    <t>6500</t>
  </si>
  <si>
    <t>P92</t>
  </si>
  <si>
    <t>L295</t>
  </si>
  <si>
    <t>metaList[14]['width']</t>
  </si>
  <si>
    <t>P93</t>
  </si>
  <si>
    <t>L296</t>
  </si>
  <si>
    <t>metaList[15]['width']</t>
  </si>
  <si>
    <t>12</t>
  </si>
  <si>
    <t>P95</t>
  </si>
  <si>
    <t>L297</t>
  </si>
  <si>
    <t>metaList[16]['width']</t>
  </si>
  <si>
    <t>P96</t>
  </si>
  <si>
    <t>L298</t>
  </si>
  <si>
    <t>metaList[17]['width']</t>
  </si>
  <si>
    <t>5850</t>
  </si>
  <si>
    <t>P97</t>
  </si>
  <si>
    <t>L299</t>
  </si>
  <si>
    <t>metaList[18]['width']</t>
  </si>
  <si>
    <t>P98</t>
  </si>
  <si>
    <t>L300</t>
  </si>
  <si>
    <t>metaList[19]['width']</t>
  </si>
  <si>
    <t>2500</t>
  </si>
  <si>
    <t>P99</t>
  </si>
  <si>
    <t>M281</t>
  </si>
  <si>
    <t>metaList[0]['quantity]</t>
  </si>
  <si>
    <t>35</t>
  </si>
  <si>
    <t>P101</t>
  </si>
  <si>
    <t>M282</t>
  </si>
  <si>
    <t>metaList[1]['quantity]</t>
  </si>
  <si>
    <t>dBrus</t>
  </si>
  <si>
    <t>1192.879833</t>
  </si>
  <si>
    <t>D117</t>
  </si>
  <si>
    <t>M283</t>
  </si>
  <si>
    <t>metaList[2]['quantity]</t>
  </si>
  <si>
    <t>8</t>
  </si>
  <si>
    <t>D118</t>
  </si>
  <si>
    <t>M284</t>
  </si>
  <si>
    <t>metaList[3]['quantity]</t>
  </si>
  <si>
    <t>9</t>
  </si>
  <si>
    <t>D119</t>
  </si>
  <si>
    <t>M285</t>
  </si>
  <si>
    <t>metaList[4]['quantity]</t>
  </si>
  <si>
    <t>D120</t>
  </si>
  <si>
    <t>M286</t>
  </si>
  <si>
    <t>metaList[5]['quantity]</t>
  </si>
  <si>
    <t>60</t>
  </si>
  <si>
    <t>D121</t>
  </si>
  <si>
    <t>M287</t>
  </si>
  <si>
    <t>metaList[6]['quantity]</t>
  </si>
  <si>
    <t>240</t>
  </si>
  <si>
    <t>D122</t>
  </si>
  <si>
    <t>M288</t>
  </si>
  <si>
    <t>metaList[7]['quantity]</t>
  </si>
  <si>
    <t>4</t>
  </si>
  <si>
    <t>D123</t>
  </si>
  <si>
    <t>M289</t>
  </si>
  <si>
    <t>metaList[8]['quantity]</t>
  </si>
  <si>
    <t>7</t>
  </si>
  <si>
    <t>D124</t>
  </si>
  <si>
    <t>M290</t>
  </si>
  <si>
    <t>metaList[9]['quantity]</t>
  </si>
  <si>
    <t>D125</t>
  </si>
  <si>
    <t>M291</t>
  </si>
  <si>
    <t>metaList[10]['quantity]</t>
  </si>
  <si>
    <t>D126</t>
  </si>
  <si>
    <t>M292</t>
  </si>
  <si>
    <t>metaList[11]['quantity]</t>
  </si>
  <si>
    <t>13</t>
  </si>
  <si>
    <t>D127</t>
  </si>
  <si>
    <t>M293</t>
  </si>
  <si>
    <t>metaList[12]['quantity]</t>
  </si>
  <si>
    <t>680</t>
  </si>
  <si>
    <t>D128</t>
  </si>
  <si>
    <t>M294</t>
  </si>
  <si>
    <t>metaList[13]['quantity]</t>
  </si>
  <si>
    <t>D129</t>
  </si>
  <si>
    <t>M295</t>
  </si>
  <si>
    <t>metaList[14]['quantity]</t>
  </si>
  <si>
    <t>3659</t>
  </si>
  <si>
    <t>D130</t>
  </si>
  <si>
    <t>M296</t>
  </si>
  <si>
    <t>metaList[15]['quantity]</t>
  </si>
  <si>
    <t>D131</t>
  </si>
  <si>
    <t>M297</t>
  </si>
  <si>
    <t>metaList[16]['quantity]</t>
  </si>
  <si>
    <t>24000</t>
  </si>
  <si>
    <t>D132</t>
  </si>
  <si>
    <t>M298</t>
  </si>
  <si>
    <t>metaList[17]['quantity]</t>
  </si>
  <si>
    <t>D133</t>
  </si>
  <si>
    <t>M299</t>
  </si>
  <si>
    <t>metaList[18]['quantity]</t>
  </si>
  <si>
    <t>D134</t>
  </si>
  <si>
    <t>M300</t>
  </si>
  <si>
    <t>metaList[19]['quantity]</t>
  </si>
  <si>
    <t>D135</t>
  </si>
  <si>
    <t>L306</t>
  </si>
  <si>
    <t>D136</t>
  </si>
  <si>
    <t>L307</t>
  </si>
  <si>
    <t xml:space="preserve">45 и 95 мм - Опора бруса раскрытая OBR R-50х140х2 </t>
  </si>
  <si>
    <t>55</t>
  </si>
  <si>
    <t>D137</t>
  </si>
  <si>
    <t>L308</t>
  </si>
  <si>
    <t>D138</t>
  </si>
  <si>
    <t>L309</t>
  </si>
  <si>
    <t>D139</t>
  </si>
  <si>
    <t>L310</t>
  </si>
  <si>
    <t>65</t>
  </si>
  <si>
    <t>D140</t>
  </si>
  <si>
    <t>L311</t>
  </si>
  <si>
    <t>25</t>
  </si>
  <si>
    <t>D141</t>
  </si>
  <si>
    <t>L312</t>
  </si>
  <si>
    <t>8000</t>
  </si>
  <si>
    <t>D142</t>
  </si>
  <si>
    <t>L313</t>
  </si>
  <si>
    <t>10000</t>
  </si>
  <si>
    <t>D143</t>
  </si>
  <si>
    <t>L314</t>
  </si>
  <si>
    <t>3500</t>
  </si>
  <si>
    <t>D145</t>
  </si>
  <si>
    <t>L315</t>
  </si>
  <si>
    <t>dBrusSize</t>
  </si>
  <si>
    <t>size</t>
  </si>
  <si>
    <t>ест. Влаж. Листва 145х140 брус</t>
  </si>
  <si>
    <t>27000</t>
  </si>
  <si>
    <t>I133</t>
  </si>
  <si>
    <t>L316</t>
  </si>
  <si>
    <t>ест. Влаж. Листва 145х190 брус</t>
  </si>
  <si>
    <t>I134</t>
  </si>
  <si>
    <t>L317</t>
  </si>
  <si>
    <t>ест. Влаж. Листва 195х190 брус</t>
  </si>
  <si>
    <t>I135</t>
  </si>
  <si>
    <t>L318</t>
  </si>
  <si>
    <t>ест влаж. кедр 145х140 брус</t>
  </si>
  <si>
    <t>27500</t>
  </si>
  <si>
    <t>I136</t>
  </si>
  <si>
    <t>L319</t>
  </si>
  <si>
    <t>ест влаж. кедр 145х190 брус</t>
  </si>
  <si>
    <t>I137</t>
  </si>
  <si>
    <t>L320</t>
  </si>
  <si>
    <t>ест влаж. кедр 195х190 брус</t>
  </si>
  <si>
    <t>I138</t>
  </si>
  <si>
    <t>L321</t>
  </si>
  <si>
    <t>камерной сушки 145х45 брус</t>
  </si>
  <si>
    <t>26000</t>
  </si>
  <si>
    <t>I140</t>
  </si>
  <si>
    <t>L322</t>
  </si>
  <si>
    <t>камерной сушки 145х95 брус</t>
  </si>
  <si>
    <t>I141</t>
  </si>
  <si>
    <t>L323</t>
  </si>
  <si>
    <t>ест. Влаж 145х140 брус</t>
  </si>
  <si>
    <t>19000</t>
  </si>
  <si>
    <t>I142</t>
  </si>
  <si>
    <t>L326</t>
  </si>
  <si>
    <t>ест. Влаж 145х190 брус</t>
  </si>
  <si>
    <t>I143</t>
  </si>
  <si>
    <t>ест. Влаж 195х190 брус</t>
  </si>
  <si>
    <t>I144</t>
  </si>
  <si>
    <t>камерной сушки 145х145 брус</t>
  </si>
  <si>
    <t>I145</t>
  </si>
  <si>
    <t>камерной сушки 145х195 брус</t>
  </si>
  <si>
    <t>I146</t>
  </si>
  <si>
    <t>камерной сушки 195х195 брус</t>
  </si>
  <si>
    <t>I147</t>
  </si>
  <si>
    <t>кл. брус 145х160 брус</t>
  </si>
  <si>
    <t>47000</t>
  </si>
  <si>
    <t>I149</t>
  </si>
  <si>
    <t>кл. брус 145х200 брус</t>
  </si>
  <si>
    <t>I150</t>
  </si>
  <si>
    <t>кл. брус 190х160 брус</t>
  </si>
  <si>
    <t>I151</t>
  </si>
  <si>
    <t>кл. брус 190х200 брус</t>
  </si>
  <si>
    <t>I152</t>
  </si>
  <si>
    <t>кл. брус 145х240 брус</t>
  </si>
  <si>
    <t>I153</t>
  </si>
  <si>
    <t>кл. брус 190х240 брус</t>
  </si>
  <si>
    <t>I154</t>
  </si>
  <si>
    <t>кл. брус 230х160 брус</t>
  </si>
  <si>
    <t>I155</t>
  </si>
  <si>
    <t>кл. брус 230х200 брус</t>
  </si>
  <si>
    <t>I156</t>
  </si>
  <si>
    <t>кл. брус 230х240 брус</t>
  </si>
  <si>
    <t>I157</t>
  </si>
  <si>
    <t>кл. брус 250х160 брус</t>
  </si>
  <si>
    <t>I158</t>
  </si>
  <si>
    <t>кл. брус 250х200 брус</t>
  </si>
  <si>
    <t>I159</t>
  </si>
  <si>
    <t>кл. брус 280х200 брус</t>
  </si>
  <si>
    <t>I160</t>
  </si>
  <si>
    <t>range</t>
  </si>
  <si>
    <t>ест. Влаж. Листва Маш 10т / цена</t>
  </si>
  <si>
    <t>130000</t>
  </si>
  <si>
    <t>L133, L135</t>
  </si>
  <si>
    <t>ест. Влаж. Листва Маш 20т / цена</t>
  </si>
  <si>
    <t>150000</t>
  </si>
  <si>
    <t>K133, K135</t>
  </si>
  <si>
    <t>ест влаж. кедр Маш 10т / цена</t>
  </si>
  <si>
    <t>L136,L137</t>
  </si>
  <si>
    <t>ест влаж. кедр Маш 20т / цена</t>
  </si>
  <si>
    <t>K136,K137</t>
  </si>
  <si>
    <t>камерной сушки Маш 10т / цена</t>
  </si>
  <si>
    <t>70000</t>
  </si>
  <si>
    <t>L140,L141</t>
  </si>
  <si>
    <t>камерной сушки Маш 20т / цена</t>
  </si>
  <si>
    <t>80000</t>
  </si>
  <si>
    <t>K140,K141</t>
  </si>
  <si>
    <t>ест. Влаж Маш 10т / цена</t>
  </si>
  <si>
    <t>L142,L144</t>
  </si>
  <si>
    <t>ест. Влаж Маш 20т / цена</t>
  </si>
  <si>
    <t>K142,K144</t>
  </si>
  <si>
    <t>L145,L147</t>
  </si>
  <si>
    <t>K145,K147</t>
  </si>
  <si>
    <t>кл. брус Маш 10т / цена</t>
  </si>
  <si>
    <t>L149,L160</t>
  </si>
  <si>
    <t>кл. брус Маш 20т / цена</t>
  </si>
  <si>
    <t>90000</t>
  </si>
  <si>
    <t>K149,K160</t>
  </si>
  <si>
    <t>ест. Влаж. Листва 145х140 политерм</t>
  </si>
  <si>
    <t>J133</t>
  </si>
  <si>
    <t>ест. Влаж. Листва 145х190 политерм</t>
  </si>
  <si>
    <t>J134</t>
  </si>
  <si>
    <t>ест. Влаж. Листва 195х190 политерм</t>
  </si>
  <si>
    <t>J135</t>
  </si>
  <si>
    <t>политерм ест влаж. кедр 145х140 политерм</t>
  </si>
  <si>
    <t>J136</t>
  </si>
  <si>
    <t>ест влаж. кедр 145х190 политерм</t>
  </si>
  <si>
    <t>J137</t>
  </si>
  <si>
    <t>ест влаж. кедр 195х190 политерм</t>
  </si>
  <si>
    <t>J138</t>
  </si>
  <si>
    <t>камерной сушки 145х45 политерм</t>
  </si>
  <si>
    <t>J140</t>
  </si>
  <si>
    <t>камерной сушки 145х95 политерм</t>
  </si>
  <si>
    <t>J141</t>
  </si>
  <si>
    <t>ест. Влаж 145х140 политерм</t>
  </si>
  <si>
    <t>J142</t>
  </si>
  <si>
    <t>ест. Влаж 145х190 политерм</t>
  </si>
  <si>
    <t>J143</t>
  </si>
  <si>
    <t>ест. Влаж 195х190 политерм</t>
  </si>
  <si>
    <t>J144</t>
  </si>
  <si>
    <t>камерной сушки 145х145 политерм</t>
  </si>
  <si>
    <t>J145</t>
  </si>
  <si>
    <t>камерной сушки 145х195 политерм</t>
  </si>
  <si>
    <t>J146</t>
  </si>
  <si>
    <t>камерной сушки 195х195 политерм</t>
  </si>
  <si>
    <t>J147</t>
  </si>
  <si>
    <t>кл. брус 145х160 политерм</t>
  </si>
  <si>
    <t>J149</t>
  </si>
  <si>
    <t>кл. брус 145х200 политерм</t>
  </si>
  <si>
    <t>J150</t>
  </si>
  <si>
    <t>кл. брус 190х160 политерм</t>
  </si>
  <si>
    <t>J151</t>
  </si>
  <si>
    <t>кл. брус 190х200 политерм</t>
  </si>
  <si>
    <t>J152</t>
  </si>
  <si>
    <t>кл. брус 145х240 политерм</t>
  </si>
  <si>
    <t>J153</t>
  </si>
  <si>
    <t>кл. брус 190х240 политерм</t>
  </si>
  <si>
    <t>J154</t>
  </si>
  <si>
    <t>кл. брус 230х160 политерм</t>
  </si>
  <si>
    <t>J155</t>
  </si>
  <si>
    <t>кл. брус 230х200 политерм</t>
  </si>
  <si>
    <t>J156</t>
  </si>
  <si>
    <t>кл. брус 230х240 политерм</t>
  </si>
  <si>
    <t>J157</t>
  </si>
  <si>
    <t>кл. брус 250х160 политерм</t>
  </si>
  <si>
    <t>J158</t>
  </si>
  <si>
    <t>кл. брус 250х200 политерм</t>
  </si>
  <si>
    <t>J159</t>
  </si>
  <si>
    <t>кл. брус 280х200 политерм</t>
  </si>
  <si>
    <t>J160</t>
  </si>
  <si>
    <t>dOCB</t>
  </si>
  <si>
    <t>9.00</t>
  </si>
  <si>
    <t>E172</t>
  </si>
  <si>
    <t>10.00</t>
  </si>
  <si>
    <t>E173</t>
  </si>
  <si>
    <t>E174</t>
  </si>
  <si>
    <t>11.00</t>
  </si>
  <si>
    <t>E175</t>
  </si>
  <si>
    <t>12.00</t>
  </si>
  <si>
    <t>E176</t>
  </si>
  <si>
    <t>13.00</t>
  </si>
  <si>
    <t>E177</t>
  </si>
  <si>
    <t>14.00</t>
  </si>
  <si>
    <t>E178</t>
  </si>
  <si>
    <t>Ель/Сосна ХВ Монтаж бревна 180мм</t>
  </si>
  <si>
    <t>E182</t>
  </si>
  <si>
    <t>Ель/Сосна ХВ Монтаж бревна 200мм</t>
  </si>
  <si>
    <t>E183</t>
  </si>
  <si>
    <t>Ель/Сосна ХВ Монтаж бревна 220мм</t>
  </si>
  <si>
    <t>E184</t>
  </si>
  <si>
    <t>Ель/Сосна ХВ Монтаж бревна 240мм</t>
  </si>
  <si>
    <t>E185</t>
  </si>
  <si>
    <t>Ель/Сосна ХВ Монтаж бревна 260мм</t>
  </si>
  <si>
    <t>E186</t>
  </si>
  <si>
    <t>Ель/Сосна ХВ Монтаж бревна 280мм</t>
  </si>
  <si>
    <t>E187</t>
  </si>
  <si>
    <t>Ель/Сосна ХВ Монтаж бревна 300мм</t>
  </si>
  <si>
    <t>E188</t>
  </si>
  <si>
    <t>Листва Монтаж бревна 200мм</t>
  </si>
  <si>
    <t>E190</t>
  </si>
  <si>
    <t>Листва Монтаж бревна 220мм</t>
  </si>
  <si>
    <t>E191</t>
  </si>
  <si>
    <t>Листва Монтаж бревна 240мм</t>
  </si>
  <si>
    <t>E192</t>
  </si>
  <si>
    <t>Листва Монтаж бревна 260мм</t>
  </si>
  <si>
    <t>E193</t>
  </si>
  <si>
    <t>Листва Монтаж бревна 280мм</t>
  </si>
  <si>
    <t>E194</t>
  </si>
  <si>
    <t>Листва Монтаж бревна 300мм</t>
  </si>
  <si>
    <t>E195</t>
  </si>
  <si>
    <t>Кедр Монтаж бревна 200мм</t>
  </si>
  <si>
    <t>E197</t>
  </si>
  <si>
    <t>Кедр Монтаж бревна 220мм</t>
  </si>
  <si>
    <t>E198</t>
  </si>
  <si>
    <t>Кедр Монтаж бревна 240мм</t>
  </si>
  <si>
    <t>E199</t>
  </si>
  <si>
    <t>Кедр Монтаж бревна 260мм</t>
  </si>
  <si>
    <t>E200</t>
  </si>
  <si>
    <t>Кедр Монтаж бревна 280мм</t>
  </si>
  <si>
    <t>E201</t>
  </si>
  <si>
    <t>Кедр Монтаж бревна 300мм</t>
  </si>
  <si>
    <t>E202</t>
  </si>
  <si>
    <t>22,000.00</t>
  </si>
  <si>
    <t>E204</t>
  </si>
  <si>
    <t>c-brevno</t>
  </si>
  <si>
    <t>ОЦБ Хвоя 180</t>
  </si>
  <si>
    <t>16,000.00</t>
  </si>
  <si>
    <t>K171</t>
  </si>
  <si>
    <t>ОЦБ Хвоя 200</t>
  </si>
  <si>
    <t>K172</t>
  </si>
  <si>
    <t>ОЦБ Хвоя 220</t>
  </si>
  <si>
    <t>K173</t>
  </si>
  <si>
    <t>ОЦБ Хвоя 240</t>
  </si>
  <si>
    <t>K174</t>
  </si>
  <si>
    <t>ОЦБ Хвоя 260</t>
  </si>
  <si>
    <t>16,500.00</t>
  </si>
  <si>
    <t>K175</t>
  </si>
  <si>
    <t>ОЦБ Хвоя 280</t>
  </si>
  <si>
    <t>K176</t>
  </si>
  <si>
    <t>ОЦБ Хвоя 300</t>
  </si>
  <si>
    <t>17,000.00</t>
  </si>
  <si>
    <t>K177</t>
  </si>
  <si>
    <t>ОЦБ Листва 200</t>
  </si>
  <si>
    <t>23,000.00</t>
  </si>
  <si>
    <t>K179</t>
  </si>
  <si>
    <t>ОЦБ Листва 220</t>
  </si>
  <si>
    <t>K180</t>
  </si>
  <si>
    <t>ОЦБ Листва 240</t>
  </si>
  <si>
    <t>K181</t>
  </si>
  <si>
    <t>ОЦБ Листва 260</t>
  </si>
  <si>
    <t>23,500.00</t>
  </si>
  <si>
    <t>K182</t>
  </si>
  <si>
    <t>ОЦБ Листва 280</t>
  </si>
  <si>
    <t>K183</t>
  </si>
  <si>
    <t>ОЦБ Листва 300</t>
  </si>
  <si>
    <t>24,000.00</t>
  </si>
  <si>
    <t>K184</t>
  </si>
  <si>
    <t>ОЦБ Кедр 200</t>
  </si>
  <si>
    <t>K186</t>
  </si>
  <si>
    <t>ОЦБ Кедр 220</t>
  </si>
  <si>
    <t>K187</t>
  </si>
  <si>
    <t>ОЦБ Кедр 240</t>
  </si>
  <si>
    <t>K188</t>
  </si>
  <si>
    <t>ОЦБ Кедр 260</t>
  </si>
  <si>
    <t>K189</t>
  </si>
  <si>
    <t>ОЦБ Кедр 280</t>
  </si>
  <si>
    <t>K190</t>
  </si>
  <si>
    <t>ОЦБ Кедр 300</t>
  </si>
  <si>
    <t>K191</t>
  </si>
  <si>
    <t>c-10tn</t>
  </si>
  <si>
    <t>70,000.00</t>
  </si>
  <si>
    <t>J171</t>
  </si>
  <si>
    <t>J172</t>
  </si>
  <si>
    <t>J173</t>
  </si>
  <si>
    <t>J174</t>
  </si>
  <si>
    <t>J175</t>
  </si>
  <si>
    <t>J176</t>
  </si>
  <si>
    <t>J177</t>
  </si>
  <si>
    <t>130,000.00</t>
  </si>
  <si>
    <t>J179</t>
  </si>
  <si>
    <t>J180</t>
  </si>
  <si>
    <t>J181</t>
  </si>
  <si>
    <t>J182</t>
  </si>
  <si>
    <t>J183</t>
  </si>
  <si>
    <t>J184</t>
  </si>
  <si>
    <t>J186</t>
  </si>
  <si>
    <t>J187</t>
  </si>
  <si>
    <t>J188</t>
  </si>
  <si>
    <t>J189</t>
  </si>
  <si>
    <t>J190</t>
  </si>
  <si>
    <t>J191</t>
  </si>
  <si>
    <t>c-20tn</t>
  </si>
  <si>
    <t>80,000.00</t>
  </si>
  <si>
    <t>I171</t>
  </si>
  <si>
    <t>I172</t>
  </si>
  <si>
    <t>I173</t>
  </si>
  <si>
    <t>I174</t>
  </si>
  <si>
    <t>I175</t>
  </si>
  <si>
    <t>I176</t>
  </si>
  <si>
    <t>I177</t>
  </si>
  <si>
    <t>150,000.00</t>
  </si>
  <si>
    <t>I179</t>
  </si>
  <si>
    <t>I180</t>
  </si>
  <si>
    <t>I181</t>
  </si>
  <si>
    <t>I182</t>
  </si>
  <si>
    <t>I183</t>
  </si>
  <si>
    <t>I184</t>
  </si>
  <si>
    <t>I186</t>
  </si>
  <si>
    <t>I187</t>
  </si>
  <si>
    <t>I188</t>
  </si>
  <si>
    <t>I189</t>
  </si>
  <si>
    <t>I190</t>
  </si>
  <si>
    <t>I191</t>
  </si>
  <si>
    <t>c-soft</t>
  </si>
  <si>
    <t>Гибкая черепица "Shnglas" коллекция</t>
  </si>
  <si>
    <t>2,619.00</t>
  </si>
  <si>
    <t>F284</t>
  </si>
  <si>
    <t>1,650.00</t>
  </si>
  <si>
    <t>F285</t>
  </si>
  <si>
    <t>3,800.00</t>
  </si>
  <si>
    <t>F286</t>
  </si>
  <si>
    <t>2,271.00</t>
  </si>
  <si>
    <t>F287</t>
  </si>
  <si>
    <t>4,500.00</t>
  </si>
  <si>
    <t>F288</t>
  </si>
  <si>
    <t>1,315.00</t>
  </si>
  <si>
    <t>F289</t>
  </si>
  <si>
    <t>500.00</t>
  </si>
  <si>
    <t>F290</t>
  </si>
  <si>
    <t>F291</t>
  </si>
  <si>
    <t>F292</t>
  </si>
  <si>
    <t>F293</t>
  </si>
  <si>
    <t>F294</t>
  </si>
  <si>
    <t>1,000.00</t>
  </si>
  <si>
    <t>F295</t>
  </si>
  <si>
    <t>F296</t>
  </si>
  <si>
    <t>2,500.00</t>
  </si>
  <si>
    <t>F297</t>
  </si>
  <si>
    <t>F298</t>
  </si>
  <si>
    <t>2,250.00</t>
  </si>
  <si>
    <t>F299</t>
  </si>
  <si>
    <t>1,500.00</t>
  </si>
  <si>
    <t>F300</t>
  </si>
  <si>
    <t>980.00</t>
  </si>
  <si>
    <t>F301</t>
  </si>
  <si>
    <t>F302</t>
  </si>
  <si>
    <t>1,250.00</t>
  </si>
  <si>
    <t>F303</t>
  </si>
  <si>
    <t>F304</t>
  </si>
  <si>
    <t>F305</t>
  </si>
  <si>
    <t>780.00</t>
  </si>
  <si>
    <t>F306</t>
  </si>
  <si>
    <t>380.00</t>
  </si>
  <si>
    <t>F307</t>
  </si>
  <si>
    <t>F308</t>
  </si>
  <si>
    <t>F309</t>
  </si>
  <si>
    <t>25,500.00</t>
  </si>
  <si>
    <t>F310</t>
  </si>
  <si>
    <t>180.00</t>
  </si>
  <si>
    <t>F311</t>
  </si>
  <si>
    <t>150.00</t>
  </si>
  <si>
    <t>F312</t>
  </si>
  <si>
    <t>25,000.00</t>
  </si>
  <si>
    <t>F313</t>
  </si>
  <si>
    <t>F314</t>
  </si>
  <si>
    <t>55.00</t>
  </si>
  <si>
    <t>F315</t>
  </si>
  <si>
    <t>240.00</t>
  </si>
  <si>
    <t>F316</t>
  </si>
  <si>
    <t>3.50</t>
  </si>
  <si>
    <t>F317</t>
  </si>
  <si>
    <t>7.00</t>
  </si>
  <si>
    <t>F318</t>
  </si>
  <si>
    <t>455.00</t>
  </si>
  <si>
    <t>F319</t>
  </si>
  <si>
    <t>57.00</t>
  </si>
  <si>
    <t>F320</t>
  </si>
  <si>
    <t>F321</t>
  </si>
  <si>
    <t>F322</t>
  </si>
  <si>
    <t>612.00</t>
  </si>
  <si>
    <t>F323</t>
  </si>
  <si>
    <t>65.00</t>
  </si>
  <si>
    <t>F324</t>
  </si>
  <si>
    <t>3,500.00</t>
  </si>
  <si>
    <t>F325</t>
  </si>
  <si>
    <t>15,000.00</t>
  </si>
  <si>
    <t>F326</t>
  </si>
  <si>
    <t>10,000.00</t>
  </si>
  <si>
    <t>F327</t>
  </si>
  <si>
    <t>200.00</t>
  </si>
  <si>
    <t>D332</t>
  </si>
  <si>
    <t>D333</t>
  </si>
  <si>
    <t>D334</t>
  </si>
  <si>
    <t>D335</t>
  </si>
  <si>
    <t>600.00</t>
  </si>
  <si>
    <t>D336</t>
  </si>
  <si>
    <t>D337</t>
  </si>
  <si>
    <t>D338</t>
  </si>
  <si>
    <t>5.00</t>
  </si>
  <si>
    <t>D339</t>
  </si>
  <si>
    <t>D340</t>
  </si>
  <si>
    <t>D342</t>
  </si>
  <si>
    <t>D343</t>
  </si>
  <si>
    <t>100.00</t>
  </si>
  <si>
    <t>D344</t>
  </si>
  <si>
    <t>350.00</t>
  </si>
  <si>
    <t>D345</t>
  </si>
  <si>
    <t>650.00</t>
  </si>
  <si>
    <t>D346</t>
  </si>
  <si>
    <t>D347</t>
  </si>
  <si>
    <t>2,000.00</t>
  </si>
  <si>
    <t>D348</t>
  </si>
  <si>
    <t>c_vPlastic</t>
  </si>
  <si>
    <t>Угол желоба 90°</t>
  </si>
  <si>
    <t>Угол желоба 135°</t>
  </si>
  <si>
    <t>c_vMetal</t>
  </si>
  <si>
    <t>c_Rubd</t>
  </si>
  <si>
    <t>J364</t>
  </si>
  <si>
    <t>J365</t>
  </si>
  <si>
    <t>1,200.00</t>
  </si>
  <si>
    <t>J366</t>
  </si>
  <si>
    <t>60.00</t>
  </si>
  <si>
    <t>J367</t>
  </si>
  <si>
    <t>50.00</t>
  </si>
  <si>
    <t>J368</t>
  </si>
  <si>
    <t>J369</t>
  </si>
  <si>
    <t>J370</t>
  </si>
  <si>
    <t>J372</t>
  </si>
  <si>
    <t>J373</t>
  </si>
  <si>
    <t>c_krovla</t>
  </si>
  <si>
    <t>N305</t>
  </si>
  <si>
    <t>N306</t>
  </si>
  <si>
    <t>N307</t>
  </si>
  <si>
    <t>N311</t>
  </si>
  <si>
    <t>N312</t>
  </si>
  <si>
    <t>N315</t>
  </si>
  <si>
    <t>N322</t>
  </si>
  <si>
    <t>N323</t>
  </si>
  <si>
    <t>N339</t>
  </si>
  <si>
    <t>Доставка кровля/ут..</t>
  </si>
  <si>
    <t>N340</t>
  </si>
  <si>
    <t>M354</t>
  </si>
  <si>
    <t>0.00</t>
  </si>
  <si>
    <t>M358</t>
  </si>
  <si>
    <t>dManRub</t>
  </si>
  <si>
    <t>15.00</t>
  </si>
  <si>
    <t>E222</t>
  </si>
  <si>
    <t>16.00</t>
  </si>
  <si>
    <t>E223</t>
  </si>
  <si>
    <t>17.00</t>
  </si>
  <si>
    <t>E224</t>
  </si>
  <si>
    <t>18.00</t>
  </si>
  <si>
    <t>E225</t>
  </si>
  <si>
    <t>19.00</t>
  </si>
  <si>
    <t>E226</t>
  </si>
  <si>
    <t>c_sborka</t>
  </si>
  <si>
    <t>Ель ХВ Монтаж бревна 180мм</t>
  </si>
  <si>
    <t>E231</t>
  </si>
  <si>
    <t>Ель ХВ Монтаж бревна 200мм</t>
  </si>
  <si>
    <t>E232</t>
  </si>
  <si>
    <t>Ель ХВ Монтаж бревна 220мм</t>
  </si>
  <si>
    <t>E233</t>
  </si>
  <si>
    <t>Ель ХВ Монтаж бревна 240мм</t>
  </si>
  <si>
    <t>E234</t>
  </si>
  <si>
    <t>Ель ХВ Монтаж бревна 260мм</t>
  </si>
  <si>
    <t>E235</t>
  </si>
  <si>
    <t>Ель ХВ Монтаж бревна 280мм</t>
  </si>
  <si>
    <t>E236</t>
  </si>
  <si>
    <t>Ель ХВ Монтаж бревна 300мм</t>
  </si>
  <si>
    <t>E237</t>
  </si>
  <si>
    <t>Ель ХВ Монтаж бревна 320мм</t>
  </si>
  <si>
    <t>E238</t>
  </si>
  <si>
    <t>Ель ХВ Монтаж бревна 340мм</t>
  </si>
  <si>
    <t>E239</t>
  </si>
  <si>
    <t>Ель ХВ Монтаж бревна 360мм</t>
  </si>
  <si>
    <t>E240</t>
  </si>
  <si>
    <t>Ель ХВ Монтаж бревна 380мм</t>
  </si>
  <si>
    <t>E241</t>
  </si>
  <si>
    <t>Ель ХВ Монтаж бревна 400мм</t>
  </si>
  <si>
    <t>E242</t>
  </si>
  <si>
    <t>Сосна Монтаж бревна 200мм</t>
  </si>
  <si>
    <t>E245</t>
  </si>
  <si>
    <t>Сосна Монтаж бревна 220мм</t>
  </si>
  <si>
    <t>E246</t>
  </si>
  <si>
    <t>Сосна Монтаж бревна 240мм</t>
  </si>
  <si>
    <t>E247</t>
  </si>
  <si>
    <t>Сосна Монтаж бревна 260мм</t>
  </si>
  <si>
    <t>E248</t>
  </si>
  <si>
    <t>Сосна Монтаж бревна 280мм</t>
  </si>
  <si>
    <t>E249</t>
  </si>
  <si>
    <t>Сосна Монтаж бревна 300мм</t>
  </si>
  <si>
    <t>E250</t>
  </si>
  <si>
    <t>Сосна Монтаж бревна 320мм</t>
  </si>
  <si>
    <t>E251</t>
  </si>
  <si>
    <t>Сосна Монтаж бревна 340мм</t>
  </si>
  <si>
    <t>E252</t>
  </si>
  <si>
    <t>Сосна Монтаж бревна 360мм</t>
  </si>
  <si>
    <t>E253</t>
  </si>
  <si>
    <t>Сосна Монтаж бревна 380мм</t>
  </si>
  <si>
    <t>E254</t>
  </si>
  <si>
    <t>Сосна Монтаж бревна 400мм</t>
  </si>
  <si>
    <t>E255</t>
  </si>
  <si>
    <t>E258</t>
  </si>
  <si>
    <t>E259</t>
  </si>
  <si>
    <t>E260</t>
  </si>
  <si>
    <t>E261</t>
  </si>
  <si>
    <t>E262</t>
  </si>
  <si>
    <t>E263</t>
  </si>
  <si>
    <t>Кедр Монтаж бревна 320мм</t>
  </si>
  <si>
    <t>E264</t>
  </si>
  <si>
    <t>Кедр Монтаж бревна 340мм</t>
  </si>
  <si>
    <t>E265</t>
  </si>
  <si>
    <t>Кедр Монтаж бревна 360мм</t>
  </si>
  <si>
    <t>E266</t>
  </si>
  <si>
    <t>Кедр Монтаж бревна 380мм</t>
  </si>
  <si>
    <t>E267</t>
  </si>
  <si>
    <t>с_rubka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</si>
  <si>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</si>
  <si>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</si>
  <si>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</si>
  <si>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</si>
  <si>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</si>
  <si>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</si>
  <si>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</si>
  <si>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</si>
  <si>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</si>
  <si>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</si>
  <si>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</si>
  <si>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</si>
  <si>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</si>
  <si>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</si>
  <si>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</si>
  <si>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</si>
  <si>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</si>
  <si>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</si>
  <si>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</si>
  <si>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</si>
  <si>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</si>
  <si>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</si>
  <si>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</si>
  <si>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</si>
  <si>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</si>
  <si>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</si>
  <si>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</si>
  <si>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</si>
  <si>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</si>
  <si>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</si>
  <si>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</si>
  <si>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</si>
  <si>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</si>
  <si>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c_brevno</t>
  </si>
  <si>
    <t>K214</t>
  </si>
  <si>
    <t>K215</t>
  </si>
  <si>
    <t>K216</t>
  </si>
  <si>
    <t>K217</t>
  </si>
  <si>
    <t>K218</t>
  </si>
  <si>
    <t>K219</t>
  </si>
  <si>
    <t>K220</t>
  </si>
  <si>
    <t>ОЦБ Хвоя 320</t>
  </si>
  <si>
    <t>K221</t>
  </si>
  <si>
    <t>ОЦБ Хвоя 340</t>
  </si>
  <si>
    <t>K222</t>
  </si>
  <si>
    <t>ОЦБ Хвоя 360</t>
  </si>
  <si>
    <t>K223</t>
  </si>
  <si>
    <t>ОЦБ Хвоя 380</t>
  </si>
  <si>
    <t>K224</t>
  </si>
  <si>
    <t>ОЦБ Хвоя 400</t>
  </si>
  <si>
    <t>K225</t>
  </si>
  <si>
    <t>23000</t>
  </si>
  <si>
    <t>K227</t>
  </si>
  <si>
    <t>K228</t>
  </si>
  <si>
    <t>K229</t>
  </si>
  <si>
    <t>23500</t>
  </si>
  <si>
    <t>K230</t>
  </si>
  <si>
    <t>K231</t>
  </si>
  <si>
    <t>K232</t>
  </si>
  <si>
    <t>ОЦБ Листва 320</t>
  </si>
  <si>
    <t>K233</t>
  </si>
  <si>
    <t>ОЦБ Листва 340</t>
  </si>
  <si>
    <t>K234</t>
  </si>
  <si>
    <t>ОЦБ Листва 360</t>
  </si>
  <si>
    <t>K235</t>
  </si>
  <si>
    <t>ОЦБ Листва 380</t>
  </si>
  <si>
    <t>K236</t>
  </si>
  <si>
    <t>ОЦБ Листва 400</t>
  </si>
  <si>
    <t>K237</t>
  </si>
  <si>
    <t>14000</t>
  </si>
  <si>
    <t>K239</t>
  </si>
  <si>
    <t>K240</t>
  </si>
  <si>
    <t>K241</t>
  </si>
  <si>
    <t>K242</t>
  </si>
  <si>
    <t>K243</t>
  </si>
  <si>
    <t>K244</t>
  </si>
  <si>
    <t>ОЦБ Кедр 320</t>
  </si>
  <si>
    <t>K245</t>
  </si>
  <si>
    <t>ОЦБ Кедр 340</t>
  </si>
  <si>
    <t>K246</t>
  </si>
  <si>
    <t>ОЦБ Кедр 360</t>
  </si>
  <si>
    <t>K247</t>
  </si>
  <si>
    <t>ОЦБ Кедр 380</t>
  </si>
  <si>
    <t>K248</t>
  </si>
  <si>
    <t>ОЦБ Кедр 400</t>
  </si>
  <si>
    <t>K249</t>
  </si>
  <si>
    <t>c_10tn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</si>
  <si>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</si>
  <si>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</si>
  <si>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</si>
  <si>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</si>
  <si>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</si>
  <si>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</si>
  <si>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</si>
  <si>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</si>
  <si>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</si>
  <si>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</si>
  <si>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</si>
  <si>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</si>
  <si>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</si>
  <si>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</si>
  <si>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</si>
  <si>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</si>
  <si>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</si>
  <si>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</si>
  <si>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</si>
  <si>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</si>
  <si>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</si>
  <si>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</si>
  <si>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</si>
  <si>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</si>
  <si>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</si>
  <si>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</si>
  <si>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</si>
  <si>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</si>
  <si>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</si>
  <si>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</si>
  <si>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</si>
  <si>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</si>
  <si>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</si>
  <si>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</si>
  <si>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c_20tn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</si>
  <si>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</si>
  <si>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</si>
  <si>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</si>
  <si>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</si>
  <si>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</si>
  <si>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</si>
  <si>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</si>
  <si>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</si>
  <si>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</si>
  <si>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</si>
  <si>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</si>
  <si>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</si>
  <si>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</si>
  <si>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</si>
  <si>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</si>
  <si>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</si>
  <si>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</si>
  <si>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</si>
  <si>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</si>
  <si>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</si>
  <si>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</si>
  <si>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</si>
  <si>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</si>
  <si>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</si>
  <si>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</si>
  <si>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</si>
  <si>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</si>
  <si>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</si>
  <si>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</si>
  <si>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</si>
  <si>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</si>
  <si>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</si>
  <si>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</si>
  <si>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</si>
  <si>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fLenta</t>
  </si>
  <si>
    <t>1300</t>
  </si>
  <si>
    <t>J3</t>
  </si>
  <si>
    <t>J4</t>
  </si>
  <si>
    <t>J5</t>
  </si>
  <si>
    <t>3150</t>
  </si>
  <si>
    <t>J6</t>
  </si>
  <si>
    <t>4228</t>
  </si>
  <si>
    <t>J7</t>
  </si>
  <si>
    <t>16500</t>
  </si>
  <si>
    <t>J8</t>
  </si>
  <si>
    <t>J9</t>
  </si>
  <si>
    <t>360</t>
  </si>
  <si>
    <t>J10</t>
  </si>
  <si>
    <t>J11</t>
  </si>
  <si>
    <t>J12</t>
  </si>
  <si>
    <t>160</t>
  </si>
  <si>
    <t>J15</t>
  </si>
  <si>
    <t>62992.12598</t>
  </si>
  <si>
    <t>J16</t>
  </si>
  <si>
    <t>70886.07595</t>
  </si>
  <si>
    <t>J17</t>
  </si>
  <si>
    <t>J18</t>
  </si>
  <si>
    <t>7200</t>
  </si>
  <si>
    <t>J19</t>
  </si>
  <si>
    <t>11</t>
  </si>
  <si>
    <t>J20</t>
  </si>
  <si>
    <t>J21</t>
  </si>
  <si>
    <t>980</t>
  </si>
  <si>
    <t>J22</t>
  </si>
  <si>
    <t>3968</t>
  </si>
  <si>
    <t>J23</t>
  </si>
  <si>
    <t>45</t>
  </si>
  <si>
    <t>J26</t>
  </si>
  <si>
    <t>J27</t>
  </si>
  <si>
    <t>170</t>
  </si>
  <si>
    <t>J28</t>
  </si>
  <si>
    <t>H30</t>
  </si>
  <si>
    <t>H31</t>
  </si>
  <si>
    <t>18500</t>
  </si>
  <si>
    <t>H32</t>
  </si>
  <si>
    <t>H33</t>
  </si>
  <si>
    <t>P3</t>
  </si>
  <si>
    <t>50</t>
  </si>
  <si>
    <t>P4</t>
  </si>
  <si>
    <t>P5</t>
  </si>
  <si>
    <t>P6</t>
  </si>
  <si>
    <t>P7</t>
  </si>
  <si>
    <t>P8</t>
  </si>
  <si>
    <t>P9</t>
  </si>
  <si>
    <t>P10</t>
  </si>
  <si>
    <t>17500</t>
  </si>
  <si>
    <t>P11</t>
  </si>
  <si>
    <t>P12</t>
  </si>
  <si>
    <t>P13</t>
  </si>
  <si>
    <t>P14</t>
  </si>
  <si>
    <t>P15</t>
  </si>
  <si>
    <t>P16</t>
  </si>
  <si>
    <t>3</t>
  </si>
  <si>
    <t>P17</t>
  </si>
  <si>
    <t>P18</t>
  </si>
  <si>
    <t>P19</t>
  </si>
  <si>
    <t>P20</t>
  </si>
  <si>
    <t>3000</t>
  </si>
  <si>
    <t>P21</t>
  </si>
  <si>
    <t>1000</t>
  </si>
  <si>
    <t>P22</t>
  </si>
  <si>
    <t>P23</t>
  </si>
  <si>
    <t>P24</t>
  </si>
  <si>
    <t>P25</t>
  </si>
  <si>
    <t>fe49</t>
  </si>
  <si>
    <t>dd284</t>
  </si>
  <si>
    <t>fe50</t>
  </si>
  <si>
    <t>dd285</t>
  </si>
  <si>
    <t>fe51</t>
  </si>
  <si>
    <t>dd286</t>
  </si>
  <si>
    <t>fe52</t>
  </si>
  <si>
    <t>dd287</t>
  </si>
  <si>
    <t>fe53</t>
  </si>
  <si>
    <t>dd288</t>
  </si>
  <si>
    <t>fe54</t>
  </si>
  <si>
    <t>dd289</t>
  </si>
  <si>
    <t>fe55</t>
  </si>
  <si>
    <t>dd290</t>
  </si>
  <si>
    <t>fe59</t>
  </si>
  <si>
    <t>dd291</t>
  </si>
  <si>
    <t>fe60</t>
  </si>
  <si>
    <t>dd292</t>
  </si>
  <si>
    <t>fe61</t>
  </si>
  <si>
    <t>dd293</t>
  </si>
  <si>
    <t>fe62</t>
  </si>
  <si>
    <t>dd294</t>
  </si>
  <si>
    <t>fe63</t>
  </si>
  <si>
    <t>dd295</t>
  </si>
  <si>
    <t>ff59</t>
  </si>
  <si>
    <t>dd296</t>
  </si>
  <si>
    <t>fe65</t>
  </si>
  <si>
    <t>dd297</t>
  </si>
  <si>
    <t>fe66</t>
  </si>
  <si>
    <t>dd298</t>
  </si>
  <si>
    <t>fj49</t>
  </si>
  <si>
    <t>dd299</t>
  </si>
  <si>
    <t>fj50</t>
  </si>
  <si>
    <t>dd300</t>
  </si>
  <si>
    <t>fj51</t>
  </si>
  <si>
    <t>dd301</t>
  </si>
  <si>
    <t>fj52</t>
  </si>
  <si>
    <t>dd302</t>
  </si>
  <si>
    <t>fj53</t>
  </si>
  <si>
    <t>dd303</t>
  </si>
  <si>
    <t>fj56</t>
  </si>
  <si>
    <t>dd304</t>
  </si>
  <si>
    <t>fj57</t>
  </si>
  <si>
    <t>dd305</t>
  </si>
  <si>
    <t>fj58</t>
  </si>
  <si>
    <t>dd306</t>
  </si>
  <si>
    <t>fj59</t>
  </si>
  <si>
    <t>dd308</t>
  </si>
  <si>
    <t>fd68</t>
  </si>
  <si>
    <t>dd309</t>
  </si>
  <si>
    <t>fd70</t>
  </si>
  <si>
    <t>dd310</t>
  </si>
  <si>
    <t>fd71</t>
  </si>
  <si>
    <t>dd351</t>
  </si>
  <si>
    <t>fd72</t>
  </si>
  <si>
    <t>dd352</t>
  </si>
  <si>
    <t>fd73</t>
  </si>
  <si>
    <t>dd353</t>
  </si>
  <si>
    <t>fd74</t>
  </si>
  <si>
    <t>dd354</t>
  </si>
  <si>
    <t>fd75</t>
  </si>
  <si>
    <t>dd355</t>
  </si>
  <si>
    <t>fd76</t>
  </si>
  <si>
    <t>dd356</t>
  </si>
  <si>
    <t>fd77</t>
  </si>
  <si>
    <t>dd357</t>
  </si>
  <si>
    <t>fi64</t>
  </si>
  <si>
    <t>dd358</t>
  </si>
  <si>
    <t>fi67</t>
  </si>
  <si>
    <t>dd359</t>
  </si>
  <si>
    <t>fi68</t>
  </si>
  <si>
    <t>dd360</t>
  </si>
  <si>
    <t>fi69</t>
  </si>
  <si>
    <t>dd361</t>
  </si>
  <si>
    <t>fi82</t>
  </si>
  <si>
    <t>dd362</t>
  </si>
  <si>
    <t>fi83</t>
  </si>
  <si>
    <t>dd363</t>
  </si>
  <si>
    <t>fi84</t>
  </si>
  <si>
    <t>dd367</t>
  </si>
  <si>
    <t>fi85</t>
  </si>
  <si>
    <t>dd368</t>
  </si>
  <si>
    <t>fi86</t>
  </si>
  <si>
    <t>dd369</t>
  </si>
  <si>
    <t>fi87</t>
  </si>
  <si>
    <t>dd370</t>
  </si>
  <si>
    <t>fi88</t>
  </si>
  <si>
    <t>dd371</t>
  </si>
  <si>
    <t>fi89</t>
  </si>
  <si>
    <t>dd372</t>
  </si>
  <si>
    <t>fi90</t>
  </si>
  <si>
    <t>dd373</t>
  </si>
  <si>
    <t>fi91</t>
  </si>
  <si>
    <t>dd374</t>
  </si>
  <si>
    <t>fi92</t>
  </si>
  <si>
    <t>dd375</t>
  </si>
  <si>
    <t>fi93</t>
  </si>
  <si>
    <t>dd376</t>
  </si>
  <si>
    <t>fi94</t>
  </si>
  <si>
    <t>dd377</t>
  </si>
  <si>
    <t>fi95</t>
  </si>
  <si>
    <t>dd378</t>
  </si>
  <si>
    <t>fi96</t>
  </si>
  <si>
    <t>dd379</t>
  </si>
  <si>
    <t>fi97</t>
  </si>
  <si>
    <t>dl281</t>
  </si>
  <si>
    <t>fi98</t>
  </si>
  <si>
    <t>dl282</t>
  </si>
  <si>
    <t>fi99</t>
  </si>
  <si>
    <t>dl283</t>
  </si>
  <si>
    <t>fh100</t>
  </si>
  <si>
    <t>dl284</t>
  </si>
  <si>
    <t>fp82</t>
  </si>
  <si>
    <t>dl285</t>
  </si>
  <si>
    <t>fp83</t>
  </si>
  <si>
    <t>dl286</t>
  </si>
  <si>
    <t>fp84</t>
  </si>
  <si>
    <t>dl287</t>
  </si>
  <si>
    <t>fp85</t>
  </si>
  <si>
    <t>dl288</t>
  </si>
  <si>
    <t>fp86</t>
  </si>
  <si>
    <t>dl289</t>
  </si>
  <si>
    <t>fp87</t>
  </si>
  <si>
    <t>dl290</t>
  </si>
  <si>
    <t>fp88</t>
  </si>
  <si>
    <t>dl291</t>
  </si>
  <si>
    <t>fp89</t>
  </si>
  <si>
    <t>dl292</t>
  </si>
  <si>
    <t>fp90</t>
  </si>
  <si>
    <t>dl293</t>
  </si>
  <si>
    <t>fp91</t>
  </si>
  <si>
    <t>dl294</t>
  </si>
  <si>
    <t>fp92</t>
  </si>
  <si>
    <t>dl295</t>
  </si>
  <si>
    <t>fp93</t>
  </si>
  <si>
    <t>dl296</t>
  </si>
  <si>
    <t>fp95</t>
  </si>
  <si>
    <t>dl297</t>
  </si>
  <si>
    <t>fp96</t>
  </si>
  <si>
    <t>dl298</t>
  </si>
  <si>
    <t>fp97</t>
  </si>
  <si>
    <t>dl299</t>
  </si>
  <si>
    <t>fp98</t>
  </si>
  <si>
    <t>dl300</t>
  </si>
  <si>
    <t>fp99</t>
  </si>
  <si>
    <t>dm281</t>
  </si>
  <si>
    <t>fp101</t>
  </si>
  <si>
    <t>dm282</t>
  </si>
  <si>
    <t>fd117</t>
  </si>
  <si>
    <t>dm283</t>
  </si>
  <si>
    <t>fd118</t>
  </si>
  <si>
    <t>dm284</t>
  </si>
  <si>
    <t>fd119</t>
  </si>
  <si>
    <t>dm285</t>
  </si>
  <si>
    <t>fd120</t>
  </si>
  <si>
    <t>dm286</t>
  </si>
  <si>
    <t>fd121</t>
  </si>
  <si>
    <t>dm287</t>
  </si>
  <si>
    <t>fd122</t>
  </si>
  <si>
    <t>dm288</t>
  </si>
  <si>
    <t>fd123</t>
  </si>
  <si>
    <t>dm289</t>
  </si>
  <si>
    <t>fd124</t>
  </si>
  <si>
    <t>dm290</t>
  </si>
  <si>
    <t>fd125</t>
  </si>
  <si>
    <t>dm291</t>
  </si>
  <si>
    <t>fd126</t>
  </si>
  <si>
    <t>dm292</t>
  </si>
  <si>
    <t>fd127</t>
  </si>
  <si>
    <t>dm293</t>
  </si>
  <si>
    <t>fd128</t>
  </si>
  <si>
    <t>dm294</t>
  </si>
  <si>
    <t>fd129</t>
  </si>
  <si>
    <t>dm295</t>
  </si>
  <si>
    <t>fd130</t>
  </si>
  <si>
    <t>dm296</t>
  </si>
  <si>
    <t>fd131</t>
  </si>
  <si>
    <t>dm297</t>
  </si>
  <si>
    <t>fd132</t>
  </si>
  <si>
    <t>dm298</t>
  </si>
  <si>
    <t>fd133</t>
  </si>
  <si>
    <t>dm299</t>
  </si>
  <si>
    <t>fd134</t>
  </si>
  <si>
    <t>dm300</t>
  </si>
  <si>
    <t>fd135</t>
  </si>
  <si>
    <t>dl306</t>
  </si>
  <si>
    <t>fd136</t>
  </si>
  <si>
    <t>dl307</t>
  </si>
  <si>
    <t>fd137</t>
  </si>
  <si>
    <t>dl308</t>
  </si>
  <si>
    <t>fd138</t>
  </si>
  <si>
    <t>dl309</t>
  </si>
  <si>
    <t>fd139</t>
  </si>
  <si>
    <t>dl310</t>
  </si>
  <si>
    <t>fd140</t>
  </si>
  <si>
    <t>dl311</t>
  </si>
  <si>
    <t>fd141</t>
  </si>
  <si>
    <t>dl312</t>
  </si>
  <si>
    <t>fd142</t>
  </si>
  <si>
    <t>dl313</t>
  </si>
  <si>
    <t>fd143</t>
  </si>
  <si>
    <t>dl314</t>
  </si>
  <si>
    <t>fd145</t>
  </si>
  <si>
    <t>dl315</t>
  </si>
  <si>
    <t>fi133</t>
  </si>
  <si>
    <t>dl316</t>
  </si>
  <si>
    <t>fi134</t>
  </si>
  <si>
    <t>dl317</t>
  </si>
  <si>
    <t>fi135</t>
  </si>
  <si>
    <t>dl318</t>
  </si>
  <si>
    <t>fi136</t>
  </si>
  <si>
    <t>dl319</t>
  </si>
  <si>
    <t>fi137</t>
  </si>
  <si>
    <t>dl320</t>
  </si>
  <si>
    <t>fi138</t>
  </si>
  <si>
    <t>dl321</t>
  </si>
  <si>
    <t>fi140</t>
  </si>
  <si>
    <t>dl322</t>
  </si>
  <si>
    <t>fi141</t>
  </si>
  <si>
    <t>dl323</t>
  </si>
  <si>
    <t>fi142</t>
  </si>
  <si>
    <t>dl326</t>
  </si>
  <si>
    <t>fi143</t>
  </si>
  <si>
    <t>fi144</t>
  </si>
  <si>
    <t>fi145</t>
  </si>
  <si>
    <t>fi146</t>
  </si>
  <si>
    <t>fi147</t>
  </si>
  <si>
    <t>fi149</t>
  </si>
  <si>
    <t>fi150</t>
  </si>
  <si>
    <t>fi151</t>
  </si>
  <si>
    <t>fi152</t>
  </si>
  <si>
    <t>fi153</t>
  </si>
  <si>
    <t>fi154</t>
  </si>
  <si>
    <t>fi155</t>
  </si>
  <si>
    <t>fi156</t>
  </si>
  <si>
    <t>fi157</t>
  </si>
  <si>
    <t>fi158</t>
  </si>
  <si>
    <t>fi159</t>
  </si>
  <si>
    <t>fi160</t>
  </si>
  <si>
    <t>fl133, l135</t>
  </si>
  <si>
    <t>fk133, k135</t>
  </si>
  <si>
    <t>fl136,l137</t>
  </si>
  <si>
    <t>fk136,k137</t>
  </si>
  <si>
    <t>fl140,l141</t>
  </si>
  <si>
    <t>fk140,k141</t>
  </si>
  <si>
    <t>fl142,l144</t>
  </si>
  <si>
    <t>fk142,k144</t>
  </si>
  <si>
    <t>fl145,l147</t>
  </si>
  <si>
    <t>fk145,k147</t>
  </si>
  <si>
    <t>fl149,l160</t>
  </si>
  <si>
    <t>fk149,k160</t>
  </si>
  <si>
    <t>fj133</t>
  </si>
  <si>
    <t>fj134</t>
  </si>
  <si>
    <t>fj135</t>
  </si>
  <si>
    <t>fj136</t>
  </si>
  <si>
    <t>fj137</t>
  </si>
  <si>
    <t>fj138</t>
  </si>
  <si>
    <t>fj140</t>
  </si>
  <si>
    <t>fj141</t>
  </si>
  <si>
    <t>fj142</t>
  </si>
  <si>
    <t>fj143</t>
  </si>
  <si>
    <t>fj144</t>
  </si>
  <si>
    <t>fj145</t>
  </si>
  <si>
    <t>fj146</t>
  </si>
  <si>
    <t>fj147</t>
  </si>
  <si>
    <t>fj149</t>
  </si>
  <si>
    <t>fj150</t>
  </si>
  <si>
    <t>fj151</t>
  </si>
  <si>
    <t>fj152</t>
  </si>
  <si>
    <t>fj153</t>
  </si>
  <si>
    <t>fj154</t>
  </si>
  <si>
    <t>fj155</t>
  </si>
  <si>
    <t>fj156</t>
  </si>
  <si>
    <t>fj157</t>
  </si>
  <si>
    <t>fj158</t>
  </si>
  <si>
    <t>fj159</t>
  </si>
  <si>
    <t>fj160</t>
  </si>
  <si>
    <t>fe172</t>
  </si>
  <si>
    <t>fe173</t>
  </si>
  <si>
    <t>fe174</t>
  </si>
  <si>
    <t>fe175</t>
  </si>
  <si>
    <t>fe176</t>
  </si>
  <si>
    <t>fe177</t>
  </si>
  <si>
    <t>fe178</t>
  </si>
  <si>
    <t>fe182</t>
  </si>
  <si>
    <t>fe183</t>
  </si>
  <si>
    <t>fe184</t>
  </si>
  <si>
    <t>fe185</t>
  </si>
  <si>
    <t>fe186</t>
  </si>
  <si>
    <t>fe187</t>
  </si>
  <si>
    <t>fe188</t>
  </si>
  <si>
    <t>fe190</t>
  </si>
  <si>
    <t>fe191</t>
  </si>
  <si>
    <t>fe192</t>
  </si>
  <si>
    <t>fe193</t>
  </si>
  <si>
    <t>fe194</t>
  </si>
  <si>
    <t>fe195</t>
  </si>
  <si>
    <t>fe197</t>
  </si>
  <si>
    <t>fe198</t>
  </si>
  <si>
    <t>fe199</t>
  </si>
  <si>
    <t>fe200</t>
  </si>
  <si>
    <t>fe201</t>
  </si>
  <si>
    <t>fe202</t>
  </si>
  <si>
    <t>fe204</t>
  </si>
  <si>
    <t>fk171</t>
  </si>
  <si>
    <t>fk172</t>
  </si>
  <si>
    <t>fk173</t>
  </si>
  <si>
    <t>fk174</t>
  </si>
  <si>
    <t>fk175</t>
  </si>
  <si>
    <t>fk176</t>
  </si>
  <si>
    <t>fk177</t>
  </si>
  <si>
    <t>fk179</t>
  </si>
  <si>
    <t>fk180</t>
  </si>
  <si>
    <t>fk181</t>
  </si>
  <si>
    <t>fk182</t>
  </si>
  <si>
    <t>fk183</t>
  </si>
  <si>
    <t>fk184</t>
  </si>
  <si>
    <t>fk186</t>
  </si>
  <si>
    <t>fk187</t>
  </si>
  <si>
    <t>fk188</t>
  </si>
  <si>
    <t>fk189</t>
  </si>
  <si>
    <t>fk190</t>
  </si>
  <si>
    <t>fk191</t>
  </si>
  <si>
    <t>fj171</t>
  </si>
  <si>
    <t>fj172</t>
  </si>
  <si>
    <t>fj173</t>
  </si>
  <si>
    <t>fj174</t>
  </si>
  <si>
    <t>fj175</t>
  </si>
  <si>
    <t>fj176</t>
  </si>
  <si>
    <t>fj177</t>
  </si>
  <si>
    <t>fj179</t>
  </si>
  <si>
    <t>fj180</t>
  </si>
  <si>
    <t>fj181</t>
  </si>
  <si>
    <t>fj182</t>
  </si>
  <si>
    <t>fj183</t>
  </si>
  <si>
    <t>fj184</t>
  </si>
  <si>
    <t>fj186</t>
  </si>
  <si>
    <t>fj187</t>
  </si>
  <si>
    <t>fj188</t>
  </si>
  <si>
    <t>fj189</t>
  </si>
  <si>
    <t>fj190</t>
  </si>
  <si>
    <t>fj191</t>
  </si>
  <si>
    <t>fi171</t>
  </si>
  <si>
    <t>fi172</t>
  </si>
  <si>
    <t>fi173</t>
  </si>
  <si>
    <t>fi174</t>
  </si>
  <si>
    <t>fi175</t>
  </si>
  <si>
    <t>fi176</t>
  </si>
  <si>
    <t>fi177</t>
  </si>
  <si>
    <t>fi179</t>
  </si>
  <si>
    <t>fi180</t>
  </si>
  <si>
    <t>fi181</t>
  </si>
  <si>
    <t>fi182</t>
  </si>
  <si>
    <t>fi183</t>
  </si>
  <si>
    <t>fi184</t>
  </si>
  <si>
    <t>fi186</t>
  </si>
  <si>
    <t>fi187</t>
  </si>
  <si>
    <t>fi188</t>
  </si>
  <si>
    <t>fi189</t>
  </si>
  <si>
    <t>fi190</t>
  </si>
  <si>
    <t>fi191</t>
  </si>
  <si>
    <t>ff284</t>
  </si>
  <si>
    <t>ff285</t>
  </si>
  <si>
    <t>ff286</t>
  </si>
  <si>
    <t>ff287</t>
  </si>
  <si>
    <t>ff288</t>
  </si>
  <si>
    <t>ff289</t>
  </si>
  <si>
    <t>ff290</t>
  </si>
  <si>
    <t>ff291</t>
  </si>
  <si>
    <t>ff292</t>
  </si>
  <si>
    <t>ff293</t>
  </si>
  <si>
    <t>ff294</t>
  </si>
  <si>
    <t>ff295</t>
  </si>
  <si>
    <t>ff296</t>
  </si>
  <si>
    <t>ff297</t>
  </si>
  <si>
    <t>ff298</t>
  </si>
  <si>
    <t>ff300</t>
  </si>
  <si>
    <t>ff304</t>
  </si>
  <si>
    <t>ff305</t>
  </si>
  <si>
    <t>ff306</t>
  </si>
  <si>
    <t>ff307</t>
  </si>
  <si>
    <t>ff308</t>
  </si>
  <si>
    <t>ff309</t>
  </si>
  <si>
    <t>ff312</t>
  </si>
  <si>
    <t>ff313</t>
  </si>
  <si>
    <t>ff314</t>
  </si>
  <si>
    <t>ff315</t>
  </si>
  <si>
    <t>ff316</t>
  </si>
  <si>
    <t>ff317</t>
  </si>
  <si>
    <t>ff318</t>
  </si>
  <si>
    <t>ff319</t>
  </si>
  <si>
    <t>ff320</t>
  </si>
  <si>
    <t>ff321</t>
  </si>
  <si>
    <t>ff322</t>
  </si>
  <si>
    <t>ff323</t>
  </si>
  <si>
    <t>ff324</t>
  </si>
  <si>
    <t>ff326</t>
  </si>
  <si>
    <t>ff327</t>
  </si>
  <si>
    <t>fd332</t>
  </si>
  <si>
    <t>fd333</t>
  </si>
  <si>
    <t>fd334</t>
  </si>
  <si>
    <t>fd335</t>
  </si>
  <si>
    <t>fd336</t>
  </si>
  <si>
    <t>fd337</t>
  </si>
  <si>
    <t>fd338</t>
  </si>
  <si>
    <t>fd339</t>
  </si>
  <si>
    <t>fd340</t>
  </si>
  <si>
    <t>fd342</t>
  </si>
  <si>
    <t>fd343</t>
  </si>
  <si>
    <t>fd344</t>
  </si>
  <si>
    <t>fd345</t>
  </si>
  <si>
    <t>fd346</t>
  </si>
  <si>
    <t>fd347</t>
  </si>
  <si>
    <t>fd348</t>
  </si>
  <si>
    <t>fd351</t>
  </si>
  <si>
    <t>fd352</t>
  </si>
  <si>
    <t>fd353</t>
  </si>
  <si>
    <t>fd354</t>
  </si>
  <si>
    <t>fd355</t>
  </si>
  <si>
    <t>fd356</t>
  </si>
  <si>
    <t>fd357</t>
  </si>
  <si>
    <t>fd358</t>
  </si>
  <si>
    <t>fd359</t>
  </si>
  <si>
    <t>fd360</t>
  </si>
  <si>
    <t>fd361</t>
  </si>
  <si>
    <t>fd362</t>
  </si>
  <si>
    <t>fd363</t>
  </si>
  <si>
    <t>fd367</t>
  </si>
  <si>
    <t>fd368</t>
  </si>
  <si>
    <t>fd369</t>
  </si>
  <si>
    <t>fd370</t>
  </si>
  <si>
    <t>fd371</t>
  </si>
  <si>
    <t>fd372</t>
  </si>
  <si>
    <t>fd373</t>
  </si>
  <si>
    <t>fd374</t>
  </si>
  <si>
    <t>fd375</t>
  </si>
  <si>
    <t>fd376</t>
  </si>
  <si>
    <t>fd377</t>
  </si>
  <si>
    <t>fd378</t>
  </si>
  <si>
    <t>fd379</t>
  </si>
  <si>
    <t>fj364</t>
  </si>
  <si>
    <t>fj365</t>
  </si>
  <si>
    <t>fj366</t>
  </si>
  <si>
    <t>fj367</t>
  </si>
  <si>
    <t>fj368</t>
  </si>
  <si>
    <t>fj369</t>
  </si>
  <si>
    <t>fj370</t>
  </si>
  <si>
    <t>fj372</t>
  </si>
  <si>
    <t>fj373</t>
  </si>
  <si>
    <t>fn305</t>
  </si>
  <si>
    <t>fn306</t>
  </si>
  <si>
    <t>fn307</t>
  </si>
  <si>
    <t>fn311</t>
  </si>
  <si>
    <t>fn312</t>
  </si>
  <si>
    <t>fn315</t>
  </si>
  <si>
    <t>fn322</t>
  </si>
  <si>
    <t>fn323</t>
  </si>
  <si>
    <t>fn339</t>
  </si>
  <si>
    <t>fn340</t>
  </si>
  <si>
    <t>fm354</t>
  </si>
  <si>
    <t>fm358</t>
  </si>
  <si>
    <t>fe222</t>
  </si>
  <si>
    <t>fe223</t>
  </si>
  <si>
    <t>fe224</t>
  </si>
  <si>
    <t>fe225</t>
  </si>
  <si>
    <t>fe226</t>
  </si>
  <si>
    <t>fe231</t>
  </si>
  <si>
    <t>fe232</t>
  </si>
  <si>
    <t>fe233</t>
  </si>
  <si>
    <t>fe234</t>
  </si>
  <si>
    <t>fe235</t>
  </si>
  <si>
    <t>fe236</t>
  </si>
  <si>
    <t>fe237</t>
  </si>
  <si>
    <t>fe238</t>
  </si>
  <si>
    <t>fe239</t>
  </si>
  <si>
    <t>fe240</t>
  </si>
  <si>
    <t>fe241</t>
  </si>
  <si>
    <t>fe242</t>
  </si>
  <si>
    <t>fe245</t>
  </si>
  <si>
    <t>fe246</t>
  </si>
  <si>
    <t>fe247</t>
  </si>
  <si>
    <t>fe248</t>
  </si>
  <si>
    <t>fe249</t>
  </si>
  <si>
    <t>fe250</t>
  </si>
  <si>
    <t>fe251</t>
  </si>
  <si>
    <t>fe252</t>
  </si>
  <si>
    <t>fe253</t>
  </si>
  <si>
    <t>fe254</t>
  </si>
  <si>
    <t>fe255</t>
  </si>
  <si>
    <t>fe258</t>
  </si>
  <si>
    <t>fe259</t>
  </si>
  <si>
    <t>fe260</t>
  </si>
  <si>
    <t>fe261</t>
  </si>
  <si>
    <t>fe262</t>
  </si>
  <si>
    <t>fe263</t>
  </si>
  <si>
    <t>fe264</t>
  </si>
  <si>
    <t>fe265</t>
  </si>
  <si>
    <t>fe266</t>
  </si>
  <si>
    <t>fe267</t>
  </si>
  <si>
    <t>fd231</t>
  </si>
  <si>
    <t>fd232</t>
  </si>
  <si>
    <t>fd233</t>
  </si>
  <si>
    <t>fd234</t>
  </si>
  <si>
    <t>fd235</t>
  </si>
  <si>
    <t>fd236</t>
  </si>
  <si>
    <t>fd237</t>
  </si>
  <si>
    <t>fd238</t>
  </si>
  <si>
    <t>fd239</t>
  </si>
  <si>
    <t>fd240</t>
  </si>
  <si>
    <t>fd241</t>
  </si>
  <si>
    <t>fd242</t>
  </si>
  <si>
    <t>fd245</t>
  </si>
  <si>
    <t>fd246</t>
  </si>
  <si>
    <t>fd247</t>
  </si>
  <si>
    <t>fd248</t>
  </si>
  <si>
    <t>fd249</t>
  </si>
  <si>
    <t>fd250</t>
  </si>
  <si>
    <t>fd251</t>
  </si>
  <si>
    <t>fd252</t>
  </si>
  <si>
    <t>fd253</t>
  </si>
  <si>
    <t>fd254</t>
  </si>
  <si>
    <t>fd255</t>
  </si>
  <si>
    <t>fd258</t>
  </si>
  <si>
    <t>fd259</t>
  </si>
  <si>
    <t>fd260</t>
  </si>
  <si>
    <t>fd261</t>
  </si>
  <si>
    <t>fd262</t>
  </si>
  <si>
    <t>fd263</t>
  </si>
  <si>
    <t>fd264</t>
  </si>
  <si>
    <t>fd265</t>
  </si>
  <si>
    <t>fd266</t>
  </si>
  <si>
    <t>fd267</t>
  </si>
  <si>
    <t>fk214</t>
  </si>
  <si>
    <t>fk215</t>
  </si>
  <si>
    <t>fk216</t>
  </si>
  <si>
    <t>fk217</t>
  </si>
  <si>
    <t>fk218</t>
  </si>
  <si>
    <t>fk219</t>
  </si>
  <si>
    <t>fk220</t>
  </si>
  <si>
    <t>fk221</t>
  </si>
  <si>
    <t>fk222</t>
  </si>
  <si>
    <t>fk223</t>
  </si>
  <si>
    <t>fk224</t>
  </si>
  <si>
    <t>fk225</t>
  </si>
  <si>
    <t>fk227</t>
  </si>
  <si>
    <t>fk228</t>
  </si>
  <si>
    <t>fk229</t>
  </si>
  <si>
    <t>fk230</t>
  </si>
  <si>
    <t>fk231</t>
  </si>
  <si>
    <t>fk232</t>
  </si>
  <si>
    <t>fk233</t>
  </si>
  <si>
    <t>fk234</t>
  </si>
  <si>
    <t>fk235</t>
  </si>
  <si>
    <t>fk236</t>
  </si>
  <si>
    <t>fk237</t>
  </si>
  <si>
    <t>fk239</t>
  </si>
  <si>
    <t>fk240</t>
  </si>
  <si>
    <t>fk241</t>
  </si>
  <si>
    <t>fk242</t>
  </si>
  <si>
    <t>fk243</t>
  </si>
  <si>
    <t>fk244</t>
  </si>
  <si>
    <t>fk245</t>
  </si>
  <si>
    <t>fk246</t>
  </si>
  <si>
    <t>fk247</t>
  </si>
  <si>
    <t>fk248</t>
  </si>
  <si>
    <t>fk249</t>
  </si>
  <si>
    <t>fj214</t>
  </si>
  <si>
    <t>fj215</t>
  </si>
  <si>
    <t>fj216</t>
  </si>
  <si>
    <t>fj217</t>
  </si>
  <si>
    <t>fj218</t>
  </si>
  <si>
    <t>fj219</t>
  </si>
  <si>
    <t>fj220</t>
  </si>
  <si>
    <t>fj221</t>
  </si>
  <si>
    <t>fj222</t>
  </si>
  <si>
    <t>fj223</t>
  </si>
  <si>
    <t>fj224</t>
  </si>
  <si>
    <t>fj225</t>
  </si>
  <si>
    <t>fj227</t>
  </si>
  <si>
    <t>fj228</t>
  </si>
  <si>
    <t>fj229</t>
  </si>
  <si>
    <t>fj230</t>
  </si>
  <si>
    <t>fj231</t>
  </si>
  <si>
    <t>fj232</t>
  </si>
  <si>
    <t>fj233</t>
  </si>
  <si>
    <t>fj234</t>
  </si>
  <si>
    <t>fj235</t>
  </si>
  <si>
    <t>fj236</t>
  </si>
  <si>
    <t>fj237</t>
  </si>
  <si>
    <t>fj239</t>
  </si>
  <si>
    <t>fj240</t>
  </si>
  <si>
    <t>fj241</t>
  </si>
  <si>
    <t>fj242</t>
  </si>
  <si>
    <t>fj243</t>
  </si>
  <si>
    <t>fj244</t>
  </si>
  <si>
    <t>fj245</t>
  </si>
  <si>
    <t>fj246</t>
  </si>
  <si>
    <t>fj247</t>
  </si>
  <si>
    <t>fj248</t>
  </si>
  <si>
    <t>fj249</t>
  </si>
  <si>
    <t>fi214</t>
  </si>
  <si>
    <t>fi215</t>
  </si>
  <si>
    <t>fi216</t>
  </si>
  <si>
    <t>fi217</t>
  </si>
  <si>
    <t>fi218</t>
  </si>
  <si>
    <t>fi219</t>
  </si>
  <si>
    <t>fi220</t>
  </si>
  <si>
    <t>fi221</t>
  </si>
  <si>
    <t>fi222</t>
  </si>
  <si>
    <t>fi223</t>
  </si>
  <si>
    <t>fi224</t>
  </si>
  <si>
    <t>fi225</t>
  </si>
  <si>
    <t>fi227</t>
  </si>
  <si>
    <t>fi228</t>
  </si>
  <si>
    <t>fi229</t>
  </si>
  <si>
    <t>fi230</t>
  </si>
  <si>
    <t>fi231</t>
  </si>
  <si>
    <t>fi232</t>
  </si>
  <si>
    <t>fi233</t>
  </si>
  <si>
    <t>fi234</t>
  </si>
  <si>
    <t>fi235</t>
  </si>
  <si>
    <t>fi236</t>
  </si>
  <si>
    <t>fi237</t>
  </si>
  <si>
    <t>fi239</t>
  </si>
  <si>
    <t>fi240</t>
  </si>
  <si>
    <t>fi241</t>
  </si>
  <si>
    <t>fi242</t>
  </si>
  <si>
    <t>fi243</t>
  </si>
  <si>
    <t>fi244</t>
  </si>
  <si>
    <t>fi245</t>
  </si>
  <si>
    <t>fi246</t>
  </si>
  <si>
    <t>fi247</t>
  </si>
  <si>
    <t>fi248</t>
  </si>
  <si>
    <t>fi249</t>
  </si>
  <si>
    <t>fj3</t>
  </si>
  <si>
    <t>fj4</t>
  </si>
  <si>
    <t>fj5</t>
  </si>
  <si>
    <t>fj6</t>
  </si>
  <si>
    <t>fj7</t>
  </si>
  <si>
    <t>fj8</t>
  </si>
  <si>
    <t>fj9</t>
  </si>
  <si>
    <t>fj10</t>
  </si>
  <si>
    <t>fj11</t>
  </si>
  <si>
    <t>fj12</t>
  </si>
  <si>
    <t>fj13</t>
  </si>
  <si>
    <t>fj14</t>
  </si>
  <si>
    <t>fj15</t>
  </si>
  <si>
    <t>fj16</t>
  </si>
  <si>
    <t>fj17</t>
  </si>
  <si>
    <t>fj18</t>
  </si>
  <si>
    <t>fj19</t>
  </si>
  <si>
    <t>fj20</t>
  </si>
  <si>
    <t>fj21</t>
  </si>
  <si>
    <t>fj22</t>
  </si>
  <si>
    <t>fj23</t>
  </si>
  <si>
    <t>fj26</t>
  </si>
  <si>
    <t>fj27</t>
  </si>
  <si>
    <t>fj28</t>
  </si>
  <si>
    <t>fh30</t>
  </si>
  <si>
    <t>fh31</t>
  </si>
  <si>
    <t>fh32</t>
  </si>
  <si>
    <t>fh33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</si>
  <si>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</si>
  <si>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</si>
  <si>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</si>
  <si>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</si>
  <si>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</si>
  <si>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</si>
  <si>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</si>
  <si>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</si>
  <si>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</si>
  <si>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</si>
  <si>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</si>
  <si>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</si>
  <si>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</si>
  <si>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</si>
  <si>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</si>
  <si>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</si>
  <si>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</si>
  <si>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</si>
  <si>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</si>
  <si>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</si>
  <si>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</si>
  <si>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</si>
  <si>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</si>
  <si>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DB-size</t>
  </si>
  <si>
    <t>Данные - Крыша'!A64</t>
  </si>
  <si>
    <t>C63</t>
  </si>
  <si>
    <t>C64</t>
  </si>
  <si>
    <t>E13</t>
  </si>
  <si>
    <t>E14</t>
  </si>
  <si>
    <t>E16</t>
  </si>
  <si>
    <t>E17</t>
  </si>
  <si>
    <t>E18</t>
  </si>
  <si>
    <t>E20</t>
  </si>
  <si>
    <t>E21</t>
  </si>
  <si>
    <t>E23</t>
  </si>
  <si>
    <t>E24</t>
  </si>
  <si>
    <t>E25</t>
  </si>
  <si>
    <t>E26</t>
  </si>
  <si>
    <t>J24</t>
  </si>
  <si>
    <t>J25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</si>
  <si>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</si>
  <si>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</si>
  <si>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</si>
  <si>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</si>
  <si>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</si>
  <si>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</si>
  <si>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</si>
  <si>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</si>
  <si>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</si>
  <si>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</si>
  <si>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J41</t>
  </si>
  <si>
    <t>J42</t>
  </si>
  <si>
    <t>J43</t>
  </si>
  <si>
    <t>J44</t>
  </si>
  <si>
    <t>J45</t>
  </si>
  <si>
    <t>J46</t>
  </si>
  <si>
    <t>J47</t>
  </si>
  <si>
    <t>J48</t>
  </si>
  <si>
    <t>J54</t>
  </si>
  <si>
    <t>J55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</si>
  <si>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</si>
  <si>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</si>
  <si>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</si>
  <si>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</si>
  <si>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</si>
  <si>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</si>
  <si>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</si>
  <si>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</si>
  <si>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</si>
  <si>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</si>
  <si>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</si>
  <si>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</si>
  <si>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</si>
  <si>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</si>
  <si>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</si>
  <si>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</si>
  <si>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</si>
  <si>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</si>
  <si>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</si>
  <si>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</si>
  <si>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</si>
  <si>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</si>
  <si>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</si>
  <si>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</si>
  <si>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</si>
  <si>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</si>
  <si>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</si>
  <si>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</si>
  <si>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</si>
  <si>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</si>
  <si>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</si>
  <si>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</si>
  <si>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Раздел -  Строительно-монтажные работы по коробке из рубленного бревна</t>
  </si>
  <si>
    <t>Рубка сруба на строительной плаощадке</t>
  </si>
  <si>
    <t>Пиловочник Кедр  D 380/390мм</t>
  </si>
  <si>
    <t>1.1.</t>
  </si>
  <si>
    <t xml:space="preserve">Антисептирование  комплекта  300 гр/м² для II группы </t>
  </si>
  <si>
    <t>Огнебиозащита Сенеж Проф 23кг с учетом балок</t>
  </si>
  <si>
    <t>Монтаж стенового комплекта D 380 мм</t>
  </si>
  <si>
    <t>Монтаж межвенцового утеплителя 2 слоя</t>
  </si>
  <si>
    <t>Лента межвенцового утеплителя Политерм 110/15/300</t>
  </si>
  <si>
    <t xml:space="preserve">Антисептирование  300 гр/м² для II группы </t>
  </si>
  <si>
    <t>Накладные расходы 20%</t>
  </si>
  <si>
    <t>Непредвиденные 5%</t>
  </si>
  <si>
    <t xml:space="preserve">     "  " марта 202  г.    </t>
  </si>
  <si>
    <t xml:space="preserve">     "  "                  202  г.    </t>
  </si>
  <si>
    <t>Смета Мягкая</t>
  </si>
  <si>
    <t>C57</t>
  </si>
  <si>
    <t>ff</t>
  </si>
  <si>
    <t>fd</t>
  </si>
  <si>
    <t>B</t>
  </si>
  <si>
    <t>C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</si>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</sst>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\ ##0"/>
    <numFmt numFmtId="165" formatCode="0.000%"/>
    <numFmt numFmtId="166" formatCode="#,##0.000"/>
    <numFmt numFmtId="167" formatCode="0.000"/>
    <numFmt numFmtId="168" formatCode="0.0000"/>
    <numFmt numFmtId="169" formatCode="#,##0.0000"/>
    <numFmt numFmtId="170" formatCode="0.0%"/>
    <numFmt numFmtId="171" formatCode="0.000000"/>
    <numFmt numFmtId="172" formatCode="#,##0\ &quot;₽&quot;"/>
    <numFmt numFmtId="173" formatCode="#,##0.00\ &quot;₽&quot;"/>
    <numFmt numFmtId="174" formatCode="#,##0.00;[Red]#,##0.00"/>
  </numFmts>
  <fonts count="7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color rgb="FFFFFF0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sz val="10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sz val="12"/>
      <name val="Arial Cyr"/>
      <charset val="204"/>
    </font>
    <font>
      <sz val="10"/>
      <color rgb="FFFF0000"/>
      <name val="Arial Cyr"/>
      <family val="2"/>
      <charset val="204"/>
    </font>
    <font>
      <b/>
      <sz val="11"/>
      <color rgb="FFFF000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b/>
      <sz val="10"/>
      <color rgb="FFFF0000"/>
      <name val="Arial Cyr"/>
      <charset val="204"/>
    </font>
    <font>
      <sz val="11"/>
      <color rgb="FFFF000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5" tint="0.79998168889431442"/>
      <name val="Arial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903C39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i/>
      <sz val="11"/>
      <color rgb="FFFF0000"/>
      <name val="Calibri"/>
      <family val="2"/>
      <charset val="204"/>
      <scheme val="minor"/>
    </font>
    <font>
      <sz val="11"/>
      <color rgb="FFFFFF00"/>
      <name val="Arial"/>
      <family val="2"/>
      <charset val="204"/>
    </font>
    <font>
      <b/>
      <i/>
      <sz val="11"/>
      <color theme="9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rgb="FFFFFF00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rgb="FF7030A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1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name val="Arial"/>
      <family val="2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1"/>
      <name val="Arial Cyr"/>
      <family val="2"/>
      <charset val="204"/>
    </font>
    <font>
      <sz val="11"/>
      <color theme="0"/>
      <name val="Arial Cyr"/>
      <family val="2"/>
      <charset val="204"/>
    </font>
    <font>
      <sz val="12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2"/>
      <color rgb="FFCE9178"/>
      <name val="Menlo"/>
      <family val="2"/>
    </font>
    <font>
      <sz val="14"/>
      <color rgb="FFFF0000"/>
      <name val="Monaco"/>
      <family val="2"/>
    </font>
    <font>
      <sz val="11"/>
      <color rgb="FF000000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CFC72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139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 applyProtection="1">
      <alignment horizontal="left" vertical="center"/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0" fontId="0" fillId="2" borderId="3" xfId="0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0" borderId="0" xfId="0" quotePrefix="1" applyFont="1"/>
    <xf numFmtId="0" fontId="1" fillId="2" borderId="1" xfId="0" applyFont="1" applyFill="1" applyBorder="1" applyAlignment="1">
      <alignment horizontal="center"/>
    </xf>
    <xf numFmtId="165" fontId="1" fillId="0" borderId="0" xfId="0" applyNumberFormat="1" applyFont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1" xfId="0" applyBorder="1" applyAlignment="1">
      <alignment horizontal="center"/>
    </xf>
    <xf numFmtId="0" fontId="8" fillId="6" borderId="8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4" fontId="8" fillId="6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/>
    </xf>
    <xf numFmtId="0" fontId="8" fillId="6" borderId="9" xfId="0" applyFont="1" applyFill="1" applyBorder="1" applyAlignment="1">
      <alignment horizontal="center" vertical="center"/>
    </xf>
    <xf numFmtId="4" fontId="8" fillId="6" borderId="9" xfId="0" applyNumberFormat="1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4" fontId="8" fillId="6" borderId="8" xfId="0" applyNumberFormat="1" applyFont="1" applyFill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/>
    </xf>
    <xf numFmtId="4" fontId="8" fillId="0" borderId="8" xfId="0" applyNumberFormat="1" applyFont="1" applyBorder="1" applyAlignment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4" fontId="12" fillId="6" borderId="0" xfId="1" applyNumberFormat="1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4" fontId="12" fillId="6" borderId="0" xfId="0" applyNumberFormat="1" applyFont="1" applyFill="1" applyAlignment="1">
      <alignment vertical="center"/>
    </xf>
    <xf numFmtId="4" fontId="12" fillId="6" borderId="0" xfId="0" applyNumberFormat="1" applyFont="1" applyFill="1" applyAlignment="1">
      <alignment horizontal="right" vertical="center"/>
    </xf>
    <xf numFmtId="4" fontId="12" fillId="6" borderId="0" xfId="0" applyNumberFormat="1" applyFont="1" applyFill="1" applyAlignment="1">
      <alignment horizontal="center" vertical="center"/>
    </xf>
    <xf numFmtId="0" fontId="12" fillId="6" borderId="0" xfId="1" applyFont="1" applyFill="1" applyAlignment="1">
      <alignment vertical="center"/>
    </xf>
    <xf numFmtId="4" fontId="12" fillId="12" borderId="0" xfId="1" applyNumberFormat="1" applyFont="1" applyFill="1" applyAlignment="1">
      <alignment horizontal="center" vertical="center" wrapText="1"/>
    </xf>
    <xf numFmtId="4" fontId="11" fillId="12" borderId="0" xfId="1" applyNumberFormat="1" applyFont="1" applyFill="1" applyAlignment="1">
      <alignment horizontal="right" vertical="center" wrapText="1"/>
    </xf>
    <xf numFmtId="4" fontId="14" fillId="12" borderId="0" xfId="1" applyNumberFormat="1" applyFont="1" applyFill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4" fontId="11" fillId="12" borderId="1" xfId="1" applyNumberFormat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/>
    </xf>
    <xf numFmtId="3" fontId="11" fillId="12" borderId="1" xfId="1" applyNumberFormat="1" applyFont="1" applyFill="1" applyBorder="1" applyAlignment="1">
      <alignment horizontal="center" vertical="center" wrapText="1"/>
    </xf>
    <xf numFmtId="0" fontId="15" fillId="12" borderId="0" xfId="1" applyFont="1" applyFill="1" applyAlignment="1">
      <alignment horizontal="center" vertical="center"/>
    </xf>
    <xf numFmtId="3" fontId="15" fillId="12" borderId="0" xfId="1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4" fontId="8" fillId="6" borderId="0" xfId="0" applyNumberFormat="1" applyFont="1" applyFill="1" applyAlignment="1">
      <alignment horizontal="center" vertic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4" fontId="17" fillId="6" borderId="0" xfId="0" applyNumberFormat="1" applyFont="1" applyFill="1" applyAlignment="1">
      <alignment horizontal="center" vertical="center" wrapText="1"/>
    </xf>
    <xf numFmtId="4" fontId="17" fillId="6" borderId="0" xfId="0" applyNumberFormat="1" applyFont="1" applyFill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4" fontId="17" fillId="0" borderId="1" xfId="0" applyNumberFormat="1" applyFont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 wrapText="1"/>
    </xf>
    <xf numFmtId="4" fontId="8" fillId="0" borderId="1" xfId="1" applyNumberFormat="1" applyFont="1" applyBorder="1" applyAlignment="1">
      <alignment vertical="center" wrapText="1"/>
    </xf>
    <xf numFmtId="4" fontId="8" fillId="0" borderId="1" xfId="1" applyNumberFormat="1" applyFont="1" applyBorder="1" applyAlignment="1">
      <alignment horizontal="center" vertical="center" wrapText="1"/>
    </xf>
    <xf numFmtId="0" fontId="8" fillId="12" borderId="0" xfId="1" applyFont="1" applyFill="1" applyAlignment="1">
      <alignment horizontal="center" vertical="center" wrapText="1"/>
    </xf>
    <xf numFmtId="0" fontId="8" fillId="12" borderId="0" xfId="0" applyFont="1" applyFill="1" applyAlignment="1">
      <alignment vertical="center"/>
    </xf>
    <xf numFmtId="0" fontId="8" fillId="12" borderId="0" xfId="0" applyFont="1" applyFill="1" applyAlignment="1">
      <alignment horizontal="center" vertical="center"/>
    </xf>
    <xf numFmtId="4" fontId="16" fillId="0" borderId="12" xfId="0" applyNumberFormat="1" applyFont="1" applyBorder="1" applyAlignment="1">
      <alignment horizontal="center" vertical="center"/>
    </xf>
    <xf numFmtId="4" fontId="8" fillId="12" borderId="0" xfId="1" applyNumberFormat="1" applyFont="1" applyFill="1" applyAlignment="1">
      <alignment horizontal="left" vertical="center" wrapText="1"/>
    </xf>
    <xf numFmtId="4" fontId="8" fillId="12" borderId="0" xfId="1" applyNumberFormat="1" applyFont="1" applyFill="1" applyAlignment="1">
      <alignment horizontal="center" vertical="center" wrapText="1"/>
    </xf>
    <xf numFmtId="2" fontId="17" fillId="6" borderId="8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4" fontId="17" fillId="0" borderId="8" xfId="0" applyNumberFormat="1" applyFont="1" applyBorder="1" applyAlignment="1">
      <alignment horizontal="center" vertical="center" wrapText="1"/>
    </xf>
    <xf numFmtId="4" fontId="17" fillId="0" borderId="8" xfId="0" applyNumberFormat="1" applyFont="1" applyBorder="1" applyAlignment="1">
      <alignment horizontal="center" vertical="center"/>
    </xf>
    <xf numFmtId="0" fontId="8" fillId="0" borderId="8" xfId="1" applyFont="1" applyBorder="1" applyAlignment="1">
      <alignment vertical="center"/>
    </xf>
    <xf numFmtId="0" fontId="8" fillId="0" borderId="13" xfId="1" applyFont="1" applyBorder="1" applyAlignment="1">
      <alignment horizontal="center" vertical="center"/>
    </xf>
    <xf numFmtId="0" fontId="18" fillId="0" borderId="8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4" fontId="18" fillId="0" borderId="8" xfId="0" applyNumberFormat="1" applyFont="1" applyBorder="1" applyAlignment="1">
      <alignment horizontal="center"/>
    </xf>
    <xf numFmtId="4" fontId="18" fillId="0" borderId="13" xfId="0" applyNumberFormat="1" applyFont="1" applyBorder="1" applyAlignment="1">
      <alignment horizontal="center"/>
    </xf>
    <xf numFmtId="0" fontId="19" fillId="0" borderId="8" xfId="0" applyFont="1" applyBorder="1" applyAlignment="1">
      <alignment vertical="center"/>
    </xf>
    <xf numFmtId="0" fontId="8" fillId="0" borderId="8" xfId="0" applyFont="1" applyBorder="1" applyAlignment="1">
      <alignment horizontal="left"/>
    </xf>
    <xf numFmtId="4" fontId="18" fillId="0" borderId="14" xfId="0" applyNumberFormat="1" applyFont="1" applyBorder="1" applyAlignment="1">
      <alignment horizontal="center"/>
    </xf>
    <xf numFmtId="4" fontId="18" fillId="0" borderId="1" xfId="0" applyNumberFormat="1" applyFont="1" applyBorder="1" applyAlignment="1">
      <alignment horizontal="center"/>
    </xf>
    <xf numFmtId="0" fontId="19" fillId="0" borderId="10" xfId="0" applyFont="1" applyBorder="1" applyAlignment="1">
      <alignment vertical="center"/>
    </xf>
    <xf numFmtId="4" fontId="17" fillId="0" borderId="14" xfId="0" applyNumberFormat="1" applyFont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4" fontId="8" fillId="6" borderId="1" xfId="0" applyNumberFormat="1" applyFont="1" applyFill="1" applyBorder="1" applyAlignment="1">
      <alignment horizontal="center" vertical="center" wrapText="1"/>
    </xf>
    <xf numFmtId="4" fontId="8" fillId="12" borderId="1" xfId="1" applyNumberFormat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 wrapText="1"/>
    </xf>
    <xf numFmtId="4" fontId="17" fillId="12" borderId="1" xfId="0" applyNumberFormat="1" applyFont="1" applyFill="1" applyBorder="1" applyAlignment="1">
      <alignment horizontal="center" vertical="center"/>
    </xf>
    <xf numFmtId="4" fontId="17" fillId="6" borderId="1" xfId="0" applyNumberFormat="1" applyFont="1" applyFill="1" applyBorder="1" applyAlignment="1">
      <alignment horizontal="center" vertical="center" wrapText="1"/>
    </xf>
    <xf numFmtId="4" fontId="17" fillId="12" borderId="15" xfId="0" applyNumberFormat="1" applyFont="1" applyFill="1" applyBorder="1" applyAlignment="1">
      <alignment horizontal="center" vertical="center"/>
    </xf>
    <xf numFmtId="0" fontId="8" fillId="6" borderId="0" xfId="1" applyFont="1" applyFill="1" applyAlignment="1">
      <alignment horizontal="center" vertical="center" wrapText="1"/>
    </xf>
    <xf numFmtId="0" fontId="8" fillId="6" borderId="0" xfId="0" applyFont="1" applyFill="1" applyAlignment="1">
      <alignment vertical="center"/>
    </xf>
    <xf numFmtId="4" fontId="16" fillId="6" borderId="12" xfId="1" applyNumberFormat="1" applyFont="1" applyFill="1" applyBorder="1" applyAlignment="1">
      <alignment horizontal="center" vertical="center" wrapText="1"/>
    </xf>
    <xf numFmtId="4" fontId="8" fillId="6" borderId="0" xfId="1" applyNumberFormat="1" applyFont="1" applyFill="1" applyAlignment="1">
      <alignment vertical="center" wrapText="1"/>
    </xf>
    <xf numFmtId="4" fontId="8" fillId="6" borderId="0" xfId="1" applyNumberFormat="1" applyFont="1" applyFill="1" applyAlignment="1">
      <alignment horizontal="center" vertical="center" wrapText="1"/>
    </xf>
    <xf numFmtId="4" fontId="16" fillId="6" borderId="0" xfId="1" applyNumberFormat="1" applyFont="1" applyFill="1" applyAlignment="1">
      <alignment horizontal="right" vertical="center" wrapText="1"/>
    </xf>
    <xf numFmtId="4" fontId="16" fillId="6" borderId="0" xfId="1" applyNumberFormat="1" applyFont="1" applyFill="1" applyAlignment="1">
      <alignment horizontal="center" vertical="center" wrapText="1"/>
    </xf>
    <xf numFmtId="2" fontId="16" fillId="6" borderId="0" xfId="1" applyNumberFormat="1" applyFont="1" applyFill="1" applyAlignment="1">
      <alignment horizontal="right" vertical="center" wrapText="1"/>
    </xf>
    <xf numFmtId="4" fontId="8" fillId="6" borderId="1" xfId="1" applyNumberFormat="1" applyFont="1" applyFill="1" applyBorder="1" applyAlignment="1">
      <alignment horizontal="center" vertical="center" wrapText="1"/>
    </xf>
    <xf numFmtId="4" fontId="8" fillId="6" borderId="1" xfId="1" applyNumberFormat="1" applyFont="1" applyFill="1" applyBorder="1" applyAlignment="1">
      <alignment vertical="center" wrapText="1"/>
    </xf>
    <xf numFmtId="4" fontId="8" fillId="6" borderId="5" xfId="1" applyNumberFormat="1" applyFont="1" applyFill="1" applyBorder="1" applyAlignment="1">
      <alignment horizontal="center" vertical="center" wrapText="1"/>
    </xf>
    <xf numFmtId="4" fontId="8" fillId="6" borderId="6" xfId="1" applyNumberFormat="1" applyFont="1" applyFill="1" applyBorder="1" applyAlignment="1">
      <alignment vertical="center" wrapText="1"/>
    </xf>
    <xf numFmtId="4" fontId="8" fillId="13" borderId="1" xfId="1" applyNumberFormat="1" applyFont="1" applyFill="1" applyBorder="1" applyAlignment="1">
      <alignment horizontal="left" vertical="center" wrapText="1"/>
    </xf>
    <xf numFmtId="2" fontId="8" fillId="6" borderId="1" xfId="1" applyNumberFormat="1" applyFont="1" applyFill="1" applyBorder="1" applyAlignment="1">
      <alignment horizontal="center" vertical="center" wrapText="1"/>
    </xf>
    <xf numFmtId="4" fontId="16" fillId="6" borderId="1" xfId="1" applyNumberFormat="1" applyFont="1" applyFill="1" applyBorder="1" applyAlignment="1">
      <alignment horizontal="right" vertical="center" wrapText="1"/>
    </xf>
    <xf numFmtId="4" fontId="16" fillId="6" borderId="5" xfId="1" applyNumberFormat="1" applyFont="1" applyFill="1" applyBorder="1" applyAlignment="1">
      <alignment horizontal="right" vertical="center" wrapText="1"/>
    </xf>
    <xf numFmtId="4" fontId="16" fillId="6" borderId="1" xfId="1" applyNumberFormat="1" applyFont="1" applyFill="1" applyBorder="1" applyAlignment="1">
      <alignment horizontal="center" vertical="center" wrapText="1"/>
    </xf>
    <xf numFmtId="4" fontId="8" fillId="13" borderId="1" xfId="1" applyNumberFormat="1" applyFont="1" applyFill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center" vertical="center" wrapText="1"/>
    </xf>
    <xf numFmtId="1" fontId="16" fillId="0" borderId="6" xfId="1" applyNumberFormat="1" applyFont="1" applyBorder="1" applyAlignment="1">
      <alignment horizontal="center" vertical="center" wrapText="1"/>
    </xf>
    <xf numFmtId="1" fontId="16" fillId="0" borderId="6" xfId="1" applyNumberFormat="1" applyFont="1" applyBorder="1" applyAlignment="1">
      <alignment horizontal="center" vertical="center"/>
    </xf>
    <xf numFmtId="1" fontId="16" fillId="0" borderId="6" xfId="0" applyNumberFormat="1" applyFont="1" applyBorder="1" applyAlignment="1">
      <alignment horizontal="center" vertical="center"/>
    </xf>
    <xf numFmtId="1" fontId="16" fillId="0" borderId="23" xfId="0" applyNumberFormat="1" applyFont="1" applyBorder="1" applyAlignment="1">
      <alignment horizontal="center" vertical="center"/>
    </xf>
    <xf numFmtId="0" fontId="20" fillId="0" borderId="0" xfId="0" applyFont="1"/>
    <xf numFmtId="1" fontId="0" fillId="0" borderId="0" xfId="0" applyNumberFormat="1"/>
    <xf numFmtId="0" fontId="21" fillId="0" borderId="0" xfId="0" applyFont="1"/>
    <xf numFmtId="0" fontId="22" fillId="0" borderId="0" xfId="0" applyFont="1"/>
    <xf numFmtId="4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24" fillId="0" borderId="0" xfId="0" applyFont="1"/>
    <xf numFmtId="1" fontId="24" fillId="0" borderId="0" xfId="0" applyNumberFormat="1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0" fillId="9" borderId="1" xfId="0" applyNumberFormat="1" applyFill="1" applyBorder="1" applyAlignment="1">
      <alignment horizontal="center"/>
    </xf>
    <xf numFmtId="0" fontId="0" fillId="16" borderId="0" xfId="0" applyFill="1"/>
    <xf numFmtId="4" fontId="8" fillId="0" borderId="12" xfId="1" applyNumberFormat="1" applyFont="1" applyBorder="1" applyAlignment="1">
      <alignment vertical="center" wrapText="1"/>
    </xf>
    <xf numFmtId="4" fontId="8" fillId="0" borderId="12" xfId="1" applyNumberFormat="1" applyFont="1" applyBorder="1" applyAlignment="1">
      <alignment horizontal="center" vertical="center" wrapText="1"/>
    </xf>
    <xf numFmtId="4" fontId="17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4" fontId="8" fillId="6" borderId="19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4" fontId="18" fillId="0" borderId="0" xfId="0" applyNumberFormat="1" applyFont="1" applyAlignment="1">
      <alignment horizontal="center"/>
    </xf>
    <xf numFmtId="4" fontId="18" fillId="0" borderId="12" xfId="0" applyNumberFormat="1" applyFont="1" applyBorder="1" applyAlignment="1">
      <alignment horizontal="center"/>
    </xf>
    <xf numFmtId="0" fontId="19" fillId="0" borderId="25" xfId="0" applyFont="1" applyBorder="1" applyAlignment="1">
      <alignment vertical="center"/>
    </xf>
    <xf numFmtId="0" fontId="8" fillId="6" borderId="14" xfId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4" fontId="17" fillId="0" borderId="24" xfId="0" applyNumberFormat="1" applyFont="1" applyBorder="1" applyAlignment="1">
      <alignment horizontal="center" vertical="center"/>
    </xf>
    <xf numFmtId="4" fontId="17" fillId="0" borderId="12" xfId="0" applyNumberFormat="1" applyFont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9" fillId="6" borderId="0" xfId="0" applyFont="1" applyFill="1" applyAlignment="1">
      <alignment vertical="center"/>
    </xf>
    <xf numFmtId="4" fontId="17" fillId="6" borderId="0" xfId="1" applyNumberFormat="1" applyFont="1" applyFill="1" applyAlignment="1">
      <alignment horizontal="center" vertical="center" wrapText="1"/>
    </xf>
    <xf numFmtId="2" fontId="17" fillId="6" borderId="0" xfId="0" applyNumberFormat="1" applyFont="1" applyFill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0" fontId="8" fillId="6" borderId="24" xfId="1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18" fillId="0" borderId="27" xfId="0" applyFont="1" applyBorder="1" applyAlignment="1">
      <alignment horizontal="left"/>
    </xf>
    <xf numFmtId="0" fontId="18" fillId="0" borderId="27" xfId="0" applyFont="1" applyBorder="1" applyAlignment="1">
      <alignment horizontal="center"/>
    </xf>
    <xf numFmtId="4" fontId="18" fillId="0" borderId="27" xfId="0" applyNumberFormat="1" applyFont="1" applyBorder="1" applyAlignment="1">
      <alignment horizontal="center"/>
    </xf>
    <xf numFmtId="4" fontId="17" fillId="0" borderId="27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/>
      <protection locked="0"/>
    </xf>
    <xf numFmtId="0" fontId="8" fillId="0" borderId="8" xfId="0" applyFont="1" applyBorder="1" applyAlignment="1">
      <alignment horizontal="center" vertical="center"/>
    </xf>
    <xf numFmtId="0" fontId="0" fillId="17" borderId="0" xfId="0" applyFill="1"/>
    <xf numFmtId="4" fontId="8" fillId="0" borderId="12" xfId="0" applyNumberFormat="1" applyFont="1" applyBorder="1" applyAlignment="1">
      <alignment horizontal="left"/>
    </xf>
    <xf numFmtId="4" fontId="8" fillId="0" borderId="1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4" fontId="8" fillId="6" borderId="1" xfId="1" applyNumberFormat="1" applyFont="1" applyFill="1" applyBorder="1" applyAlignment="1">
      <alignment horizontal="left" wrapText="1"/>
    </xf>
    <xf numFmtId="3" fontId="8" fillId="0" borderId="1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7" fillId="0" borderId="12" xfId="0" applyFont="1" applyBorder="1" applyAlignment="1">
      <alignment horizontal="center" vertical="center"/>
    </xf>
    <xf numFmtId="1" fontId="17" fillId="0" borderId="12" xfId="0" applyNumberFormat="1" applyFont="1" applyBorder="1" applyAlignment="1">
      <alignment horizontal="center" vertical="center"/>
    </xf>
    <xf numFmtId="4" fontId="17" fillId="0" borderId="1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" fontId="8" fillId="0" borderId="0" xfId="1" applyNumberFormat="1" applyFont="1" applyAlignment="1">
      <alignment horizontal="left" vertical="center" wrapText="1"/>
    </xf>
    <xf numFmtId="4" fontId="8" fillId="0" borderId="0" xfId="1" applyNumberFormat="1" applyFont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2" fontId="17" fillId="0" borderId="8" xfId="0" applyNumberFormat="1" applyFont="1" applyBorder="1" applyAlignment="1">
      <alignment horizontal="center" vertical="center"/>
    </xf>
    <xf numFmtId="2" fontId="17" fillId="0" borderId="13" xfId="0" applyNumberFormat="1" applyFont="1" applyBorder="1" applyAlignment="1">
      <alignment horizontal="center" vertical="center"/>
    </xf>
    <xf numFmtId="167" fontId="17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4" fontId="17" fillId="0" borderId="15" xfId="0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167" fontId="17" fillId="0" borderId="9" xfId="0" applyNumberFormat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 wrapText="1"/>
    </xf>
    <xf numFmtId="4" fontId="16" fillId="0" borderId="12" xfId="1" applyNumberFormat="1" applyFont="1" applyBorder="1" applyAlignment="1">
      <alignment horizontal="center" vertical="center" wrapText="1"/>
    </xf>
    <xf numFmtId="4" fontId="8" fillId="0" borderId="0" xfId="1" applyNumberFormat="1" applyFont="1" applyAlignment="1">
      <alignment vertical="center" wrapText="1"/>
    </xf>
    <xf numFmtId="2" fontId="0" fillId="0" borderId="0" xfId="0" applyNumberFormat="1"/>
    <xf numFmtId="2" fontId="17" fillId="0" borderId="9" xfId="0" applyNumberFormat="1" applyFont="1" applyBorder="1" applyAlignment="1">
      <alignment horizontal="center" vertical="center"/>
    </xf>
    <xf numFmtId="168" fontId="0" fillId="9" borderId="1" xfId="0" applyNumberFormat="1" applyFill="1" applyBorder="1" applyAlignment="1">
      <alignment horizontal="center"/>
    </xf>
    <xf numFmtId="169" fontId="8" fillId="0" borderId="1" xfId="0" applyNumberFormat="1" applyFont="1" applyBorder="1" applyAlignment="1">
      <alignment horizontal="center" vertical="center"/>
    </xf>
    <xf numFmtId="168" fontId="17" fillId="0" borderId="1" xfId="0" applyNumberFormat="1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/>
    </xf>
    <xf numFmtId="1" fontId="16" fillId="0" borderId="16" xfId="1" applyNumberFormat="1" applyFont="1" applyBorder="1" applyAlignment="1">
      <alignment horizontal="center" vertical="center" wrapText="1"/>
    </xf>
    <xf numFmtId="0" fontId="0" fillId="0" borderId="12" xfId="0" applyBorder="1"/>
    <xf numFmtId="169" fontId="8" fillId="6" borderId="1" xfId="0" applyNumberFormat="1" applyFont="1" applyFill="1" applyBorder="1" applyAlignment="1">
      <alignment horizontal="center" vertical="center"/>
    </xf>
    <xf numFmtId="169" fontId="8" fillId="0" borderId="1" xfId="1" applyNumberFormat="1" applyFont="1" applyBorder="1" applyAlignment="1">
      <alignment horizontal="center" vertical="center" wrapText="1"/>
    </xf>
    <xf numFmtId="0" fontId="34" fillId="0" borderId="27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8" xfId="0" applyFont="1" applyBorder="1" applyAlignment="1">
      <alignment vertical="center"/>
    </xf>
    <xf numFmtId="4" fontId="8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/>
    </xf>
    <xf numFmtId="168" fontId="0" fillId="8" borderId="1" xfId="0" applyNumberFormat="1" applyFill="1" applyBorder="1" applyAlignment="1" applyProtection="1">
      <alignment horizontal="center"/>
      <protection locked="0"/>
    </xf>
    <xf numFmtId="4" fontId="16" fillId="0" borderId="1" xfId="1" applyNumberFormat="1" applyFont="1" applyBorder="1" applyAlignment="1">
      <alignment horizontal="center" vertical="center"/>
    </xf>
    <xf numFmtId="0" fontId="4" fillId="0" borderId="29" xfId="0" applyFont="1" applyBorder="1"/>
    <xf numFmtId="0" fontId="0" fillId="0" borderId="29" xfId="0" applyBorder="1"/>
    <xf numFmtId="0" fontId="37" fillId="0" borderId="0" xfId="0" applyFont="1" applyAlignment="1">
      <alignment vertical="center"/>
    </xf>
    <xf numFmtId="0" fontId="1" fillId="21" borderId="20" xfId="0" applyFont="1" applyFill="1" applyBorder="1" applyAlignment="1">
      <alignment horizontal="center" vertical="center"/>
    </xf>
    <xf numFmtId="0" fontId="1" fillId="21" borderId="22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0" fillId="21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3" fontId="0" fillId="21" borderId="1" xfId="0" applyNumberFormat="1" applyFill="1" applyBorder="1" applyAlignment="1">
      <alignment horizontal="center" vertical="center"/>
    </xf>
    <xf numFmtId="166" fontId="0" fillId="21" borderId="1" xfId="0" applyNumberFormat="1" applyFill="1" applyBorder="1" applyAlignment="1">
      <alignment horizontal="center" vertical="center"/>
    </xf>
    <xf numFmtId="166" fontId="0" fillId="21" borderId="1" xfId="0" applyNumberFormat="1" applyFill="1" applyBorder="1" applyAlignment="1">
      <alignment vertical="center"/>
    </xf>
    <xf numFmtId="170" fontId="0" fillId="21" borderId="1" xfId="0" applyNumberFormat="1" applyFill="1" applyBorder="1" applyAlignment="1">
      <alignment horizontal="center" vertical="center"/>
    </xf>
    <xf numFmtId="0" fontId="0" fillId="21" borderId="32" xfId="0" applyFill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21" borderId="34" xfId="0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1" fillId="21" borderId="36" xfId="0" applyFont="1" applyFill="1" applyBorder="1" applyAlignment="1">
      <alignment vertical="center"/>
    </xf>
    <xf numFmtId="167" fontId="1" fillId="21" borderId="37" xfId="0" applyNumberFormat="1" applyFont="1" applyFill="1" applyBorder="1" applyAlignment="1">
      <alignment horizontal="center" vertical="center"/>
    </xf>
    <xf numFmtId="4" fontId="1" fillId="21" borderId="37" xfId="0" applyNumberFormat="1" applyFont="1" applyFill="1" applyBorder="1" applyAlignment="1">
      <alignment horizontal="center" vertical="center"/>
    </xf>
    <xf numFmtId="0" fontId="0" fillId="21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1" borderId="38" xfId="0" applyFont="1" applyFill="1" applyBorder="1" applyAlignment="1">
      <alignment vertical="center"/>
    </xf>
    <xf numFmtId="166" fontId="1" fillId="21" borderId="39" xfId="0" applyNumberFormat="1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3" fontId="1" fillId="21" borderId="1" xfId="0" applyNumberFormat="1" applyFont="1" applyFill="1" applyBorder="1" applyAlignment="1">
      <alignment horizontal="center" vertical="center"/>
    </xf>
    <xf numFmtId="166" fontId="1" fillId="21" borderId="1" xfId="0" applyNumberFormat="1" applyFont="1" applyFill="1" applyBorder="1" applyAlignment="1">
      <alignment horizontal="center" vertical="center"/>
    </xf>
    <xf numFmtId="170" fontId="1" fillId="21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0" fillId="21" borderId="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66" fontId="0" fillId="21" borderId="1" xfId="0" applyNumberFormat="1" applyFill="1" applyBorder="1" applyAlignment="1">
      <alignment horizontal="center"/>
    </xf>
    <xf numFmtId="2" fontId="0" fillId="21" borderId="1" xfId="0" applyNumberFormat="1" applyFill="1" applyBorder="1"/>
    <xf numFmtId="170" fontId="0" fillId="21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right"/>
    </xf>
    <xf numFmtId="0" fontId="0" fillId="21" borderId="6" xfId="0" applyFill="1" applyBorder="1" applyAlignment="1">
      <alignment horizontal="center"/>
    </xf>
    <xf numFmtId="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0" fontId="0" fillId="21" borderId="1" xfId="0" applyFill="1" applyBorder="1"/>
    <xf numFmtId="0" fontId="1" fillId="21" borderId="1" xfId="0" applyFont="1" applyFill="1" applyBorder="1"/>
    <xf numFmtId="166" fontId="1" fillId="21" borderId="1" xfId="0" applyNumberFormat="1" applyFont="1" applyFill="1" applyBorder="1" applyAlignment="1">
      <alignment horizontal="center"/>
    </xf>
    <xf numFmtId="170" fontId="1" fillId="21" borderId="1" xfId="0" applyNumberFormat="1" applyFont="1" applyFill="1" applyBorder="1" applyAlignment="1">
      <alignment horizontal="center"/>
    </xf>
    <xf numFmtId="0" fontId="0" fillId="21" borderId="12" xfId="0" applyFill="1" applyBorder="1"/>
    <xf numFmtId="3" fontId="1" fillId="21" borderId="1" xfId="0" applyNumberFormat="1" applyFont="1" applyFill="1" applyBorder="1" applyAlignment="1">
      <alignment horizontal="center"/>
    </xf>
    <xf numFmtId="0" fontId="8" fillId="6" borderId="9" xfId="0" applyFont="1" applyFill="1" applyBorder="1" applyAlignment="1">
      <alignment vertical="center"/>
    </xf>
    <xf numFmtId="4" fontId="8" fillId="0" borderId="9" xfId="0" applyNumberFormat="1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8" fontId="0" fillId="0" borderId="1" xfId="0" applyNumberFormat="1" applyBorder="1" applyAlignment="1" applyProtection="1">
      <alignment horizontal="center"/>
      <protection locked="0"/>
    </xf>
    <xf numFmtId="168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6" fillId="6" borderId="1" xfId="1" applyNumberFormat="1" applyFont="1" applyFill="1" applyBorder="1" applyAlignment="1">
      <alignment horizontal="right" vertical="center" wrapText="1"/>
    </xf>
    <xf numFmtId="1" fontId="16" fillId="0" borderId="1" xfId="1" applyNumberFormat="1" applyFont="1" applyBorder="1" applyAlignment="1">
      <alignment horizontal="center" vertical="center" wrapText="1"/>
    </xf>
    <xf numFmtId="1" fontId="16" fillId="0" borderId="1" xfId="1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20" fillId="0" borderId="1" xfId="0" applyFont="1" applyBorder="1"/>
    <xf numFmtId="1" fontId="0" fillId="0" borderId="1" xfId="0" applyNumberFormat="1" applyBorder="1"/>
    <xf numFmtId="4" fontId="16" fillId="0" borderId="1" xfId="0" applyNumberFormat="1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/>
    </xf>
    <xf numFmtId="2" fontId="16" fillId="6" borderId="1" xfId="1" applyNumberFormat="1" applyFont="1" applyFill="1" applyBorder="1" applyAlignment="1">
      <alignment horizontal="center" vertical="center" wrapText="1"/>
    </xf>
    <xf numFmtId="4" fontId="16" fillId="0" borderId="11" xfId="1" applyNumberFormat="1" applyFont="1" applyBorder="1" applyAlignment="1">
      <alignment vertical="center" wrapText="1"/>
    </xf>
    <xf numFmtId="4" fontId="16" fillId="0" borderId="0" xfId="1" applyNumberFormat="1" applyFont="1" applyAlignment="1">
      <alignment vertical="center" wrapText="1"/>
    </xf>
    <xf numFmtId="4" fontId="38" fillId="11" borderId="0" xfId="1" applyNumberFormat="1" applyFont="1" applyFill="1" applyAlignment="1">
      <alignment horizontal="center" vertical="center" wrapText="1"/>
    </xf>
    <xf numFmtId="4" fontId="38" fillId="11" borderId="1" xfId="1" applyNumberFormat="1" applyFont="1" applyFill="1" applyBorder="1" applyAlignment="1">
      <alignment horizontal="center" vertical="center" wrapText="1"/>
    </xf>
    <xf numFmtId="0" fontId="0" fillId="10" borderId="0" xfId="0" applyFill="1"/>
    <xf numFmtId="4" fontId="16" fillId="0" borderId="0" xfId="1" applyNumberFormat="1" applyFont="1" applyAlignment="1">
      <alignment horizontal="right" vertical="center" wrapText="1"/>
    </xf>
    <xf numFmtId="2" fontId="16" fillId="0" borderId="0" xfId="1" applyNumberFormat="1" applyFont="1" applyAlignment="1">
      <alignment horizontal="right" vertical="center" wrapText="1"/>
    </xf>
    <xf numFmtId="4" fontId="12" fillId="6" borderId="0" xfId="0" applyNumberFormat="1" applyFont="1" applyFill="1" applyAlignment="1">
      <alignment horizontal="left" vertical="center"/>
    </xf>
    <xf numFmtId="4" fontId="16" fillId="12" borderId="0" xfId="1" applyNumberFormat="1" applyFont="1" applyFill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44" fillId="0" borderId="0" xfId="1" applyNumberFormat="1" applyFont="1" applyAlignment="1">
      <alignment horizontal="center" vertical="center"/>
    </xf>
    <xf numFmtId="0" fontId="18" fillId="0" borderId="0" xfId="0" applyFont="1"/>
    <xf numFmtId="0" fontId="11" fillId="6" borderId="0" xfId="1" applyFont="1" applyFill="1" applyAlignment="1">
      <alignment vertical="center"/>
    </xf>
    <xf numFmtId="0" fontId="44" fillId="12" borderId="0" xfId="1" applyFont="1" applyFill="1" applyAlignment="1">
      <alignment vertical="center"/>
    </xf>
    <xf numFmtId="0" fontId="44" fillId="12" borderId="0" xfId="1" applyFont="1" applyFill="1" applyAlignment="1">
      <alignment horizontal="center" vertical="center"/>
    </xf>
    <xf numFmtId="0" fontId="44" fillId="0" borderId="0" xfId="1" applyFont="1" applyAlignment="1">
      <alignment horizontal="center" vertical="center"/>
    </xf>
    <xf numFmtId="4" fontId="44" fillId="0" borderId="0" xfId="1" applyNumberFormat="1" applyFont="1" applyAlignment="1">
      <alignment horizontal="center" vertical="center"/>
    </xf>
    <xf numFmtId="4" fontId="44" fillId="12" borderId="0" xfId="1" applyNumberFormat="1" applyFont="1" applyFill="1" applyAlignment="1">
      <alignment horizontal="center" vertical="center"/>
    </xf>
    <xf numFmtId="0" fontId="15" fillId="12" borderId="1" xfId="1" applyFont="1" applyFill="1" applyBorder="1" applyAlignment="1">
      <alignment horizontal="center" vertical="center" wrapText="1"/>
    </xf>
    <xf numFmtId="4" fontId="15" fillId="12" borderId="1" xfId="1" applyNumberFormat="1" applyFont="1" applyFill="1" applyBorder="1" applyAlignment="1">
      <alignment horizontal="center" vertical="center" wrapText="1"/>
    </xf>
    <xf numFmtId="4" fontId="15" fillId="0" borderId="1" xfId="1" applyNumberFormat="1" applyFont="1" applyBorder="1" applyAlignment="1">
      <alignment horizontal="center" vertical="center" wrapText="1"/>
    </xf>
    <xf numFmtId="0" fontId="15" fillId="12" borderId="1" xfId="1" applyFont="1" applyFill="1" applyBorder="1" applyAlignment="1">
      <alignment horizontal="center" vertical="center"/>
    </xf>
    <xf numFmtId="3" fontId="15" fillId="12" borderId="1" xfId="1" applyNumberFormat="1" applyFont="1" applyFill="1" applyBorder="1" applyAlignment="1">
      <alignment horizontal="center" vertical="center" wrapText="1"/>
    </xf>
    <xf numFmtId="3" fontId="15" fillId="0" borderId="1" xfId="1" applyNumberFormat="1" applyFont="1" applyBorder="1" applyAlignment="1">
      <alignment horizontal="center" vertical="center" wrapText="1"/>
    </xf>
    <xf numFmtId="4" fontId="16" fillId="12" borderId="0" xfId="1" applyNumberFormat="1" applyFont="1" applyFill="1" applyAlignment="1">
      <alignment horizontal="center" vertical="center" wrapText="1"/>
    </xf>
    <xf numFmtId="4" fontId="16" fillId="6" borderId="0" xfId="1" applyNumberFormat="1" applyFont="1" applyFill="1" applyAlignment="1">
      <alignment horizontal="center" vertical="center"/>
    </xf>
    <xf numFmtId="4" fontId="8" fillId="6" borderId="0" xfId="1" applyNumberFormat="1" applyFont="1" applyFill="1" applyAlignment="1">
      <alignment horizontal="center" vertical="center"/>
    </xf>
    <xf numFmtId="3" fontId="8" fillId="6" borderId="14" xfId="1" applyNumberFormat="1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/>
    </xf>
    <xf numFmtId="4" fontId="8" fillId="0" borderId="8" xfId="1" applyNumberFormat="1" applyFont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 vertical="center" wrapText="1"/>
    </xf>
    <xf numFmtId="4" fontId="8" fillId="12" borderId="8" xfId="0" applyNumberFormat="1" applyFont="1" applyFill="1" applyBorder="1" applyAlignment="1">
      <alignment horizontal="center" vertical="center"/>
    </xf>
    <xf numFmtId="0" fontId="17" fillId="6" borderId="8" xfId="1" applyFont="1" applyFill="1" applyBorder="1" applyAlignment="1">
      <alignment horizontal="center" vertical="center"/>
    </xf>
    <xf numFmtId="4" fontId="17" fillId="0" borderId="8" xfId="1" applyNumberFormat="1" applyFont="1" applyBorder="1" applyAlignment="1">
      <alignment horizontal="center" vertical="center"/>
    </xf>
    <xf numFmtId="3" fontId="8" fillId="6" borderId="8" xfId="1" applyNumberFormat="1" applyFont="1" applyFill="1" applyBorder="1" applyAlignment="1">
      <alignment horizontal="center" vertical="center" wrapText="1"/>
    </xf>
    <xf numFmtId="3" fontId="8" fillId="6" borderId="40" xfId="1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 indent="1"/>
    </xf>
    <xf numFmtId="0" fontId="8" fillId="12" borderId="18" xfId="0" applyFont="1" applyFill="1" applyBorder="1" applyAlignment="1">
      <alignment horizontal="center" vertical="center"/>
    </xf>
    <xf numFmtId="4" fontId="8" fillId="0" borderId="19" xfId="1" applyNumberFormat="1" applyFont="1" applyBorder="1" applyAlignment="1">
      <alignment horizontal="center" vertical="center"/>
    </xf>
    <xf numFmtId="4" fontId="8" fillId="0" borderId="19" xfId="0" applyNumberFormat="1" applyFont="1" applyBorder="1" applyAlignment="1">
      <alignment horizontal="center" vertical="center" wrapText="1"/>
    </xf>
    <xf numFmtId="4" fontId="8" fillId="12" borderId="19" xfId="0" applyNumberFormat="1" applyFont="1" applyFill="1" applyBorder="1" applyAlignment="1">
      <alignment horizontal="center" vertical="center"/>
    </xf>
    <xf numFmtId="0" fontId="17" fillId="12" borderId="19" xfId="1" applyFont="1" applyFill="1" applyBorder="1" applyAlignment="1">
      <alignment horizontal="center" vertical="center"/>
    </xf>
    <xf numFmtId="4" fontId="17" fillId="0" borderId="19" xfId="1" applyNumberFormat="1" applyFont="1" applyBorder="1" applyAlignment="1">
      <alignment horizontal="center" vertical="center"/>
    </xf>
    <xf numFmtId="4" fontId="8" fillId="12" borderId="59" xfId="0" applyNumberFormat="1" applyFont="1" applyFill="1" applyBorder="1" applyAlignment="1">
      <alignment horizontal="center" vertical="center"/>
    </xf>
    <xf numFmtId="0" fontId="47" fillId="0" borderId="0" xfId="0" applyFont="1"/>
    <xf numFmtId="3" fontId="8" fillId="6" borderId="52" xfId="1" applyNumberFormat="1" applyFont="1" applyFill="1" applyBorder="1" applyAlignment="1">
      <alignment horizontal="center" vertical="center" wrapText="1"/>
    </xf>
    <xf numFmtId="0" fontId="8" fillId="12" borderId="59" xfId="0" applyFont="1" applyFill="1" applyBorder="1" applyAlignment="1">
      <alignment horizontal="center" vertical="center"/>
    </xf>
    <xf numFmtId="4" fontId="8" fillId="0" borderId="13" xfId="1" applyNumberFormat="1" applyFont="1" applyBorder="1" applyAlignment="1">
      <alignment horizontal="center" vertical="center"/>
    </xf>
    <xf numFmtId="4" fontId="8" fillId="0" borderId="13" xfId="0" applyNumberFormat="1" applyFont="1" applyBorder="1" applyAlignment="1">
      <alignment horizontal="center" vertical="center" wrapText="1"/>
    </xf>
    <xf numFmtId="4" fontId="8" fillId="12" borderId="13" xfId="0" applyNumberFormat="1" applyFont="1" applyFill="1" applyBorder="1" applyAlignment="1">
      <alignment horizontal="center" vertical="center"/>
    </xf>
    <xf numFmtId="0" fontId="17" fillId="12" borderId="13" xfId="1" applyFont="1" applyFill="1" applyBorder="1" applyAlignment="1">
      <alignment horizontal="center" vertical="center"/>
    </xf>
    <xf numFmtId="4" fontId="17" fillId="0" borderId="13" xfId="1" applyNumberFormat="1" applyFont="1" applyBorder="1" applyAlignment="1">
      <alignment horizontal="center" vertical="center"/>
    </xf>
    <xf numFmtId="3" fontId="8" fillId="6" borderId="5" xfId="1" applyNumberFormat="1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/>
    </xf>
    <xf numFmtId="4" fontId="8" fillId="12" borderId="1" xfId="0" applyNumberFormat="1" applyFont="1" applyFill="1" applyBorder="1" applyAlignment="1">
      <alignment horizontal="center" vertical="center"/>
    </xf>
    <xf numFmtId="0" fontId="17" fillId="12" borderId="1" xfId="1" applyFont="1" applyFill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4" fontId="8" fillId="12" borderId="0" xfId="1" applyNumberFormat="1" applyFont="1" applyFill="1" applyAlignment="1">
      <alignment vertical="center" wrapText="1"/>
    </xf>
    <xf numFmtId="4" fontId="16" fillId="12" borderId="9" xfId="1" applyNumberFormat="1" applyFont="1" applyFill="1" applyBorder="1" applyAlignment="1">
      <alignment horizontal="center" vertical="center" wrapText="1"/>
    </xf>
    <xf numFmtId="4" fontId="16" fillId="12" borderId="12" xfId="1" applyNumberFormat="1" applyFont="1" applyFill="1" applyBorder="1" applyAlignment="1">
      <alignment horizontal="center" vertical="center" wrapText="1"/>
    </xf>
    <xf numFmtId="4" fontId="8" fillId="12" borderId="6" xfId="1" applyNumberFormat="1" applyFont="1" applyFill="1" applyBorder="1" applyAlignment="1">
      <alignment horizontal="center" vertical="center" wrapText="1"/>
    </xf>
    <xf numFmtId="4" fontId="8" fillId="6" borderId="5" xfId="1" applyNumberFormat="1" applyFont="1" applyFill="1" applyBorder="1" applyAlignment="1">
      <alignment horizontal="left" vertical="center" wrapText="1"/>
    </xf>
    <xf numFmtId="4" fontId="8" fillId="6" borderId="6" xfId="1" applyNumberFormat="1" applyFont="1" applyFill="1" applyBorder="1" applyAlignment="1">
      <alignment horizontal="left" vertical="center" wrapText="1"/>
    </xf>
    <xf numFmtId="4" fontId="16" fillId="12" borderId="1" xfId="1" applyNumberFormat="1" applyFont="1" applyFill="1" applyBorder="1" applyAlignment="1">
      <alignment horizontal="center" vertical="center" wrapText="1"/>
    </xf>
    <xf numFmtId="4" fontId="16" fillId="12" borderId="19" xfId="1" applyNumberFormat="1" applyFont="1" applyFill="1" applyBorder="1" applyAlignment="1">
      <alignment horizontal="center" vertical="center" wrapText="1"/>
    </xf>
    <xf numFmtId="4" fontId="8" fillId="12" borderId="18" xfId="1" applyNumberFormat="1" applyFont="1" applyFill="1" applyBorder="1" applyAlignment="1">
      <alignment horizontal="center" vertical="center" wrapText="1"/>
    </xf>
    <xf numFmtId="4" fontId="8" fillId="0" borderId="19" xfId="1" applyNumberFormat="1" applyFont="1" applyBorder="1" applyAlignment="1">
      <alignment horizontal="center" vertical="center" wrapText="1"/>
    </xf>
    <xf numFmtId="4" fontId="8" fillId="0" borderId="27" xfId="0" applyNumberFormat="1" applyFont="1" applyBorder="1" applyAlignment="1">
      <alignment horizontal="center" vertical="center"/>
    </xf>
    <xf numFmtId="4" fontId="8" fillId="12" borderId="15" xfId="1" applyNumberFormat="1" applyFont="1" applyFill="1" applyBorder="1" applyAlignment="1">
      <alignment horizontal="center" vertical="center" wrapText="1"/>
    </xf>
    <xf numFmtId="4" fontId="8" fillId="0" borderId="15" xfId="1" applyNumberFormat="1" applyFont="1" applyBorder="1" applyAlignment="1">
      <alignment horizontal="center" vertical="center" wrapText="1"/>
    </xf>
    <xf numFmtId="4" fontId="17" fillId="12" borderId="12" xfId="0" applyNumberFormat="1" applyFont="1" applyFill="1" applyBorder="1" applyAlignment="1">
      <alignment horizontal="center" vertical="center"/>
    </xf>
    <xf numFmtId="0" fontId="8" fillId="12" borderId="25" xfId="0" applyFont="1" applyFill="1" applyBorder="1" applyAlignment="1">
      <alignment horizontal="center" vertical="center"/>
    </xf>
    <xf numFmtId="4" fontId="8" fillId="0" borderId="24" xfId="0" applyNumberFormat="1" applyFont="1" applyBorder="1" applyAlignment="1">
      <alignment horizontal="center" vertical="center"/>
    </xf>
    <xf numFmtId="0" fontId="17" fillId="12" borderId="15" xfId="0" applyFont="1" applyFill="1" applyBorder="1" applyAlignment="1">
      <alignment horizontal="center" vertical="center"/>
    </xf>
    <xf numFmtId="167" fontId="17" fillId="0" borderId="15" xfId="0" applyNumberFormat="1" applyFont="1" applyBorder="1" applyAlignment="1">
      <alignment horizontal="center" vertical="center"/>
    </xf>
    <xf numFmtId="4" fontId="17" fillId="0" borderId="15" xfId="0" applyNumberFormat="1" applyFont="1" applyBorder="1" applyAlignment="1">
      <alignment horizontal="center" vertical="center" wrapText="1"/>
    </xf>
    <xf numFmtId="0" fontId="8" fillId="0" borderId="42" xfId="1" applyFont="1" applyBorder="1" applyAlignment="1">
      <alignment horizontal="center" vertical="center" wrapText="1"/>
    </xf>
    <xf numFmtId="0" fontId="8" fillId="12" borderId="11" xfId="0" applyFont="1" applyFill="1" applyBorder="1" applyAlignment="1">
      <alignment horizontal="center" vertical="center"/>
    </xf>
    <xf numFmtId="4" fontId="8" fillId="0" borderId="27" xfId="1" applyNumberFormat="1" applyFont="1" applyBorder="1" applyAlignment="1">
      <alignment horizontal="center" vertical="center"/>
    </xf>
    <xf numFmtId="4" fontId="8" fillId="0" borderId="42" xfId="0" applyNumberFormat="1" applyFont="1" applyBorder="1" applyAlignment="1">
      <alignment horizontal="center" vertical="center"/>
    </xf>
    <xf numFmtId="4" fontId="8" fillId="12" borderId="12" xfId="0" applyNumberFormat="1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 wrapText="1"/>
    </xf>
    <xf numFmtId="4" fontId="8" fillId="0" borderId="19" xfId="0" applyNumberFormat="1" applyFont="1" applyBorder="1" applyAlignment="1">
      <alignment horizontal="center" vertical="center"/>
    </xf>
    <xf numFmtId="4" fontId="8" fillId="12" borderId="15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24" xfId="1" applyFont="1" applyFill="1" applyBorder="1" applyAlignment="1">
      <alignment horizontal="center" vertical="center" wrapText="1"/>
    </xf>
    <xf numFmtId="0" fontId="8" fillId="12" borderId="42" xfId="1" applyFont="1" applyFill="1" applyBorder="1" applyAlignment="1">
      <alignment horizontal="center" vertical="center" wrapText="1"/>
    </xf>
    <xf numFmtId="0" fontId="8" fillId="12" borderId="52" xfId="1" applyFont="1" applyFill="1" applyBorder="1" applyAlignment="1">
      <alignment horizontal="center" vertical="center" wrapText="1"/>
    </xf>
    <xf numFmtId="0" fontId="8" fillId="12" borderId="5" xfId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4" fontId="8" fillId="6" borderId="6" xfId="1" applyNumberFormat="1" applyFont="1" applyFill="1" applyBorder="1" applyAlignment="1">
      <alignment horizontal="center" vertical="center" wrapText="1"/>
    </xf>
    <xf numFmtId="4" fontId="8" fillId="0" borderId="5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2" fontId="8" fillId="0" borderId="1" xfId="1" applyNumberFormat="1" applyFont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right" vertical="center" wrapText="1"/>
    </xf>
    <xf numFmtId="4" fontId="16" fillId="0" borderId="5" xfId="1" applyNumberFormat="1" applyFont="1" applyBorder="1" applyAlignment="1">
      <alignment horizontal="right" vertical="center" wrapText="1"/>
    </xf>
    <xf numFmtId="0" fontId="7" fillId="0" borderId="0" xfId="0" applyFont="1"/>
    <xf numFmtId="1" fontId="16" fillId="0" borderId="0" xfId="1" applyNumberFormat="1" applyFont="1" applyAlignment="1">
      <alignment horizontal="center" vertical="center" wrapText="1"/>
    </xf>
    <xf numFmtId="1" fontId="16" fillId="0" borderId="0" xfId="1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/>
    <xf numFmtId="167" fontId="17" fillId="0" borderId="1" xfId="0" quotePrefix="1" applyNumberFormat="1" applyFont="1" applyBorder="1" applyAlignment="1">
      <alignment horizontal="center" vertical="center"/>
    </xf>
    <xf numFmtId="4" fontId="8" fillId="0" borderId="9" xfId="1" applyNumberFormat="1" applyFont="1" applyBorder="1" applyAlignment="1">
      <alignment horizontal="center" vertical="center"/>
    </xf>
    <xf numFmtId="4" fontId="16" fillId="12" borderId="1" xfId="1" applyNumberFormat="1" applyFont="1" applyFill="1" applyBorder="1" applyAlignment="1">
      <alignment horizontal="left" vertical="center" wrapText="1"/>
    </xf>
    <xf numFmtId="4" fontId="16" fillId="6" borderId="1" xfId="1" applyNumberFormat="1" applyFont="1" applyFill="1" applyBorder="1" applyAlignment="1">
      <alignment vertical="center" wrapText="1"/>
    </xf>
    <xf numFmtId="4" fontId="8" fillId="6" borderId="13" xfId="1" applyNumberFormat="1" applyFont="1" applyFill="1" applyBorder="1" applyAlignment="1">
      <alignment horizontal="left" vertical="center" wrapText="1"/>
    </xf>
    <xf numFmtId="3" fontId="8" fillId="6" borderId="13" xfId="1" applyNumberFormat="1" applyFont="1" applyFill="1" applyBorder="1" applyAlignment="1">
      <alignment horizontal="left" vertical="center" wrapText="1"/>
    </xf>
    <xf numFmtId="4" fontId="16" fillId="6" borderId="19" xfId="1" applyNumberFormat="1" applyFont="1" applyFill="1" applyBorder="1" applyAlignment="1">
      <alignment horizontal="center" vertical="center" wrapText="1"/>
    </xf>
    <xf numFmtId="1" fontId="16" fillId="0" borderId="12" xfId="1" applyNumberFormat="1" applyFont="1" applyBorder="1" applyAlignment="1">
      <alignment horizontal="center" vertical="center" wrapText="1"/>
    </xf>
    <xf numFmtId="2" fontId="16" fillId="0" borderId="1" xfId="1" applyNumberFormat="1" applyFont="1" applyBorder="1" applyAlignment="1">
      <alignment horizontal="right" vertical="center" wrapText="1"/>
    </xf>
    <xf numFmtId="0" fontId="7" fillId="0" borderId="1" xfId="0" applyFont="1" applyBorder="1"/>
    <xf numFmtId="4" fontId="12" fillId="0" borderId="0" xfId="0" applyNumberFormat="1" applyFont="1" applyAlignment="1">
      <alignment horizontal="left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1" fontId="17" fillId="0" borderId="9" xfId="0" applyNumberFormat="1" applyFont="1" applyBorder="1" applyAlignment="1">
      <alignment horizontal="center" vertical="center"/>
    </xf>
    <xf numFmtId="4" fontId="8" fillId="6" borderId="5" xfId="0" applyNumberFormat="1" applyFont="1" applyFill="1" applyBorder="1" applyAlignment="1">
      <alignment horizontal="center" vertical="center"/>
    </xf>
    <xf numFmtId="4" fontId="18" fillId="0" borderId="42" xfId="0" applyNumberFormat="1" applyFont="1" applyBorder="1" applyAlignment="1">
      <alignment horizontal="center"/>
    </xf>
    <xf numFmtId="4" fontId="18" fillId="0" borderId="5" xfId="0" applyNumberFormat="1" applyFont="1" applyBorder="1" applyAlignment="1">
      <alignment horizontal="center"/>
    </xf>
    <xf numFmtId="0" fontId="34" fillId="0" borderId="10" xfId="0" applyFont="1" applyBorder="1" applyAlignment="1">
      <alignment vertical="center"/>
    </xf>
    <xf numFmtId="0" fontId="34" fillId="0" borderId="25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9" fillId="6" borderId="0" xfId="0" applyFont="1" applyFill="1" applyAlignment="1">
      <alignment vertical="center"/>
    </xf>
    <xf numFmtId="2" fontId="17" fillId="6" borderId="9" xfId="0" applyNumberFormat="1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vertical="center"/>
    </xf>
    <xf numFmtId="4" fontId="16" fillId="0" borderId="0" xfId="1" applyNumberFormat="1" applyFont="1" applyAlignment="1">
      <alignment horizontal="left" vertical="center" wrapText="1"/>
    </xf>
    <xf numFmtId="4" fontId="8" fillId="0" borderId="14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4" fontId="18" fillId="0" borderId="10" xfId="0" applyNumberFormat="1" applyFont="1" applyBorder="1" applyAlignment="1">
      <alignment horizontal="center"/>
    </xf>
    <xf numFmtId="4" fontId="8" fillId="6" borderId="6" xfId="1" applyNumberFormat="1" applyFont="1" applyFill="1" applyBorder="1" applyAlignment="1">
      <alignment horizontal="center" vertical="center"/>
    </xf>
    <xf numFmtId="0" fontId="8" fillId="6" borderId="13" xfId="1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4" fontId="8" fillId="6" borderId="65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4" fontId="16" fillId="0" borderId="6" xfId="1" applyNumberFormat="1" applyFont="1" applyBorder="1" applyAlignment="1">
      <alignment horizontal="center" vertical="center" wrapText="1"/>
    </xf>
    <xf numFmtId="4" fontId="16" fillId="0" borderId="6" xfId="1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/>
    </xf>
    <xf numFmtId="4" fontId="16" fillId="0" borderId="6" xfId="0" applyNumberFormat="1" applyFont="1" applyBorder="1" applyAlignment="1">
      <alignment horizontal="center" vertical="center"/>
    </xf>
    <xf numFmtId="4" fontId="16" fillId="0" borderId="23" xfId="0" applyNumberFormat="1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8" fillId="21" borderId="1" xfId="1" applyFont="1" applyFill="1" applyBorder="1" applyAlignment="1">
      <alignment horizontal="center" vertical="center" wrapText="1"/>
    </xf>
    <xf numFmtId="4" fontId="16" fillId="14" borderId="19" xfId="1" applyNumberFormat="1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4" fontId="17" fillId="6" borderId="13" xfId="0" applyNumberFormat="1" applyFont="1" applyFill="1" applyBorder="1" applyAlignment="1">
      <alignment horizontal="center" vertical="center"/>
    </xf>
    <xf numFmtId="4" fontId="17" fillId="6" borderId="13" xfId="0" applyNumberFormat="1" applyFont="1" applyFill="1" applyBorder="1" applyAlignment="1">
      <alignment horizontal="center" vertical="center" wrapText="1"/>
    </xf>
    <xf numFmtId="4" fontId="16" fillId="10" borderId="19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2" fontId="1" fillId="21" borderId="16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4" fontId="8" fillId="6" borderId="19" xfId="1" applyNumberFormat="1" applyFont="1" applyFill="1" applyBorder="1" applyAlignment="1">
      <alignment horizontal="center" vertical="center" wrapText="1"/>
    </xf>
    <xf numFmtId="2" fontId="17" fillId="29" borderId="13" xfId="0" applyNumberFormat="1" applyFont="1" applyFill="1" applyBorder="1" applyAlignment="1">
      <alignment horizontal="center" vertical="center"/>
    </xf>
    <xf numFmtId="4" fontId="8" fillId="6" borderId="19" xfId="1" applyNumberFormat="1" applyFont="1" applyFill="1" applyBorder="1" applyAlignment="1">
      <alignment horizontal="left" vertical="center" wrapText="1"/>
    </xf>
    <xf numFmtId="3" fontId="8" fillId="0" borderId="1" xfId="1" applyNumberFormat="1" applyFont="1" applyBorder="1" applyAlignment="1">
      <alignment horizontal="left" vertical="center" wrapText="1"/>
    </xf>
    <xf numFmtId="3" fontId="8" fillId="0" borderId="19" xfId="1" applyNumberFormat="1" applyFont="1" applyBorder="1" applyAlignment="1">
      <alignment horizontal="center" vertical="center" wrapText="1"/>
    </xf>
    <xf numFmtId="2" fontId="8" fillId="21" borderId="1" xfId="1" applyNumberFormat="1" applyFont="1" applyFill="1" applyBorder="1" applyAlignment="1">
      <alignment horizontal="center" vertical="center" wrapText="1"/>
    </xf>
    <xf numFmtId="3" fontId="8" fillId="30" borderId="1" xfId="1" applyNumberFormat="1" applyFont="1" applyFill="1" applyBorder="1" applyAlignment="1">
      <alignment horizontal="left" vertical="center" wrapText="1"/>
    </xf>
    <xf numFmtId="3" fontId="8" fillId="30" borderId="1" xfId="1" applyNumberFormat="1" applyFont="1" applyFill="1" applyBorder="1" applyAlignment="1">
      <alignment horizontal="center" vertical="center" wrapText="1"/>
    </xf>
    <xf numFmtId="4" fontId="8" fillId="30" borderId="19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4" fontId="52" fillId="10" borderId="1" xfId="0" applyNumberFormat="1" applyFont="1" applyFill="1" applyBorder="1" applyAlignment="1">
      <alignment horizontal="center" vertical="center"/>
    </xf>
    <xf numFmtId="4" fontId="8" fillId="6" borderId="19" xfId="1" applyNumberFormat="1" applyFont="1" applyFill="1" applyBorder="1" applyAlignment="1">
      <alignment vertical="center" wrapText="1"/>
    </xf>
    <xf numFmtId="3" fontId="8" fillId="10" borderId="1" xfId="1" applyNumberFormat="1" applyFont="1" applyFill="1" applyBorder="1" applyAlignment="1">
      <alignment horizontal="center" vertical="center" wrapText="1"/>
    </xf>
    <xf numFmtId="3" fontId="52" fillId="10" borderId="1" xfId="1" applyNumberFormat="1" applyFont="1" applyFill="1" applyBorder="1" applyAlignment="1">
      <alignment horizontal="center" vertical="center" wrapText="1"/>
    </xf>
    <xf numFmtId="4" fontId="8" fillId="10" borderId="19" xfId="1" applyNumberFormat="1" applyFont="1" applyFill="1" applyBorder="1" applyAlignment="1">
      <alignment horizontal="center" vertical="center" wrapText="1"/>
    </xf>
    <xf numFmtId="3" fontId="8" fillId="21" borderId="1" xfId="1" applyNumberFormat="1" applyFont="1" applyFill="1" applyBorder="1" applyAlignment="1">
      <alignment horizontal="center" vertical="center" wrapText="1"/>
    </xf>
    <xf numFmtId="3" fontId="8" fillId="19" borderId="1" xfId="1" applyNumberFormat="1" applyFont="1" applyFill="1" applyBorder="1" applyAlignment="1">
      <alignment horizontal="center" vertical="center" wrapText="1"/>
    </xf>
    <xf numFmtId="4" fontId="19" fillId="0" borderId="1" xfId="0" applyNumberFormat="1" applyFont="1" applyBorder="1" applyAlignment="1">
      <alignment horizontal="left" vertical="center"/>
    </xf>
    <xf numFmtId="167" fontId="8" fillId="6" borderId="1" xfId="1" applyNumberFormat="1" applyFont="1" applyFill="1" applyBorder="1" applyAlignment="1">
      <alignment horizontal="center" vertical="center" wrapText="1"/>
    </xf>
    <xf numFmtId="166" fontId="8" fillId="6" borderId="1" xfId="1" applyNumberFormat="1" applyFont="1" applyFill="1" applyBorder="1" applyAlignment="1">
      <alignment horizontal="center" vertical="center" wrapText="1"/>
    </xf>
    <xf numFmtId="1" fontId="8" fillId="6" borderId="1" xfId="1" applyNumberFormat="1" applyFont="1" applyFill="1" applyBorder="1" applyAlignment="1">
      <alignment horizontal="center" vertical="center" wrapText="1"/>
    </xf>
    <xf numFmtId="4" fontId="57" fillId="12" borderId="0" xfId="1" applyNumberFormat="1" applyFont="1" applyFill="1" applyAlignment="1">
      <alignment horizontal="center" vertical="center" wrapText="1"/>
    </xf>
    <xf numFmtId="4" fontId="15" fillId="12" borderId="0" xfId="1" applyNumberFormat="1" applyFont="1" applyFill="1" applyAlignment="1">
      <alignment horizontal="right" vertical="center" wrapText="1"/>
    </xf>
    <xf numFmtId="4" fontId="58" fillId="12" borderId="0" xfId="1" applyNumberFormat="1" applyFont="1" applyFill="1" applyAlignment="1">
      <alignment horizontal="center" vertical="center" wrapText="1"/>
    </xf>
    <xf numFmtId="49" fontId="8" fillId="6" borderId="1" xfId="1" applyNumberFormat="1" applyFont="1" applyFill="1" applyBorder="1" applyAlignment="1">
      <alignment horizontal="center" vertical="center" wrapText="1"/>
    </xf>
    <xf numFmtId="0" fontId="8" fillId="6" borderId="0" xfId="1" applyFont="1" applyFill="1" applyAlignment="1">
      <alignment vertical="center"/>
    </xf>
    <xf numFmtId="0" fontId="8" fillId="6" borderId="0" xfId="1" applyFont="1" applyFill="1" applyAlignment="1">
      <alignment horizontal="center" vertical="center"/>
    </xf>
    <xf numFmtId="4" fontId="16" fillId="6" borderId="12" xfId="1" applyNumberFormat="1" applyFont="1" applyFill="1" applyBorder="1" applyAlignment="1">
      <alignment horizontal="center" vertical="center"/>
    </xf>
    <xf numFmtId="2" fontId="8" fillId="6" borderId="0" xfId="1" applyNumberFormat="1" applyFont="1" applyFill="1" applyAlignment="1">
      <alignment vertical="center"/>
    </xf>
    <xf numFmtId="4" fontId="8" fillId="6" borderId="0" xfId="1" applyNumberFormat="1" applyFont="1" applyFill="1" applyAlignment="1">
      <alignment vertical="center"/>
    </xf>
    <xf numFmtId="0" fontId="16" fillId="6" borderId="0" xfId="1" applyFont="1" applyFill="1" applyAlignment="1">
      <alignment vertical="center"/>
    </xf>
    <xf numFmtId="2" fontId="8" fillId="6" borderId="0" xfId="1" applyNumberFormat="1" applyFont="1" applyFill="1" applyAlignment="1">
      <alignment horizontal="center" vertical="center" wrapText="1"/>
    </xf>
    <xf numFmtId="49" fontId="8" fillId="6" borderId="19" xfId="1" applyNumberFormat="1" applyFont="1" applyFill="1" applyBorder="1" applyAlignment="1">
      <alignment horizontal="center" vertical="center" wrapText="1"/>
    </xf>
    <xf numFmtId="49" fontId="8" fillId="6" borderId="0" xfId="1" applyNumberFormat="1" applyFont="1" applyFill="1" applyAlignment="1">
      <alignment horizontal="center" vertical="center" wrapText="1"/>
    </xf>
    <xf numFmtId="3" fontId="8" fillId="0" borderId="0" xfId="1" applyNumberFormat="1" applyFont="1" applyAlignment="1">
      <alignment horizontal="left" vertical="center" wrapText="1"/>
    </xf>
    <xf numFmtId="3" fontId="8" fillId="0" borderId="0" xfId="1" applyNumberFormat="1" applyFont="1" applyAlignment="1">
      <alignment horizontal="center" vertical="center" wrapText="1"/>
    </xf>
    <xf numFmtId="0" fontId="59" fillId="0" borderId="0" xfId="0" applyFont="1" applyAlignment="1">
      <alignment vertical="center"/>
    </xf>
    <xf numFmtId="2" fontId="8" fillId="0" borderId="19" xfId="1" applyNumberFormat="1" applyFont="1" applyBorder="1" applyAlignment="1">
      <alignment horizontal="center" vertical="center" wrapText="1"/>
    </xf>
    <xf numFmtId="3" fontId="16" fillId="6" borderId="12" xfId="1" applyNumberFormat="1" applyFont="1" applyFill="1" applyBorder="1" applyAlignment="1">
      <alignment horizontal="center" vertical="center" wrapText="1"/>
    </xf>
    <xf numFmtId="0" fontId="60" fillId="0" borderId="0" xfId="0" applyFont="1"/>
    <xf numFmtId="0" fontId="11" fillId="12" borderId="0" xfId="1" applyFont="1" applyFill="1" applyAlignment="1">
      <alignment horizontal="center" vertical="center"/>
    </xf>
    <xf numFmtId="3" fontId="11" fillId="12" borderId="0" xfId="1" applyNumberFormat="1" applyFont="1" applyFill="1" applyAlignment="1">
      <alignment horizontal="center" vertical="center" wrapText="1"/>
    </xf>
    <xf numFmtId="4" fontId="8" fillId="0" borderId="6" xfId="1" applyNumberFormat="1" applyFont="1" applyBorder="1" applyAlignment="1">
      <alignment vertical="center" wrapText="1"/>
    </xf>
    <xf numFmtId="4" fontId="16" fillId="6" borderId="12" xfId="2" applyNumberFormat="1" applyFont="1" applyFill="1" applyBorder="1" applyAlignment="1">
      <alignment horizontal="center" vertical="center" wrapText="1"/>
    </xf>
    <xf numFmtId="4" fontId="16" fillId="6" borderId="0" xfId="2" applyNumberFormat="1" applyFont="1" applyFill="1" applyAlignment="1">
      <alignment horizontal="right" vertical="center" wrapText="1"/>
    </xf>
    <xf numFmtId="4" fontId="16" fillId="6" borderId="0" xfId="2" applyNumberFormat="1" applyFont="1" applyFill="1" applyAlignment="1">
      <alignment horizontal="center" vertical="center" wrapText="1"/>
    </xf>
    <xf numFmtId="3" fontId="60" fillId="0" borderId="0" xfId="0" applyNumberFormat="1" applyFont="1"/>
    <xf numFmtId="172" fontId="60" fillId="0" borderId="0" xfId="0" applyNumberFormat="1" applyFont="1"/>
    <xf numFmtId="4" fontId="16" fillId="0" borderId="0" xfId="1" applyNumberFormat="1" applyFont="1" applyAlignment="1">
      <alignment horizontal="center" vertical="center"/>
    </xf>
    <xf numFmtId="172" fontId="16" fillId="0" borderId="0" xfId="1" applyNumberFormat="1" applyFont="1" applyAlignment="1">
      <alignment horizontal="center" vertical="center"/>
    </xf>
    <xf numFmtId="173" fontId="60" fillId="0" borderId="0" xfId="0" applyNumberFormat="1" applyFont="1"/>
    <xf numFmtId="0" fontId="60" fillId="0" borderId="0" xfId="0" applyFont="1" applyAlignment="1">
      <alignment horizontal="center" vertical="center"/>
    </xf>
    <xf numFmtId="0" fontId="61" fillId="0" borderId="0" xfId="0" applyFont="1"/>
    <xf numFmtId="3" fontId="60" fillId="0" borderId="0" xfId="0" applyNumberFormat="1" applyFont="1" applyAlignment="1">
      <alignment horizontal="center" vertical="center"/>
    </xf>
    <xf numFmtId="4" fontId="20" fillId="0" borderId="0" xfId="0" applyNumberFormat="1" applyFont="1" applyAlignment="1">
      <alignment horizontal="left" vertical="center"/>
    </xf>
    <xf numFmtId="0" fontId="62" fillId="0" borderId="0" xfId="0" applyFont="1"/>
    <xf numFmtId="4" fontId="62" fillId="0" borderId="0" xfId="0" applyNumberFormat="1" applyFont="1" applyAlignment="1">
      <alignment horizontal="right" vertical="center"/>
    </xf>
    <xf numFmtId="4" fontId="62" fillId="0" borderId="0" xfId="0" applyNumberFormat="1" applyFont="1" applyAlignment="1">
      <alignment horizontal="left" vertical="center"/>
    </xf>
    <xf numFmtId="4" fontId="60" fillId="0" borderId="0" xfId="0" applyNumberFormat="1" applyFont="1" applyAlignment="1">
      <alignment horizontal="left" vertical="center"/>
    </xf>
    <xf numFmtId="4" fontId="60" fillId="0" borderId="0" xfId="0" applyNumberFormat="1" applyFont="1" applyAlignment="1">
      <alignment horizontal="right" vertical="center"/>
    </xf>
    <xf numFmtId="4" fontId="16" fillId="0" borderId="37" xfId="1" applyNumberFormat="1" applyFont="1" applyBorder="1" applyAlignment="1">
      <alignment horizontal="center" vertical="center" wrapText="1"/>
    </xf>
    <xf numFmtId="4" fontId="16" fillId="0" borderId="33" xfId="1" applyNumberFormat="1" applyFont="1" applyBorder="1" applyAlignment="1">
      <alignment horizontal="center" vertical="center" wrapText="1"/>
    </xf>
    <xf numFmtId="4" fontId="8" fillId="0" borderId="33" xfId="0" applyNumberFormat="1" applyFont="1" applyBorder="1"/>
    <xf numFmtId="4" fontId="16" fillId="0" borderId="39" xfId="1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 wrapText="1"/>
    </xf>
    <xf numFmtId="2" fontId="8" fillId="6" borderId="13" xfId="0" applyNumberFormat="1" applyFont="1" applyFill="1" applyBorder="1" applyAlignment="1">
      <alignment horizontal="center" vertical="center"/>
    </xf>
    <xf numFmtId="4" fontId="8" fillId="6" borderId="13" xfId="0" applyNumberFormat="1" applyFont="1" applyFill="1" applyBorder="1" applyAlignment="1">
      <alignment horizontal="center" vertical="center" wrapText="1"/>
    </xf>
    <xf numFmtId="4" fontId="34" fillId="0" borderId="1" xfId="0" applyNumberFormat="1" applyFont="1" applyBorder="1" applyAlignment="1">
      <alignment horizontal="left" vertical="center"/>
    </xf>
    <xf numFmtId="0" fontId="17" fillId="6" borderId="59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/>
    </xf>
    <xf numFmtId="3" fontId="16" fillId="6" borderId="1" xfId="1" applyNumberFormat="1" applyFont="1" applyFill="1" applyBorder="1" applyAlignment="1">
      <alignment horizontal="center" vertical="center" wrapText="1"/>
    </xf>
    <xf numFmtId="3" fontId="16" fillId="0" borderId="6" xfId="1" applyNumberFormat="1" applyFont="1" applyBorder="1" applyAlignment="1">
      <alignment horizontal="center" vertical="center" wrapText="1"/>
    </xf>
    <xf numFmtId="3" fontId="16" fillId="0" borderId="6" xfId="1" applyNumberFormat="1" applyFont="1" applyBorder="1" applyAlignment="1">
      <alignment horizontal="center" vertical="center"/>
    </xf>
    <xf numFmtId="3" fontId="16" fillId="0" borderId="6" xfId="0" applyNumberFormat="1" applyFont="1" applyBorder="1" applyAlignment="1">
      <alignment horizontal="center" vertical="center"/>
    </xf>
    <xf numFmtId="3" fontId="16" fillId="0" borderId="23" xfId="0" applyNumberFormat="1" applyFont="1" applyBorder="1" applyAlignment="1">
      <alignment horizontal="center" vertical="center"/>
    </xf>
    <xf numFmtId="174" fontId="8" fillId="6" borderId="1" xfId="1" applyNumberFormat="1" applyFont="1" applyFill="1" applyBorder="1" applyAlignment="1">
      <alignment horizontal="center" vertical="center" wrapText="1"/>
    </xf>
    <xf numFmtId="0" fontId="0" fillId="0" borderId="0" xfId="0" applyProtection="1">
      <protection hidden="1"/>
    </xf>
    <xf numFmtId="0" fontId="51" fillId="0" borderId="0" xfId="0" applyFont="1" applyAlignment="1" applyProtection="1">
      <alignment horizontal="center"/>
      <protection hidden="1"/>
    </xf>
    <xf numFmtId="4" fontId="8" fillId="6" borderId="19" xfId="1" applyNumberFormat="1" applyFont="1" applyFill="1" applyBorder="1" applyAlignment="1" applyProtection="1">
      <alignment horizontal="center" vertical="center" wrapText="1"/>
      <protection hidden="1"/>
    </xf>
    <xf numFmtId="0" fontId="17" fillId="6" borderId="13" xfId="0" applyFont="1" applyFill="1" applyBorder="1" applyAlignment="1" applyProtection="1">
      <alignment horizontal="center" vertical="center" wrapText="1"/>
      <protection hidden="1"/>
    </xf>
    <xf numFmtId="4" fontId="17" fillId="6" borderId="13" xfId="0" applyNumberFormat="1" applyFont="1" applyFill="1" applyBorder="1" applyAlignment="1" applyProtection="1">
      <alignment horizontal="center" vertical="center"/>
      <protection hidden="1"/>
    </xf>
    <xf numFmtId="4" fontId="17" fillId="6" borderId="13" xfId="0" applyNumberFormat="1" applyFont="1" applyFill="1" applyBorder="1" applyAlignment="1" applyProtection="1">
      <alignment horizontal="center" vertical="center" wrapText="1"/>
      <protection hidden="1"/>
    </xf>
    <xf numFmtId="4" fontId="8" fillId="0" borderId="19" xfId="1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1" xfId="1" applyFont="1" applyBorder="1" applyAlignment="1" applyProtection="1">
      <alignment horizontal="center" vertical="center" wrapText="1"/>
      <protection hidden="1"/>
    </xf>
    <xf numFmtId="4" fontId="8" fillId="0" borderId="1" xfId="1" applyNumberFormat="1" applyFont="1" applyBorder="1" applyAlignment="1" applyProtection="1">
      <alignment horizontal="center" vertical="center" wrapText="1"/>
      <protection hidden="1"/>
    </xf>
    <xf numFmtId="4" fontId="8" fillId="6" borderId="19" xfId="1" applyNumberFormat="1" applyFont="1" applyFill="1" applyBorder="1" applyAlignment="1" applyProtection="1">
      <alignment horizontal="left" vertical="top" wrapText="1" indent="1"/>
      <protection hidden="1"/>
    </xf>
    <xf numFmtId="1" fontId="17" fillId="6" borderId="13" xfId="0" applyNumberFormat="1" applyFont="1" applyFill="1" applyBorder="1" applyAlignment="1" applyProtection="1">
      <alignment horizontal="center" vertical="center"/>
      <protection hidden="1"/>
    </xf>
    <xf numFmtId="3" fontId="8" fillId="0" borderId="1" xfId="1" applyNumberFormat="1" applyFont="1" applyBorder="1" applyAlignment="1" applyProtection="1">
      <alignment horizontal="left" vertical="center" wrapText="1"/>
      <protection hidden="1"/>
    </xf>
    <xf numFmtId="3" fontId="8" fillId="0" borderId="1" xfId="1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Protection="1">
      <protection hidden="1"/>
    </xf>
    <xf numFmtId="4" fontId="16" fillId="14" borderId="19" xfId="1" applyNumberFormat="1" applyFont="1" applyFill="1" applyBorder="1" applyAlignment="1" applyProtection="1">
      <alignment horizontal="center" vertical="center" wrapText="1"/>
      <protection hidden="1"/>
    </xf>
    <xf numFmtId="4" fontId="16" fillId="10" borderId="19" xfId="1" applyNumberFormat="1" applyFont="1" applyFill="1" applyBorder="1" applyAlignment="1" applyProtection="1">
      <alignment horizontal="center" vertical="center" wrapText="1"/>
      <protection hidden="1"/>
    </xf>
    <xf numFmtId="4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0" fontId="17" fillId="6" borderId="1" xfId="0" applyFont="1" applyFill="1" applyBorder="1" applyAlignment="1" applyProtection="1">
      <alignment horizontal="center" vertical="center" wrapText="1"/>
      <protection hidden="1"/>
    </xf>
    <xf numFmtId="2" fontId="17" fillId="6" borderId="1" xfId="0" applyNumberFormat="1" applyFont="1" applyFill="1" applyBorder="1" applyAlignment="1" applyProtection="1">
      <alignment horizontal="center" vertical="center"/>
      <protection hidden="1"/>
    </xf>
    <xf numFmtId="4" fontId="17" fillId="6" borderId="1" xfId="0" applyNumberFormat="1" applyFont="1" applyFill="1" applyBorder="1" applyAlignment="1" applyProtection="1">
      <alignment horizontal="center" vertical="center" wrapText="1"/>
      <protection hidden="1"/>
    </xf>
    <xf numFmtId="4" fontId="8" fillId="6" borderId="1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1" xfId="0" applyNumberFormat="1" applyFont="1" applyFill="1" applyBorder="1" applyAlignment="1" applyProtection="1">
      <alignment horizontal="center" vertical="center"/>
      <protection hidden="1"/>
    </xf>
    <xf numFmtId="3" fontId="8" fillId="10" borderId="1" xfId="1" applyNumberFormat="1" applyFont="1" applyFill="1" applyBorder="1" applyAlignment="1" applyProtection="1">
      <alignment horizontal="left" vertical="center" wrapText="1"/>
      <protection hidden="1"/>
    </xf>
    <xf numFmtId="2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2" fontId="8" fillId="0" borderId="1" xfId="1" applyNumberFormat="1" applyFont="1" applyBorder="1" applyAlignment="1" applyProtection="1">
      <alignment horizontal="center" vertical="center" wrapText="1"/>
      <protection hidden="1"/>
    </xf>
    <xf numFmtId="1" fontId="8" fillId="0" borderId="1" xfId="1" applyNumberFormat="1" applyFont="1" applyBorder="1" applyAlignment="1" applyProtection="1">
      <alignment horizontal="center" vertical="center" wrapText="1"/>
      <protection hidden="1"/>
    </xf>
    <xf numFmtId="2" fontId="26" fillId="0" borderId="1" xfId="1" applyNumberFormat="1" applyFont="1" applyBorder="1" applyAlignment="1" applyProtection="1">
      <alignment horizontal="center" vertical="center" wrapText="1"/>
      <protection hidden="1"/>
    </xf>
    <xf numFmtId="2" fontId="5" fillId="0" borderId="0" xfId="0" applyNumberFormat="1" applyFont="1" applyProtection="1">
      <protection hidden="1"/>
    </xf>
    <xf numFmtId="0" fontId="55" fillId="10" borderId="0" xfId="0" applyFont="1" applyFill="1" applyAlignment="1" applyProtection="1">
      <alignment horizontal="center"/>
      <protection hidden="1"/>
    </xf>
    <xf numFmtId="166" fontId="26" fillId="10" borderId="19" xfId="1" applyNumberFormat="1" applyFont="1" applyFill="1" applyBorder="1" applyAlignment="1" applyProtection="1">
      <alignment horizontal="center" vertical="center" wrapText="1"/>
      <protection hidden="1"/>
    </xf>
    <xf numFmtId="4" fontId="26" fillId="10" borderId="19" xfId="1" applyNumberFormat="1" applyFont="1" applyFill="1" applyBorder="1" applyAlignment="1" applyProtection="1">
      <alignment horizontal="center" vertical="center" wrapText="1"/>
      <protection hidden="1"/>
    </xf>
    <xf numFmtId="167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3" fontId="8" fillId="11" borderId="1" xfId="1" applyNumberFormat="1" applyFont="1" applyFill="1" applyBorder="1" applyAlignment="1" applyProtection="1">
      <alignment horizontal="center" vertical="center" wrapText="1"/>
      <protection hidden="1"/>
    </xf>
    <xf numFmtId="3" fontId="8" fillId="0" borderId="1" xfId="1" applyNumberFormat="1" applyFont="1" applyBorder="1" applyAlignment="1" applyProtection="1">
      <alignment horizontal="left" wrapText="1"/>
      <protection hidden="1"/>
    </xf>
    <xf numFmtId="1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3" fontId="8" fillId="31" borderId="1" xfId="1" applyNumberFormat="1" applyFont="1" applyFill="1" applyBorder="1" applyAlignment="1" applyProtection="1">
      <alignment horizontal="center" vertical="center" wrapText="1"/>
      <protection hidden="1"/>
    </xf>
    <xf numFmtId="4" fontId="8" fillId="10" borderId="19" xfId="1" applyNumberFormat="1" applyFont="1" applyFill="1" applyBorder="1" applyAlignment="1" applyProtection="1">
      <alignment horizontal="center" vertical="center" wrapText="1"/>
      <protection hidden="1"/>
    </xf>
    <xf numFmtId="0" fontId="0" fillId="31" borderId="0" xfId="0" applyFill="1" applyAlignment="1" applyProtection="1">
      <alignment horizontal="center" vertical="center"/>
      <protection hidden="1"/>
    </xf>
    <xf numFmtId="3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3" fontId="56" fillId="0" borderId="0" xfId="1" applyNumberFormat="1" applyFont="1" applyAlignment="1" applyProtection="1">
      <alignment horizontal="center" vertical="center" wrapText="1"/>
      <protection hidden="1"/>
    </xf>
    <xf numFmtId="0" fontId="8" fillId="0" borderId="1" xfId="0" applyFont="1" applyBorder="1" applyAlignment="1" applyProtection="1">
      <alignment horizontal="left"/>
      <protection hidden="1"/>
    </xf>
    <xf numFmtId="0" fontId="8" fillId="0" borderId="1" xfId="0" applyFont="1" applyBorder="1" applyAlignment="1" applyProtection="1">
      <alignment horizontal="center"/>
      <protection hidden="1"/>
    </xf>
    <xf numFmtId="4" fontId="8" fillId="0" borderId="1" xfId="0" applyNumberFormat="1" applyFont="1" applyBorder="1" applyAlignment="1" applyProtection="1">
      <alignment horizontal="center" vertical="center"/>
      <protection hidden="1"/>
    </xf>
    <xf numFmtId="166" fontId="8" fillId="0" borderId="1" xfId="1" applyNumberFormat="1" applyFont="1" applyBorder="1" applyAlignment="1" applyProtection="1">
      <alignment horizontal="center" vertical="center" wrapText="1"/>
      <protection hidden="1"/>
    </xf>
    <xf numFmtId="3" fontId="8" fillId="30" borderId="1" xfId="1" applyNumberFormat="1" applyFont="1" applyFill="1" applyBorder="1" applyAlignment="1" applyProtection="1">
      <alignment horizontal="left" vertical="center" wrapText="1"/>
      <protection hidden="1"/>
    </xf>
    <xf numFmtId="3" fontId="8" fillId="30" borderId="1" xfId="1" applyNumberFormat="1" applyFont="1" applyFill="1" applyBorder="1" applyAlignment="1" applyProtection="1">
      <alignment horizontal="center" vertical="center" wrapText="1"/>
      <protection hidden="1"/>
    </xf>
    <xf numFmtId="4" fontId="8" fillId="30" borderId="19" xfId="1" applyNumberFormat="1" applyFont="1" applyFill="1" applyBorder="1" applyAlignment="1" applyProtection="1">
      <alignment horizontal="center" vertical="center" wrapText="1"/>
      <protection hidden="1"/>
    </xf>
    <xf numFmtId="4" fontId="8" fillId="6" borderId="19" xfId="1" applyNumberFormat="1" applyFont="1" applyFill="1" applyBorder="1" applyAlignment="1" applyProtection="1">
      <alignment vertical="center" wrapText="1"/>
      <protection hidden="1"/>
    </xf>
    <xf numFmtId="4" fontId="8" fillId="6" borderId="1" xfId="1" applyNumberFormat="1" applyFont="1" applyFill="1" applyBorder="1" applyAlignment="1" applyProtection="1">
      <alignment vertical="center" wrapText="1"/>
      <protection hidden="1"/>
    </xf>
    <xf numFmtId="4" fontId="52" fillId="10" borderId="1" xfId="0" applyNumberFormat="1" applyFont="1" applyFill="1" applyBorder="1" applyAlignment="1" applyProtection="1">
      <alignment horizontal="center" vertical="center"/>
      <protection hidden="1"/>
    </xf>
    <xf numFmtId="4" fontId="8" fillId="10" borderId="1" xfId="0" applyNumberFormat="1" applyFont="1" applyFill="1" applyBorder="1" applyAlignment="1" applyProtection="1">
      <alignment horizontal="center" vertical="center"/>
      <protection hidden="1"/>
    </xf>
    <xf numFmtId="2" fontId="0" fillId="19" borderId="0" xfId="0" applyNumberFormat="1" applyFill="1" applyProtection="1">
      <protection hidden="1"/>
    </xf>
    <xf numFmtId="167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4" fontId="0" fillId="0" borderId="0" xfId="0" applyNumberFormat="1" applyProtection="1">
      <protection hidden="1"/>
    </xf>
    <xf numFmtId="4" fontId="16" fillId="6" borderId="1" xfId="1" applyNumberFormat="1" applyFont="1" applyFill="1" applyBorder="1" applyAlignment="1" applyProtection="1">
      <alignment vertical="center" wrapText="1"/>
      <protection hidden="1"/>
    </xf>
    <xf numFmtId="3" fontId="8" fillId="0" borderId="1" xfId="0" applyNumberFormat="1" applyFont="1" applyBorder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3" fontId="0" fillId="0" borderId="0" xfId="0" applyNumberFormat="1" applyAlignment="1" applyProtection="1">
      <alignment horizontal="center"/>
      <protection hidden="1"/>
    </xf>
    <xf numFmtId="166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1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38" fillId="20" borderId="1" xfId="1" applyNumberFormat="1" applyFont="1" applyFill="1" applyBorder="1" applyAlignment="1" applyProtection="1">
      <alignment horizontal="center" vertical="center" wrapText="1"/>
      <protection hidden="1"/>
    </xf>
    <xf numFmtId="4" fontId="19" fillId="0" borderId="1" xfId="0" applyNumberFormat="1" applyFont="1" applyBorder="1" applyAlignment="1" applyProtection="1">
      <alignment horizontal="left" vertical="center"/>
      <protection hidden="1"/>
    </xf>
    <xf numFmtId="4" fontId="17" fillId="0" borderId="1" xfId="0" applyNumberFormat="1" applyFont="1" applyBorder="1" applyAlignment="1" applyProtection="1">
      <alignment horizontal="center" vertical="center"/>
      <protection hidden="1"/>
    </xf>
    <xf numFmtId="0" fontId="8" fillId="10" borderId="1" xfId="0" applyFont="1" applyFill="1" applyBorder="1" applyAlignment="1" applyProtection="1">
      <alignment vertical="center"/>
      <protection hidden="1"/>
    </xf>
    <xf numFmtId="0" fontId="8" fillId="6" borderId="1" xfId="0" applyFont="1" applyFill="1" applyBorder="1" applyAlignment="1" applyProtection="1">
      <alignment horizontal="center" vertical="center"/>
      <protection hidden="1"/>
    </xf>
    <xf numFmtId="4" fontId="8" fillId="6" borderId="1" xfId="0" applyNumberFormat="1" applyFont="1" applyFill="1" applyBorder="1" applyAlignment="1" applyProtection="1">
      <alignment horizontal="center" vertical="center"/>
      <protection hidden="1"/>
    </xf>
    <xf numFmtId="4" fontId="8" fillId="0" borderId="1" xfId="0" applyNumberFormat="1" applyFont="1" applyBorder="1" applyAlignment="1" applyProtection="1">
      <alignment horizontal="center"/>
      <protection hidden="1"/>
    </xf>
    <xf numFmtId="0" fontId="1" fillId="10" borderId="0" xfId="0" applyFont="1" applyFill="1" applyAlignment="1" applyProtection="1">
      <alignment horizontal="center"/>
      <protection hidden="1"/>
    </xf>
    <xf numFmtId="0" fontId="0" fillId="10" borderId="1" xfId="0" applyFill="1" applyBorder="1" applyProtection="1">
      <protection hidden="1"/>
    </xf>
    <xf numFmtId="169" fontId="8" fillId="20" borderId="1" xfId="0" applyNumberFormat="1" applyFont="1" applyFill="1" applyBorder="1" applyAlignment="1" applyProtection="1">
      <alignment horizontal="center" vertical="center"/>
      <protection hidden="1"/>
    </xf>
    <xf numFmtId="0" fontId="8" fillId="14" borderId="1" xfId="0" applyFont="1" applyFill="1" applyBorder="1" applyAlignment="1" applyProtection="1">
      <alignment vertical="center"/>
      <protection hidden="1"/>
    </xf>
    <xf numFmtId="3" fontId="8" fillId="14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3" fontId="8" fillId="20" borderId="1" xfId="0" applyNumberFormat="1" applyFont="1" applyFill="1" applyBorder="1" applyAlignment="1" applyProtection="1">
      <alignment horizontal="center" vertical="center"/>
      <protection hidden="1"/>
    </xf>
    <xf numFmtId="3" fontId="8" fillId="11" borderId="1" xfId="0" applyNumberFormat="1" applyFont="1" applyFill="1" applyBorder="1" applyAlignment="1" applyProtection="1">
      <alignment horizontal="center" vertical="center"/>
      <protection hidden="1"/>
    </xf>
    <xf numFmtId="0" fontId="8" fillId="6" borderId="1" xfId="0" applyFont="1" applyFill="1" applyBorder="1" applyAlignment="1" applyProtection="1">
      <alignment vertical="center" wrapText="1"/>
      <protection hidden="1"/>
    </xf>
    <xf numFmtId="0" fontId="8" fillId="6" borderId="9" xfId="0" applyFont="1" applyFill="1" applyBorder="1" applyAlignment="1" applyProtection="1">
      <alignment vertical="center" wrapText="1"/>
      <protection hidden="1"/>
    </xf>
    <xf numFmtId="0" fontId="8" fillId="6" borderId="9" xfId="0" applyFont="1" applyFill="1" applyBorder="1" applyAlignment="1" applyProtection="1">
      <alignment horizontal="center" vertical="center"/>
      <protection hidden="1"/>
    </xf>
    <xf numFmtId="4" fontId="8" fillId="6" borderId="9" xfId="0" applyNumberFormat="1" applyFont="1" applyFill="1" applyBorder="1" applyAlignment="1" applyProtection="1">
      <alignment horizontal="center" vertical="center"/>
      <protection hidden="1"/>
    </xf>
    <xf numFmtId="4" fontId="8" fillId="0" borderId="9" xfId="0" applyNumberFormat="1" applyFont="1" applyBorder="1" applyAlignment="1" applyProtection="1">
      <alignment horizontal="center" vertical="center"/>
      <protection hidden="1"/>
    </xf>
    <xf numFmtId="0" fontId="8" fillId="6" borderId="8" xfId="0" applyFont="1" applyFill="1" applyBorder="1" applyAlignment="1" applyProtection="1">
      <alignment vertical="center" wrapText="1"/>
      <protection hidden="1"/>
    </xf>
    <xf numFmtId="0" fontId="8" fillId="6" borderId="8" xfId="0" applyFont="1" applyFill="1" applyBorder="1" applyAlignment="1" applyProtection="1">
      <alignment horizontal="center" vertic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4" fontId="8" fillId="6" borderId="8" xfId="0" applyNumberFormat="1" applyFont="1" applyFill="1" applyBorder="1" applyAlignment="1" applyProtection="1">
      <alignment horizontal="center" vertical="center"/>
      <protection hidden="1"/>
    </xf>
    <xf numFmtId="4" fontId="8" fillId="0" borderId="8" xfId="0" applyNumberFormat="1" applyFont="1" applyBorder="1" applyAlignment="1" applyProtection="1">
      <alignment horizontal="center" vertical="center"/>
      <protection hidden="1"/>
    </xf>
    <xf numFmtId="0" fontId="8" fillId="6" borderId="8" xfId="0" applyFont="1" applyFill="1" applyBorder="1" applyAlignment="1" applyProtection="1">
      <alignment vertical="center"/>
      <protection hidden="1"/>
    </xf>
    <xf numFmtId="4" fontId="8" fillId="0" borderId="8" xfId="0" applyNumberFormat="1" applyFont="1" applyBorder="1" applyAlignment="1" applyProtection="1">
      <alignment horizontal="center"/>
      <protection hidden="1"/>
    </xf>
    <xf numFmtId="0" fontId="8" fillId="14" borderId="8" xfId="0" applyFont="1" applyFill="1" applyBorder="1" applyAlignment="1" applyProtection="1">
      <alignment vertical="center" wrapText="1"/>
      <protection hidden="1"/>
    </xf>
    <xf numFmtId="4" fontId="8" fillId="20" borderId="8" xfId="0" applyNumberFormat="1" applyFont="1" applyFill="1" applyBorder="1" applyAlignment="1" applyProtection="1">
      <alignment horizontal="center" vertical="center"/>
      <protection hidden="1"/>
    </xf>
    <xf numFmtId="0" fontId="8" fillId="14" borderId="8" xfId="0" applyFont="1" applyFill="1" applyBorder="1" applyAlignment="1" applyProtection="1">
      <alignment horizontal="center" vertical="center"/>
      <protection hidden="1"/>
    </xf>
    <xf numFmtId="0" fontId="8" fillId="10" borderId="1" xfId="0" applyFont="1" applyFill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left" vertical="center"/>
      <protection hidden="1"/>
    </xf>
    <xf numFmtId="0" fontId="0" fillId="10" borderId="0" xfId="0" applyFill="1" applyAlignment="1" applyProtection="1">
      <alignment horizontal="center"/>
      <protection hidden="1"/>
    </xf>
    <xf numFmtId="0" fontId="0" fillId="7" borderId="1" xfId="0" applyFill="1" applyBorder="1" applyAlignment="1" applyProtection="1">
      <alignment horizontal="center"/>
      <protection locked="0" hidden="1"/>
    </xf>
    <xf numFmtId="0" fontId="0" fillId="8" borderId="1" xfId="0" applyFill="1" applyBorder="1" applyAlignment="1" applyProtection="1">
      <alignment horizontal="center"/>
      <protection locked="0" hidden="1"/>
    </xf>
    <xf numFmtId="2" fontId="0" fillId="8" borderId="1" xfId="0" applyNumberFormat="1" applyFill="1" applyBorder="1" applyAlignment="1" applyProtection="1">
      <alignment horizontal="center"/>
      <protection locked="0" hidden="1"/>
    </xf>
    <xf numFmtId="171" fontId="0" fillId="9" borderId="1" xfId="0" applyNumberFormat="1" applyFill="1" applyBorder="1" applyAlignment="1" applyProtection="1">
      <alignment horizontal="center"/>
      <protection hidden="1"/>
    </xf>
    <xf numFmtId="2" fontId="0" fillId="9" borderId="1" xfId="0" applyNumberFormat="1" applyFill="1" applyBorder="1" applyAlignment="1" applyProtection="1">
      <alignment horizontal="center"/>
      <protection hidden="1"/>
    </xf>
    <xf numFmtId="1" fontId="0" fillId="9" borderId="1" xfId="0" applyNumberFormat="1" applyFill="1" applyBorder="1" applyAlignment="1" applyProtection="1">
      <alignment horizontal="center"/>
      <protection hidden="1"/>
    </xf>
    <xf numFmtId="0" fontId="0" fillId="9" borderId="1" xfId="0" applyFill="1" applyBorder="1" applyAlignment="1" applyProtection="1">
      <alignment horizontal="center"/>
      <protection hidden="1"/>
    </xf>
    <xf numFmtId="3" fontId="0" fillId="9" borderId="1" xfId="0" applyNumberFormat="1" applyFill="1" applyBorder="1" applyAlignment="1" applyProtection="1">
      <alignment horizontal="center"/>
      <protection hidden="1"/>
    </xf>
    <xf numFmtId="0" fontId="0" fillId="10" borderId="1" xfId="0" applyFill="1" applyBorder="1" applyAlignment="1" applyProtection="1">
      <alignment horizontal="center"/>
      <protection locked="0" hidden="1"/>
    </xf>
    <xf numFmtId="2" fontId="0" fillId="10" borderId="1" xfId="0" applyNumberFormat="1" applyFill="1" applyBorder="1" applyAlignment="1" applyProtection="1">
      <alignment horizontal="center"/>
      <protection locked="0" hidden="1"/>
    </xf>
    <xf numFmtId="171" fontId="0" fillId="10" borderId="1" xfId="0" applyNumberFormat="1" applyFill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locked="0" hidden="1"/>
    </xf>
    <xf numFmtId="2" fontId="0" fillId="0" borderId="1" xfId="0" applyNumberFormat="1" applyBorder="1" applyAlignment="1" applyProtection="1">
      <alignment horizontal="center"/>
      <protection locked="0" hidden="1"/>
    </xf>
    <xf numFmtId="2" fontId="0" fillId="0" borderId="1" xfId="0" applyNumberFormat="1" applyBorder="1" applyAlignment="1" applyProtection="1">
      <alignment horizontal="center"/>
      <protection hidden="1"/>
    </xf>
    <xf numFmtId="171" fontId="0" fillId="0" borderId="1" xfId="0" applyNumberFormat="1" applyBorder="1" applyAlignment="1" applyProtection="1">
      <alignment horizontal="center"/>
      <protection hidden="1"/>
    </xf>
    <xf numFmtId="168" fontId="0" fillId="0" borderId="1" xfId="0" applyNumberFormat="1" applyBorder="1" applyAlignment="1" applyProtection="1">
      <alignment horizontal="center"/>
      <protection hidden="1"/>
    </xf>
    <xf numFmtId="1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3" fontId="0" fillId="0" borderId="1" xfId="0" applyNumberFormat="1" applyBorder="1" applyAlignment="1" applyProtection="1">
      <alignment horizontal="center"/>
      <protection hidden="1"/>
    </xf>
    <xf numFmtId="2" fontId="0" fillId="10" borderId="1" xfId="0" applyNumberFormat="1" applyFill="1" applyBorder="1" applyAlignment="1" applyProtection="1">
      <alignment horizontal="center"/>
      <protection hidden="1"/>
    </xf>
    <xf numFmtId="2" fontId="0" fillId="8" borderId="1" xfId="0" applyNumberFormat="1" applyFill="1" applyBorder="1" applyAlignment="1" applyProtection="1">
      <alignment horizontal="center"/>
      <protection hidden="1"/>
    </xf>
    <xf numFmtId="171" fontId="0" fillId="8" borderId="1" xfId="0" applyNumberFormat="1" applyFill="1" applyBorder="1" applyAlignment="1" applyProtection="1">
      <alignment horizontal="center"/>
      <protection hidden="1"/>
    </xf>
    <xf numFmtId="168" fontId="0" fillId="9" borderId="1" xfId="0" applyNumberFormat="1" applyFill="1" applyBorder="1" applyAlignment="1" applyProtection="1">
      <alignment horizontal="center"/>
      <protection hidden="1"/>
    </xf>
    <xf numFmtId="168" fontId="0" fillId="8" borderId="1" xfId="0" applyNumberFormat="1" applyFill="1" applyBorder="1" applyAlignment="1" applyProtection="1">
      <alignment horizontal="center"/>
      <protection locked="0" hidden="1"/>
    </xf>
    <xf numFmtId="171" fontId="0" fillId="8" borderId="1" xfId="0" applyNumberFormat="1" applyFill="1" applyBorder="1" applyAlignment="1" applyProtection="1">
      <alignment horizontal="center"/>
      <protection locked="0" hidden="1"/>
    </xf>
    <xf numFmtId="0" fontId="0" fillId="24" borderId="40" xfId="0" applyFill="1" applyBorder="1" applyProtection="1">
      <protection hidden="1"/>
    </xf>
    <xf numFmtId="0" fontId="0" fillId="24" borderId="17" xfId="0" applyFill="1" applyBorder="1" applyAlignment="1" applyProtection="1">
      <alignment horizontal="left"/>
      <protection locked="0" hidden="1"/>
    </xf>
    <xf numFmtId="0" fontId="0" fillId="24" borderId="17" xfId="0" applyFill="1" applyBorder="1" applyProtection="1">
      <protection hidden="1"/>
    </xf>
    <xf numFmtId="0" fontId="0" fillId="24" borderId="18" xfId="0" applyFill="1" applyBorder="1" applyProtection="1">
      <protection hidden="1"/>
    </xf>
    <xf numFmtId="0" fontId="0" fillId="25" borderId="1" xfId="0" applyFill="1" applyBorder="1" applyAlignment="1" applyProtection="1">
      <alignment horizontal="center"/>
      <protection locked="0" hidden="1"/>
    </xf>
    <xf numFmtId="2" fontId="0" fillId="25" borderId="1" xfId="0" applyNumberFormat="1" applyFill="1" applyBorder="1" applyAlignment="1" applyProtection="1">
      <alignment horizontal="center"/>
      <protection hidden="1"/>
    </xf>
    <xf numFmtId="0" fontId="0" fillId="24" borderId="0" xfId="0" applyFill="1" applyProtection="1">
      <protection hidden="1"/>
    </xf>
    <xf numFmtId="0" fontId="0" fillId="25" borderId="1" xfId="0" applyFill="1" applyBorder="1" applyProtection="1">
      <protection hidden="1"/>
    </xf>
    <xf numFmtId="0" fontId="0" fillId="24" borderId="0" xfId="0" applyFill="1" applyAlignment="1" applyProtection="1">
      <alignment horizontal="center"/>
      <protection hidden="1"/>
    </xf>
    <xf numFmtId="2" fontId="0" fillId="25" borderId="0" xfId="0" applyNumberFormat="1" applyFill="1" applyProtection="1">
      <protection hidden="1"/>
    </xf>
    <xf numFmtId="0" fontId="0" fillId="24" borderId="1" xfId="0" applyFill="1" applyBorder="1" applyProtection="1">
      <protection hidden="1"/>
    </xf>
    <xf numFmtId="0" fontId="0" fillId="24" borderId="28" xfId="0" applyFill="1" applyBorder="1" applyProtection="1">
      <protection hidden="1"/>
    </xf>
    <xf numFmtId="2" fontId="0" fillId="24" borderId="0" xfId="0" applyNumberFormat="1" applyFill="1" applyProtection="1">
      <protection hidden="1"/>
    </xf>
    <xf numFmtId="0" fontId="0" fillId="24" borderId="26" xfId="0" applyFill="1" applyBorder="1" applyProtection="1">
      <protection hidden="1"/>
    </xf>
    <xf numFmtId="0" fontId="0" fillId="24" borderId="0" xfId="0" applyFill="1" applyAlignment="1" applyProtection="1">
      <alignment horizontal="left"/>
      <protection hidden="1"/>
    </xf>
    <xf numFmtId="0" fontId="0" fillId="24" borderId="41" xfId="0" applyFill="1" applyBorder="1" applyProtection="1">
      <protection hidden="1"/>
    </xf>
    <xf numFmtId="0" fontId="0" fillId="24" borderId="16" xfId="0" applyFill="1" applyBorder="1" applyProtection="1">
      <protection hidden="1"/>
    </xf>
    <xf numFmtId="0" fontId="0" fillId="25" borderId="16" xfId="0" applyFill="1" applyBorder="1" applyProtection="1">
      <protection hidden="1"/>
    </xf>
    <xf numFmtId="0" fontId="0" fillId="24" borderId="7" xfId="0" applyFill="1" applyBorder="1" applyProtection="1"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0" fillId="0" borderId="44" xfId="0" applyBorder="1" applyAlignment="1" applyProtection="1">
      <alignment horizontal="center"/>
      <protection hidden="1"/>
    </xf>
    <xf numFmtId="0" fontId="0" fillId="0" borderId="47" xfId="0" applyBorder="1" applyProtection="1">
      <protection hidden="1"/>
    </xf>
    <xf numFmtId="0" fontId="0" fillId="0" borderId="46" xfId="0" applyBorder="1" applyProtection="1">
      <protection hidden="1"/>
    </xf>
    <xf numFmtId="0" fontId="9" fillId="11" borderId="0" xfId="0" applyFont="1" applyFill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40" fillId="27" borderId="0" xfId="0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horizontal="center"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167" fontId="9" fillId="11" borderId="0" xfId="0" applyNumberFormat="1" applyFont="1" applyFill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 wrapText="1"/>
      <protection hidden="1"/>
    </xf>
    <xf numFmtId="0" fontId="9" fillId="11" borderId="46" xfId="0" applyFon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horizontal="center" vertical="center"/>
      <protection hidden="1"/>
    </xf>
    <xf numFmtId="0" fontId="9" fillId="11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43" xfId="0" applyBorder="1" applyAlignment="1" applyProtection="1">
      <alignment horizontal="center" vertical="center"/>
      <protection hidden="1"/>
    </xf>
    <xf numFmtId="2" fontId="9" fillId="11" borderId="47" xfId="0" applyNumberFormat="1" applyFon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wrapText="1"/>
      <protection hidden="1"/>
    </xf>
    <xf numFmtId="0" fontId="0" fillId="0" borderId="47" xfId="0" applyBorder="1" applyAlignment="1" applyProtection="1">
      <alignment horizontal="center" vertical="center"/>
      <protection hidden="1"/>
    </xf>
    <xf numFmtId="0" fontId="9" fillId="11" borderId="46" xfId="0" applyFont="1" applyFill="1" applyBorder="1" applyAlignment="1" applyProtection="1">
      <alignment vertical="center"/>
      <protection hidden="1"/>
    </xf>
    <xf numFmtId="0" fontId="9" fillId="0" borderId="46" xfId="0" applyFont="1" applyBorder="1" applyAlignment="1" applyProtection="1">
      <alignment vertical="center"/>
      <protection hidden="1"/>
    </xf>
    <xf numFmtId="0" fontId="1" fillId="0" borderId="47" xfId="0" applyFont="1" applyBorder="1" applyAlignment="1" applyProtection="1">
      <alignment vertical="center"/>
      <protection hidden="1"/>
    </xf>
    <xf numFmtId="0" fontId="1" fillId="0" borderId="50" xfId="0" applyFont="1" applyBorder="1" applyAlignment="1" applyProtection="1">
      <alignment vertical="center"/>
      <protection hidden="1"/>
    </xf>
    <xf numFmtId="2" fontId="0" fillId="0" borderId="46" xfId="0" applyNumberFormat="1" applyBorder="1" applyAlignment="1" applyProtection="1">
      <alignment vertical="center" wrapText="1"/>
      <protection hidden="1"/>
    </xf>
    <xf numFmtId="2" fontId="0" fillId="0" borderId="46" xfId="0" applyNumberFormat="1" applyBorder="1" applyProtection="1">
      <protection hidden="1"/>
    </xf>
    <xf numFmtId="0" fontId="0" fillId="0" borderId="48" xfId="0" applyBorder="1" applyProtection="1">
      <protection hidden="1"/>
    </xf>
    <xf numFmtId="0" fontId="0" fillId="0" borderId="49" xfId="0" applyBorder="1" applyProtection="1">
      <protection hidden="1"/>
    </xf>
    <xf numFmtId="0" fontId="0" fillId="0" borderId="49" xfId="0" applyBorder="1" applyAlignment="1" applyProtection="1">
      <alignment horizontal="center"/>
      <protection hidden="1"/>
    </xf>
    <xf numFmtId="167" fontId="9" fillId="11" borderId="49" xfId="0" applyNumberFormat="1" applyFont="1" applyFill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horizontal="center" vertical="center"/>
      <protection hidden="1"/>
    </xf>
    <xf numFmtId="0" fontId="0" fillId="0" borderId="50" xfId="0" applyBorder="1" applyProtection="1">
      <protection hidden="1"/>
    </xf>
    <xf numFmtId="0" fontId="9" fillId="11" borderId="49" xfId="0" applyFont="1" applyFill="1" applyBorder="1" applyAlignment="1" applyProtection="1">
      <alignment horizontal="center" vertical="center"/>
      <protection hidden="1"/>
    </xf>
    <xf numFmtId="0" fontId="43" fillId="0" borderId="45" xfId="0" applyFont="1" applyBorder="1" applyAlignment="1" applyProtection="1">
      <alignment horizontal="right"/>
      <protection hidden="1"/>
    </xf>
    <xf numFmtId="0" fontId="0" fillId="0" borderId="43" xfId="0" applyBorder="1" applyAlignment="1" applyProtection="1">
      <alignment horizontal="center"/>
      <protection hidden="1"/>
    </xf>
    <xf numFmtId="0" fontId="9" fillId="11" borderId="46" xfId="0" applyFont="1" applyFill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48" xfId="0" applyBorder="1" applyAlignment="1" applyProtection="1">
      <alignment horizontal="center"/>
      <protection hidden="1"/>
    </xf>
    <xf numFmtId="167" fontId="0" fillId="0" borderId="49" xfId="0" applyNumberFormat="1" applyBorder="1" applyAlignment="1" applyProtection="1">
      <alignment horizontal="center"/>
      <protection hidden="1"/>
    </xf>
    <xf numFmtId="2" fontId="0" fillId="0" borderId="49" xfId="0" applyNumberFormat="1" applyBorder="1" applyAlignment="1" applyProtection="1">
      <alignment horizontal="center"/>
      <protection hidden="1"/>
    </xf>
    <xf numFmtId="0" fontId="9" fillId="11" borderId="49" xfId="0" applyFont="1" applyFill="1" applyBorder="1" applyAlignment="1" applyProtection="1">
      <alignment horizontal="center"/>
      <protection hidden="1"/>
    </xf>
    <xf numFmtId="0" fontId="9" fillId="11" borderId="49" xfId="0" applyFont="1" applyFill="1" applyBorder="1" applyProtection="1">
      <protection hidden="1"/>
    </xf>
    <xf numFmtId="3" fontId="44" fillId="0" borderId="0" xfId="1" applyNumberFormat="1" applyFont="1" applyAlignment="1" applyProtection="1">
      <alignment horizontal="center" vertical="center"/>
      <protection hidden="1"/>
    </xf>
    <xf numFmtId="0" fontId="0" fillId="10" borderId="0" xfId="0" applyFill="1" applyProtection="1">
      <protection hidden="1"/>
    </xf>
    <xf numFmtId="0" fontId="0" fillId="10" borderId="46" xfId="0" applyFill="1" applyBorder="1" applyAlignment="1" applyProtection="1">
      <alignment vertical="center"/>
      <protection hidden="1"/>
    </xf>
    <xf numFmtId="0" fontId="0" fillId="10" borderId="47" xfId="0" applyFill="1" applyBorder="1" applyAlignment="1" applyProtection="1">
      <alignment vertical="center"/>
      <protection hidden="1"/>
    </xf>
    <xf numFmtId="0" fontId="0" fillId="10" borderId="49" xfId="0" applyFill="1" applyBorder="1" applyAlignment="1" applyProtection="1">
      <alignment vertical="center"/>
      <protection hidden="1"/>
    </xf>
    <xf numFmtId="0" fontId="0" fillId="10" borderId="43" xfId="0" applyFill="1" applyBorder="1" applyProtection="1">
      <protection hidden="1"/>
    </xf>
    <xf numFmtId="0" fontId="8" fillId="15" borderId="13" xfId="0" applyFont="1" applyFill="1" applyBorder="1" applyAlignment="1" applyProtection="1">
      <alignment vertical="center"/>
      <protection hidden="1"/>
    </xf>
    <xf numFmtId="0" fontId="8" fillId="6" borderId="19" xfId="0" applyFont="1" applyFill="1" applyBorder="1" applyAlignment="1" applyProtection="1">
      <alignment horizontal="center" vertical="center"/>
      <protection hidden="1"/>
    </xf>
    <xf numFmtId="4" fontId="8" fillId="15" borderId="19" xfId="0" applyNumberFormat="1" applyFont="1" applyFill="1" applyBorder="1" applyAlignment="1" applyProtection="1">
      <alignment horizontal="center" vertical="center"/>
      <protection hidden="1"/>
    </xf>
    <xf numFmtId="4" fontId="8" fillId="6" borderId="19" xfId="0" applyNumberFormat="1" applyFont="1" applyFill="1" applyBorder="1" applyAlignment="1" applyProtection="1">
      <alignment horizontal="center" vertical="center"/>
      <protection hidden="1"/>
    </xf>
    <xf numFmtId="4" fontId="8" fillId="0" borderId="19" xfId="0" applyNumberFormat="1" applyFont="1" applyBorder="1" applyAlignment="1" applyProtection="1">
      <alignment horizontal="center"/>
      <protection hidden="1"/>
    </xf>
    <xf numFmtId="0" fontId="26" fillId="16" borderId="1" xfId="0" applyFont="1" applyFill="1" applyBorder="1" applyAlignment="1" applyProtection="1">
      <alignment vertical="center"/>
      <protection hidden="1"/>
    </xf>
    <xf numFmtId="169" fontId="8" fillId="16" borderId="1" xfId="0" applyNumberFormat="1" applyFont="1" applyFill="1" applyBorder="1" applyAlignment="1" applyProtection="1">
      <alignment horizontal="center" vertical="center"/>
      <protection hidden="1"/>
    </xf>
    <xf numFmtId="0" fontId="8" fillId="16" borderId="1" xfId="0" applyFont="1" applyFill="1" applyBorder="1" applyAlignment="1" applyProtection="1">
      <alignment vertical="center"/>
      <protection hidden="1"/>
    </xf>
    <xf numFmtId="3" fontId="8" fillId="16" borderId="1" xfId="0" applyNumberFormat="1" applyFont="1" applyFill="1" applyBorder="1" applyAlignment="1" applyProtection="1">
      <alignment horizontal="center" vertical="center"/>
      <protection hidden="1"/>
    </xf>
    <xf numFmtId="0" fontId="8" fillId="16" borderId="12" xfId="0" applyFont="1" applyFill="1" applyBorder="1" applyAlignment="1" applyProtection="1">
      <alignment vertical="center"/>
      <protection hidden="1"/>
    </xf>
    <xf numFmtId="0" fontId="29" fillId="0" borderId="0" xfId="0" applyFont="1" applyProtection="1">
      <protection hidden="1"/>
    </xf>
    <xf numFmtId="4" fontId="8" fillId="16" borderId="12" xfId="0" applyNumberFormat="1" applyFont="1" applyFill="1" applyBorder="1" applyAlignment="1" applyProtection="1">
      <alignment horizontal="left"/>
      <protection hidden="1"/>
    </xf>
    <xf numFmtId="0" fontId="50" fillId="0" borderId="0" xfId="0" applyFont="1" applyAlignment="1" applyProtection="1">
      <alignment vertical="center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4" fontId="8" fillId="16" borderId="1" xfId="0" applyNumberFormat="1" applyFont="1" applyFill="1" applyBorder="1" applyAlignment="1" applyProtection="1">
      <alignment horizontal="left"/>
      <protection hidden="1"/>
    </xf>
    <xf numFmtId="0" fontId="0" fillId="0" borderId="0" xfId="0" applyAlignment="1" applyProtection="1">
      <alignment horizontal="right"/>
      <protection hidden="1"/>
    </xf>
    <xf numFmtId="2" fontId="0" fillId="0" borderId="0" xfId="0" applyNumberFormat="1" applyProtection="1">
      <protection hidden="1"/>
    </xf>
    <xf numFmtId="0" fontId="31" fillId="0" borderId="0" xfId="0" applyFont="1" applyProtection="1">
      <protection hidden="1"/>
    </xf>
    <xf numFmtId="4" fontId="8" fillId="16" borderId="1" xfId="1" applyNumberFormat="1" applyFont="1" applyFill="1" applyBorder="1" applyAlignment="1" applyProtection="1">
      <alignment vertical="center" wrapText="1"/>
      <protection hidden="1"/>
    </xf>
    <xf numFmtId="1" fontId="8" fillId="16" borderId="1" xfId="0" applyNumberFormat="1" applyFont="1" applyFill="1" applyBorder="1" applyAlignment="1" applyProtection="1">
      <alignment horizontal="center" vertical="center"/>
      <protection hidden="1"/>
    </xf>
    <xf numFmtId="4" fontId="8" fillId="16" borderId="1" xfId="0" applyNumberFormat="1" applyFont="1" applyFill="1" applyBorder="1" applyAlignment="1" applyProtection="1">
      <alignment horizontal="center" vertical="center"/>
      <protection hidden="1"/>
    </xf>
    <xf numFmtId="168" fontId="8" fillId="16" borderId="1" xfId="0" applyNumberFormat="1" applyFont="1" applyFill="1" applyBorder="1" applyAlignment="1" applyProtection="1">
      <alignment horizontal="center" vertical="center"/>
      <protection hidden="1"/>
    </xf>
    <xf numFmtId="0" fontId="32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8" fillId="0" borderId="0" xfId="0" applyFont="1" applyAlignment="1" applyProtection="1">
      <alignment vertical="center"/>
      <protection hidden="1"/>
    </xf>
    <xf numFmtId="0" fontId="8" fillId="18" borderId="13" xfId="0" applyFont="1" applyFill="1" applyBorder="1" applyAlignment="1" applyProtection="1">
      <alignment vertical="center"/>
      <protection hidden="1"/>
    </xf>
    <xf numFmtId="2" fontId="8" fillId="17" borderId="1" xfId="0" applyNumberFormat="1" applyFont="1" applyFill="1" applyBorder="1" applyAlignment="1" applyProtection="1">
      <alignment horizontal="center" vertical="center"/>
      <protection hidden="1"/>
    </xf>
    <xf numFmtId="0" fontId="28" fillId="17" borderId="1" xfId="0" applyFont="1" applyFill="1" applyBorder="1" applyAlignment="1" applyProtection="1">
      <alignment vertical="center"/>
      <protection hidden="1"/>
    </xf>
    <xf numFmtId="168" fontId="8" fillId="17" borderId="1" xfId="0" applyNumberFormat="1" applyFont="1" applyFill="1" applyBorder="1" applyAlignment="1" applyProtection="1">
      <alignment horizontal="center" vertical="center"/>
      <protection hidden="1"/>
    </xf>
    <xf numFmtId="0" fontId="8" fillId="17" borderId="1" xfId="0" applyFont="1" applyFill="1" applyBorder="1" applyAlignment="1" applyProtection="1">
      <alignment vertical="center"/>
      <protection hidden="1"/>
    </xf>
    <xf numFmtId="1" fontId="8" fillId="17" borderId="1" xfId="0" applyNumberFormat="1" applyFont="1" applyFill="1" applyBorder="1" applyAlignment="1" applyProtection="1">
      <alignment horizontal="center" vertical="center"/>
      <protection hidden="1"/>
    </xf>
    <xf numFmtId="0" fontId="8" fillId="17" borderId="12" xfId="0" applyFont="1" applyFill="1" applyBorder="1" applyAlignment="1" applyProtection="1">
      <alignment vertical="center"/>
      <protection hidden="1"/>
    </xf>
    <xf numFmtId="4" fontId="8" fillId="17" borderId="12" xfId="0" applyNumberFormat="1" applyFont="1" applyFill="1" applyBorder="1" applyAlignment="1" applyProtection="1">
      <alignment horizontal="left"/>
      <protection hidden="1"/>
    </xf>
    <xf numFmtId="4" fontId="8" fillId="17" borderId="1" xfId="0" applyNumberFormat="1" applyFont="1" applyFill="1" applyBorder="1" applyAlignment="1" applyProtection="1">
      <alignment horizontal="left"/>
      <protection hidden="1"/>
    </xf>
    <xf numFmtId="4" fontId="8" fillId="17" borderId="1" xfId="1" applyNumberFormat="1" applyFont="1" applyFill="1" applyBorder="1" applyAlignment="1" applyProtection="1">
      <alignment vertical="center" wrapText="1"/>
      <protection hidden="1"/>
    </xf>
    <xf numFmtId="169" fontId="8" fillId="17" borderId="1" xfId="0" applyNumberFormat="1" applyFont="1" applyFill="1" applyBorder="1" applyAlignment="1" applyProtection="1">
      <alignment horizontal="center" vertical="center"/>
      <protection hidden="1"/>
    </xf>
    <xf numFmtId="4" fontId="8" fillId="17" borderId="1" xfId="0" applyNumberFormat="1" applyFont="1" applyFill="1" applyBorder="1" applyAlignment="1" applyProtection="1">
      <alignment horizontal="center" vertical="center"/>
      <protection hidden="1"/>
    </xf>
    <xf numFmtId="3" fontId="8" fillId="17" borderId="1" xfId="0" applyNumberFormat="1" applyFont="1" applyFill="1" applyBorder="1" applyAlignment="1" applyProtection="1">
      <alignment horizontal="center" vertical="center"/>
      <protection hidden="1"/>
    </xf>
    <xf numFmtId="3" fontId="8" fillId="10" borderId="1" xfId="0" applyNumberFormat="1" applyFont="1" applyFill="1" applyBorder="1" applyAlignment="1" applyProtection="1">
      <alignment horizontal="center" vertical="center"/>
      <protection hidden="1"/>
    </xf>
    <xf numFmtId="169" fontId="8" fillId="14" borderId="1" xfId="0" applyNumberFormat="1" applyFont="1" applyFill="1" applyBorder="1" applyAlignment="1" applyProtection="1">
      <alignment horizontal="center" vertical="center"/>
      <protection hidden="1"/>
    </xf>
    <xf numFmtId="0" fontId="8" fillId="10" borderId="12" xfId="0" applyFont="1" applyFill="1" applyBorder="1" applyAlignment="1" applyProtection="1">
      <alignment vertical="center"/>
      <protection hidden="1"/>
    </xf>
    <xf numFmtId="4" fontId="8" fillId="14" borderId="8" xfId="0" applyNumberFormat="1" applyFont="1" applyFill="1" applyBorder="1" applyAlignment="1" applyProtection="1">
      <alignment horizontal="center" vertical="center"/>
      <protection hidden="1"/>
    </xf>
    <xf numFmtId="4" fontId="8" fillId="10" borderId="12" xfId="0" applyNumberFormat="1" applyFont="1" applyFill="1" applyBorder="1" applyAlignment="1" applyProtection="1">
      <alignment horizontal="left"/>
      <protection hidden="1"/>
    </xf>
    <xf numFmtId="4" fontId="8" fillId="10" borderId="1" xfId="0" applyNumberFormat="1" applyFont="1" applyFill="1" applyBorder="1" applyAlignment="1" applyProtection="1">
      <alignment horizontal="left"/>
      <protection hidden="1"/>
    </xf>
    <xf numFmtId="4" fontId="8" fillId="10" borderId="1" xfId="1" applyNumberFormat="1" applyFont="1" applyFill="1" applyBorder="1" applyAlignment="1" applyProtection="1">
      <alignment vertical="center" wrapText="1"/>
      <protection hidden="1"/>
    </xf>
    <xf numFmtId="4" fontId="8" fillId="10" borderId="0" xfId="1" applyNumberFormat="1" applyFont="1" applyFill="1" applyAlignment="1" applyProtection="1">
      <alignment vertical="center" wrapText="1"/>
      <protection hidden="1"/>
    </xf>
    <xf numFmtId="169" fontId="8" fillId="14" borderId="8" xfId="0" applyNumberFormat="1" applyFont="1" applyFill="1" applyBorder="1" applyAlignment="1" applyProtection="1">
      <alignment horizontal="center" vertical="center"/>
      <protection hidden="1"/>
    </xf>
    <xf numFmtId="0" fontId="8" fillId="14" borderId="8" xfId="0" applyFont="1" applyFill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21" fillId="0" borderId="1" xfId="0" applyFont="1" applyBorder="1" applyProtection="1">
      <protection hidden="1"/>
    </xf>
    <xf numFmtId="0" fontId="36" fillId="0" borderId="1" xfId="0" applyFont="1" applyBorder="1" applyAlignment="1" applyProtection="1">
      <alignment horizontal="center"/>
      <protection hidden="1"/>
    </xf>
    <xf numFmtId="0" fontId="36" fillId="10" borderId="1" xfId="0" applyFont="1" applyFill="1" applyBorder="1" applyAlignment="1" applyProtection="1">
      <alignment horizontal="center"/>
      <protection hidden="1"/>
    </xf>
    <xf numFmtId="0" fontId="36" fillId="0" borderId="6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23" borderId="1" xfId="0" applyFill="1" applyBorder="1" applyAlignment="1" applyProtection="1">
      <alignment horizontal="center"/>
      <protection locked="0" hidden="1"/>
    </xf>
    <xf numFmtId="168" fontId="0" fillId="23" borderId="1" xfId="0" applyNumberFormat="1" applyFill="1" applyBorder="1" applyAlignment="1" applyProtection="1">
      <alignment horizontal="center"/>
      <protection locked="0" hidden="1"/>
    </xf>
    <xf numFmtId="168" fontId="0" fillId="23" borderId="1" xfId="0" applyNumberFormat="1" applyFill="1" applyBorder="1" applyAlignment="1" applyProtection="1">
      <alignment horizontal="center"/>
      <protection hidden="1"/>
    </xf>
    <xf numFmtId="3" fontId="0" fillId="23" borderId="1" xfId="0" applyNumberFormat="1" applyFill="1" applyBorder="1" applyAlignment="1" applyProtection="1">
      <alignment horizontal="center"/>
      <protection hidden="1"/>
    </xf>
    <xf numFmtId="0" fontId="0" fillId="23" borderId="1" xfId="0" applyFill="1" applyBorder="1" applyAlignment="1" applyProtection="1">
      <alignment horizontal="center"/>
      <protection hidden="1"/>
    </xf>
    <xf numFmtId="1" fontId="0" fillId="23" borderId="1" xfId="0" applyNumberFormat="1" applyFill="1" applyBorder="1" applyAlignment="1" applyProtection="1">
      <alignment horizontal="center"/>
      <protection hidden="1"/>
    </xf>
    <xf numFmtId="2" fontId="0" fillId="23" borderId="1" xfId="0" applyNumberFormat="1" applyFill="1" applyBorder="1" applyAlignment="1" applyProtection="1">
      <alignment horizontal="center"/>
      <protection hidden="1"/>
    </xf>
    <xf numFmtId="168" fontId="0" fillId="0" borderId="1" xfId="0" applyNumberFormat="1" applyBorder="1" applyAlignment="1" applyProtection="1">
      <alignment horizontal="center"/>
      <protection locked="0" hidden="1"/>
    </xf>
    <xf numFmtId="0" fontId="0" fillId="16" borderId="1" xfId="0" applyFill="1" applyBorder="1" applyAlignment="1" applyProtection="1">
      <alignment horizontal="center"/>
      <protection locked="0" hidden="1"/>
    </xf>
    <xf numFmtId="168" fontId="0" fillId="16" borderId="1" xfId="0" applyNumberFormat="1" applyFill="1" applyBorder="1" applyAlignment="1" applyProtection="1">
      <alignment horizontal="center"/>
      <protection hidden="1"/>
    </xf>
    <xf numFmtId="3" fontId="0" fillId="16" borderId="1" xfId="0" applyNumberFormat="1" applyFill="1" applyBorder="1" applyAlignment="1" applyProtection="1">
      <alignment horizontal="center"/>
      <protection hidden="1"/>
    </xf>
    <xf numFmtId="0" fontId="0" fillId="16" borderId="1" xfId="0" applyFill="1" applyBorder="1" applyAlignment="1" applyProtection="1">
      <alignment horizontal="center"/>
      <protection hidden="1"/>
    </xf>
    <xf numFmtId="2" fontId="6" fillId="16" borderId="1" xfId="0" applyNumberFormat="1" applyFont="1" applyFill="1" applyBorder="1" applyAlignment="1" applyProtection="1">
      <alignment horizontal="center"/>
      <protection hidden="1"/>
    </xf>
    <xf numFmtId="1" fontId="0" fillId="16" borderId="1" xfId="0" applyNumberForma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4" fontId="0" fillId="16" borderId="1" xfId="0" applyNumberFormat="1" applyFill="1" applyBorder="1" applyAlignment="1" applyProtection="1">
      <alignment horizontal="center"/>
      <protection hidden="1"/>
    </xf>
    <xf numFmtId="168" fontId="5" fillId="10" borderId="1" xfId="0" applyNumberFormat="1" applyFont="1" applyFill="1" applyBorder="1" applyAlignment="1" applyProtection="1">
      <alignment horizontal="center"/>
      <protection hidden="1"/>
    </xf>
    <xf numFmtId="168" fontId="0" fillId="10" borderId="1" xfId="0" applyNumberFormat="1" applyFill="1" applyBorder="1" applyAlignment="1" applyProtection="1">
      <alignment horizontal="center"/>
      <protection hidden="1"/>
    </xf>
    <xf numFmtId="168" fontId="5" fillId="16" borderId="1" xfId="0" applyNumberFormat="1" applyFont="1" applyFill="1" applyBorder="1" applyAlignment="1" applyProtection="1">
      <alignment horizontal="center"/>
      <protection hidden="1"/>
    </xf>
    <xf numFmtId="2" fontId="0" fillId="16" borderId="1" xfId="0" applyNumberFormat="1" applyFill="1" applyBorder="1" applyAlignment="1" applyProtection="1">
      <alignment horizontal="center"/>
      <protection hidden="1"/>
    </xf>
    <xf numFmtId="0" fontId="9" fillId="11" borderId="0" xfId="0" applyFont="1" applyFill="1" applyProtection="1">
      <protection hidden="1"/>
    </xf>
    <xf numFmtId="168" fontId="0" fillId="0" borderId="0" xfId="0" applyNumberFormat="1" applyAlignment="1" applyProtection="1">
      <alignment horizontal="center"/>
      <protection hidden="1"/>
    </xf>
    <xf numFmtId="168" fontId="0" fillId="0" borderId="0" xfId="0" applyNumberFormat="1" applyProtection="1">
      <protection hidden="1"/>
    </xf>
    <xf numFmtId="0" fontId="0" fillId="5" borderId="1" xfId="0" applyFill="1" applyBorder="1" applyAlignment="1" applyProtection="1">
      <alignment horizontal="center"/>
      <protection locked="0" hidden="1"/>
    </xf>
    <xf numFmtId="168" fontId="0" fillId="5" borderId="1" xfId="0" applyNumberFormat="1" applyFill="1" applyBorder="1" applyAlignment="1" applyProtection="1">
      <alignment horizontal="center"/>
      <protection hidden="1"/>
    </xf>
    <xf numFmtId="3" fontId="0" fillId="5" borderId="1" xfId="0" applyNumberFormat="1" applyFill="1" applyBorder="1" applyAlignment="1" applyProtection="1">
      <alignment horizontal="center"/>
      <protection hidden="1"/>
    </xf>
    <xf numFmtId="0" fontId="0" fillId="5" borderId="1" xfId="0" applyFill="1" applyBorder="1" applyAlignment="1" applyProtection="1">
      <alignment horizontal="center"/>
      <protection hidden="1"/>
    </xf>
    <xf numFmtId="2" fontId="0" fillId="5" borderId="1" xfId="0" applyNumberFormat="1" applyFill="1" applyBorder="1" applyAlignment="1" applyProtection="1">
      <alignment horizontal="center"/>
      <protection hidden="1"/>
    </xf>
    <xf numFmtId="1" fontId="0" fillId="5" borderId="1" xfId="0" applyNumberFormat="1" applyFill="1" applyBorder="1" applyAlignment="1" applyProtection="1">
      <alignment horizontal="center"/>
      <protection hidden="1"/>
    </xf>
    <xf numFmtId="0" fontId="39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4" fontId="17" fillId="6" borderId="52" xfId="1" applyNumberFormat="1" applyFont="1" applyFill="1" applyBorder="1" applyAlignment="1" applyProtection="1">
      <alignment horizontal="left" vertical="center" wrapText="1"/>
      <protection hidden="1"/>
    </xf>
    <xf numFmtId="3" fontId="17" fillId="6" borderId="6" xfId="1" applyNumberFormat="1" applyFont="1" applyFill="1" applyBorder="1" applyAlignment="1" applyProtection="1">
      <alignment horizontal="left" vertical="center" wrapText="1"/>
      <protection hidden="1"/>
    </xf>
    <xf numFmtId="3" fontId="17" fillId="6" borderId="7" xfId="1" applyNumberFormat="1" applyFont="1" applyFill="1" applyBorder="1" applyAlignment="1" applyProtection="1">
      <alignment horizontal="left" vertical="center" wrapText="1"/>
      <protection hidden="1"/>
    </xf>
    <xf numFmtId="2" fontId="45" fillId="11" borderId="0" xfId="0" applyNumberFormat="1" applyFont="1" applyFill="1" applyAlignment="1" applyProtection="1">
      <alignment horizontal="center" vertical="center"/>
      <protection hidden="1"/>
    </xf>
    <xf numFmtId="0" fontId="45" fillId="11" borderId="0" xfId="0" applyFont="1" applyFill="1" applyAlignment="1" applyProtection="1">
      <alignment horizontal="center" vertical="center"/>
      <protection hidden="1"/>
    </xf>
    <xf numFmtId="0" fontId="0" fillId="0" borderId="54" xfId="0" applyBorder="1" applyAlignment="1" applyProtection="1">
      <alignment horizontal="left"/>
      <protection hidden="1"/>
    </xf>
    <xf numFmtId="1" fontId="45" fillId="11" borderId="0" xfId="0" applyNumberFormat="1" applyFont="1" applyFill="1" applyAlignment="1" applyProtection="1">
      <alignment horizontal="center"/>
      <protection hidden="1"/>
    </xf>
    <xf numFmtId="0" fontId="45" fillId="11" borderId="0" xfId="0" applyFont="1" applyFill="1" applyAlignment="1" applyProtection="1">
      <alignment horizontal="center"/>
      <protection hidden="1"/>
    </xf>
    <xf numFmtId="4" fontId="8" fillId="6" borderId="6" xfId="1" applyNumberFormat="1" applyFont="1" applyFill="1" applyBorder="1" applyAlignment="1" applyProtection="1">
      <alignment vertical="center" wrapText="1"/>
      <protection hidden="1"/>
    </xf>
    <xf numFmtId="4" fontId="8" fillId="14" borderId="6" xfId="1" applyNumberFormat="1" applyFont="1" applyFill="1" applyBorder="1" applyAlignment="1" applyProtection="1">
      <alignment vertical="center" wrapText="1"/>
      <protection hidden="1"/>
    </xf>
    <xf numFmtId="2" fontId="8" fillId="14" borderId="1" xfId="1" applyNumberFormat="1" applyFont="1" applyFill="1" applyBorder="1" applyAlignment="1" applyProtection="1">
      <alignment horizontal="center" vertical="center" wrapText="1"/>
      <protection hidden="1"/>
    </xf>
    <xf numFmtId="4" fontId="8" fillId="13" borderId="1" xfId="1" applyNumberFormat="1" applyFont="1" applyFill="1" applyBorder="1" applyAlignment="1" applyProtection="1">
      <alignment horizontal="left" vertical="center" wrapText="1"/>
      <protection hidden="1"/>
    </xf>
    <xf numFmtId="4" fontId="8" fillId="10" borderId="1" xfId="1" applyNumberFormat="1" applyFont="1" applyFill="1" applyBorder="1" applyAlignment="1" applyProtection="1">
      <alignment horizontal="left" vertical="center" wrapText="1"/>
      <protection hidden="1"/>
    </xf>
    <xf numFmtId="4" fontId="8" fillId="13" borderId="1" xfId="1" applyNumberFormat="1" applyFont="1" applyFill="1" applyBorder="1" applyAlignment="1" applyProtection="1">
      <alignment horizontal="center" vertical="center" wrapText="1"/>
      <protection hidden="1"/>
    </xf>
    <xf numFmtId="4" fontId="16" fillId="13" borderId="1" xfId="1" applyNumberFormat="1" applyFont="1" applyFill="1" applyBorder="1" applyAlignment="1" applyProtection="1">
      <alignment horizontal="center" vertical="center" wrapText="1"/>
      <protection hidden="1"/>
    </xf>
    <xf numFmtId="4" fontId="46" fillId="13" borderId="1" xfId="1" applyNumberFormat="1" applyFont="1" applyFill="1" applyBorder="1" applyAlignment="1" applyProtection="1">
      <alignment horizontal="left" vertical="center" wrapText="1"/>
      <protection hidden="1"/>
    </xf>
    <xf numFmtId="3" fontId="8" fillId="6" borderId="9" xfId="0" applyNumberFormat="1" applyFon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/>
      <protection locked="0" hidden="1"/>
    </xf>
    <xf numFmtId="4" fontId="0" fillId="8" borderId="5" xfId="0" applyNumberFormat="1" applyFill="1" applyBorder="1" applyAlignment="1" applyProtection="1">
      <alignment horizontal="center"/>
      <protection locked="0" hidden="1"/>
    </xf>
    <xf numFmtId="4" fontId="0" fillId="8" borderId="6" xfId="0" applyNumberFormat="1" applyFill="1" applyBorder="1" applyAlignment="1" applyProtection="1">
      <alignment horizontal="center"/>
      <protection locked="0" hidden="1"/>
    </xf>
    <xf numFmtId="4" fontId="0" fillId="8" borderId="1" xfId="0" applyNumberFormat="1" applyFill="1" applyBorder="1" applyAlignment="1" applyProtection="1">
      <alignment horizontal="center"/>
      <protection locked="0" hidden="1"/>
    </xf>
    <xf numFmtId="1" fontId="0" fillId="8" borderId="1" xfId="0" applyNumberFormat="1" applyFill="1" applyBorder="1" applyAlignment="1" applyProtection="1">
      <alignment horizontal="center"/>
      <protection hidden="1"/>
    </xf>
    <xf numFmtId="1" fontId="0" fillId="0" borderId="1" xfId="0" applyNumberFormat="1" applyBorder="1" applyAlignment="1" applyProtection="1">
      <alignment horizontal="center"/>
      <protection locked="0" hidden="1"/>
    </xf>
    <xf numFmtId="4" fontId="0" fillId="0" borderId="5" xfId="0" applyNumberFormat="1" applyBorder="1" applyAlignment="1" applyProtection="1">
      <alignment horizontal="center"/>
      <protection locked="0" hidden="1"/>
    </xf>
    <xf numFmtId="4" fontId="0" fillId="0" borderId="6" xfId="0" applyNumberFormat="1" applyBorder="1" applyAlignment="1" applyProtection="1">
      <alignment horizontal="center"/>
      <protection locked="0" hidden="1"/>
    </xf>
    <xf numFmtId="4" fontId="0" fillId="0" borderId="1" xfId="0" applyNumberFormat="1" applyBorder="1" applyAlignment="1" applyProtection="1">
      <alignment horizontal="center"/>
      <protection locked="0" hidden="1"/>
    </xf>
    <xf numFmtId="4" fontId="16" fillId="6" borderId="1" xfId="0" applyNumberFormat="1" applyFont="1" applyFill="1" applyBorder="1" applyAlignment="1" applyProtection="1">
      <alignment horizontal="center" vertical="center"/>
      <protection hidden="1"/>
    </xf>
    <xf numFmtId="3" fontId="8" fillId="19" borderId="1" xfId="0" applyNumberFormat="1" applyFont="1" applyFill="1" applyBorder="1" applyAlignment="1" applyProtection="1">
      <alignment horizontal="center" vertical="center"/>
      <protection hidden="1"/>
    </xf>
    <xf numFmtId="2" fontId="8" fillId="6" borderId="1" xfId="0" applyNumberFormat="1" applyFont="1" applyFill="1" applyBorder="1" applyAlignment="1" applyProtection="1">
      <alignment horizontal="center" vertical="center"/>
      <protection hidden="1"/>
    </xf>
    <xf numFmtId="0" fontId="16" fillId="16" borderId="1" xfId="0" applyFont="1" applyFill="1" applyBorder="1" applyAlignment="1" applyProtection="1">
      <alignment horizontal="center" vertical="center"/>
      <protection hidden="1"/>
    </xf>
    <xf numFmtId="0" fontId="16" fillId="17" borderId="1" xfId="0" applyFont="1" applyFill="1" applyBorder="1" applyAlignment="1" applyProtection="1">
      <alignment horizontal="center" vertical="center"/>
      <protection hidden="1"/>
    </xf>
    <xf numFmtId="2" fontId="8" fillId="6" borderId="8" xfId="0" applyNumberFormat="1" applyFont="1" applyFill="1" applyBorder="1" applyAlignment="1" applyProtection="1">
      <alignment horizontal="center" vertical="center"/>
      <protection hidden="1"/>
    </xf>
    <xf numFmtId="0" fontId="1" fillId="10" borderId="0" xfId="0" applyFont="1" applyFill="1" applyAlignment="1" applyProtection="1">
      <alignment horizontal="left"/>
      <protection hidden="1"/>
    </xf>
    <xf numFmtId="4" fontId="0" fillId="23" borderId="1" xfId="0" applyNumberFormat="1" applyFill="1" applyBorder="1" applyAlignment="1" applyProtection="1">
      <alignment horizontal="center"/>
      <protection locked="0" hidden="1"/>
    </xf>
    <xf numFmtId="4" fontId="0" fillId="5" borderId="1" xfId="0" applyNumberFormat="1" applyFill="1" applyBorder="1" applyAlignment="1" applyProtection="1">
      <alignment horizontal="center"/>
      <protection hidden="1"/>
    </xf>
    <xf numFmtId="4" fontId="0" fillId="23" borderId="1" xfId="0" applyNumberFormat="1" applyFill="1" applyBorder="1" applyProtection="1">
      <protection locked="0" hidden="1"/>
    </xf>
    <xf numFmtId="0" fontId="0" fillId="23" borderId="1" xfId="0" applyFill="1" applyBorder="1" applyProtection="1">
      <protection locked="0" hidden="1"/>
    </xf>
    <xf numFmtId="4" fontId="0" fillId="16" borderId="1" xfId="0" applyNumberFormat="1" applyFill="1" applyBorder="1" applyAlignment="1" applyProtection="1">
      <alignment horizontal="center"/>
      <protection locked="0" hidden="1"/>
    </xf>
    <xf numFmtId="4" fontId="0" fillId="16" borderId="5" xfId="0" applyNumberFormat="1" applyFill="1" applyBorder="1" applyProtection="1">
      <protection locked="0" hidden="1"/>
    </xf>
    <xf numFmtId="0" fontId="0" fillId="16" borderId="6" xfId="0" applyFill="1" applyBorder="1" applyProtection="1">
      <protection locked="0" hidden="1"/>
    </xf>
    <xf numFmtId="4" fontId="0" fillId="5" borderId="1" xfId="0" applyNumberFormat="1" applyFill="1" applyBorder="1" applyAlignment="1" applyProtection="1">
      <alignment horizontal="center"/>
      <protection locked="0" hidden="1"/>
    </xf>
    <xf numFmtId="4" fontId="0" fillId="5" borderId="5" xfId="0" applyNumberFormat="1" applyFill="1" applyBorder="1" applyProtection="1">
      <protection locked="0" hidden="1"/>
    </xf>
    <xf numFmtId="0" fontId="0" fillId="5" borderId="6" xfId="0" applyFill="1" applyBorder="1" applyProtection="1">
      <protection locked="0" hidden="1"/>
    </xf>
    <xf numFmtId="2" fontId="6" fillId="0" borderId="1" xfId="0" applyNumberFormat="1" applyFont="1" applyBorder="1" applyAlignment="1" applyProtection="1">
      <alignment horizontal="center"/>
      <protection hidden="1"/>
    </xf>
    <xf numFmtId="4" fontId="0" fillId="0" borderId="1" xfId="0" applyNumberFormat="1" applyBorder="1" applyAlignment="1" applyProtection="1">
      <alignment horizontal="center"/>
      <protection hidden="1"/>
    </xf>
    <xf numFmtId="168" fontId="27" fillId="0" borderId="1" xfId="0" applyNumberFormat="1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2" fontId="5" fillId="0" borderId="1" xfId="0" applyNumberFormat="1" applyFont="1" applyBorder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0" fillId="32" borderId="0" xfId="0" applyFill="1"/>
    <xf numFmtId="0" fontId="0" fillId="11" borderId="0" xfId="0" applyFill="1" applyAlignment="1">
      <alignment horizontal="center"/>
    </xf>
    <xf numFmtId="0" fontId="4" fillId="32" borderId="0" xfId="0" applyFont="1" applyFill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 wrapText="1"/>
    </xf>
    <xf numFmtId="0" fontId="0" fillId="24" borderId="0" xfId="0" applyFill="1"/>
    <xf numFmtId="4" fontId="17" fillId="33" borderId="51" xfId="1" applyNumberFormat="1" applyFont="1" applyFill="1" applyBorder="1" applyAlignment="1">
      <alignment horizontal="left" vertical="center" wrapText="1"/>
    </xf>
    <xf numFmtId="4" fontId="17" fillId="33" borderId="18" xfId="1" applyNumberFormat="1" applyFont="1" applyFill="1" applyBorder="1" applyAlignment="1">
      <alignment horizontal="left" vertical="center" wrapText="1"/>
    </xf>
    <xf numFmtId="0" fontId="0" fillId="24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4" fontId="16" fillId="24" borderId="1" xfId="1" applyNumberFormat="1" applyFont="1" applyFill="1" applyBorder="1" applyAlignment="1">
      <alignment horizontal="center" vertical="center" wrapText="1"/>
    </xf>
    <xf numFmtId="0" fontId="0" fillId="24" borderId="1" xfId="0" applyFill="1" applyBorder="1"/>
    <xf numFmtId="0" fontId="0" fillId="24" borderId="1" xfId="0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4" fontId="17" fillId="33" borderId="52" xfId="1" applyNumberFormat="1" applyFont="1" applyFill="1" applyBorder="1" applyAlignment="1">
      <alignment horizontal="left" vertical="center" wrapText="1"/>
    </xf>
    <xf numFmtId="3" fontId="17" fillId="33" borderId="6" xfId="1" applyNumberFormat="1" applyFont="1" applyFill="1" applyBorder="1" applyAlignment="1">
      <alignment horizontal="left" vertical="center" wrapText="1"/>
    </xf>
    <xf numFmtId="4" fontId="8" fillId="24" borderId="1" xfId="1" applyNumberFormat="1" applyFont="1" applyFill="1" applyBorder="1" applyAlignment="1">
      <alignment horizontal="left" vertical="center" wrapText="1"/>
    </xf>
    <xf numFmtId="0" fontId="1" fillId="24" borderId="0" xfId="0" applyFont="1" applyFill="1" applyAlignment="1">
      <alignment horizontal="center"/>
    </xf>
    <xf numFmtId="0" fontId="0" fillId="19" borderId="1" xfId="0" applyFill="1" applyBorder="1" applyAlignment="1">
      <alignment horizontal="center" vertical="center"/>
    </xf>
    <xf numFmtId="3" fontId="17" fillId="33" borderId="7" xfId="1" applyNumberFormat="1" applyFont="1" applyFill="1" applyBorder="1" applyAlignment="1">
      <alignment horizontal="left" vertical="center" wrapText="1"/>
    </xf>
    <xf numFmtId="4" fontId="46" fillId="24" borderId="1" xfId="1" applyNumberFormat="1" applyFont="1" applyFill="1" applyBorder="1" applyAlignment="1">
      <alignment horizontal="left" vertical="center" wrapText="1"/>
    </xf>
    <xf numFmtId="2" fontId="0" fillId="10" borderId="0" xfId="0" applyNumberFormat="1" applyFill="1" applyAlignment="1">
      <alignment horizontal="center"/>
    </xf>
    <xf numFmtId="4" fontId="17" fillId="33" borderId="5" xfId="1" applyNumberFormat="1" applyFont="1" applyFill="1" applyBorder="1" applyAlignment="1">
      <alignment horizontal="left" vertical="center" wrapText="1"/>
    </xf>
    <xf numFmtId="4" fontId="17" fillId="33" borderId="7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center" vertical="center"/>
    </xf>
    <xf numFmtId="0" fontId="0" fillId="24" borderId="1" xfId="0" applyFill="1" applyBorder="1" applyAlignment="1">
      <alignment wrapText="1"/>
    </xf>
    <xf numFmtId="4" fontId="8" fillId="33" borderId="5" xfId="1" applyNumberFormat="1" applyFont="1" applyFill="1" applyBorder="1" applyAlignment="1">
      <alignment horizontal="left" vertical="center" wrapText="1"/>
    </xf>
    <xf numFmtId="4" fontId="8" fillId="33" borderId="6" xfId="1" applyNumberFormat="1" applyFont="1" applyFill="1" applyBorder="1" applyAlignment="1">
      <alignment horizontal="left" vertical="center" wrapText="1"/>
    </xf>
    <xf numFmtId="4" fontId="17" fillId="33" borderId="53" xfId="1" applyNumberFormat="1" applyFont="1" applyFill="1" applyBorder="1" applyAlignment="1">
      <alignment horizontal="left" vertical="center" wrapText="1"/>
    </xf>
    <xf numFmtId="4" fontId="17" fillId="33" borderId="6" xfId="1" applyNumberFormat="1" applyFont="1" applyFill="1" applyBorder="1" applyAlignment="1">
      <alignment horizontal="left" vertical="center" wrapText="1"/>
    </xf>
    <xf numFmtId="4" fontId="8" fillId="33" borderId="53" xfId="1" applyNumberFormat="1" applyFont="1" applyFill="1" applyBorder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17" fillId="33" borderId="5" xfId="0" applyFont="1" applyFill="1" applyBorder="1" applyAlignment="1">
      <alignment horizontal="left" vertical="center"/>
    </xf>
    <xf numFmtId="0" fontId="17" fillId="33" borderId="6" xfId="0" applyFont="1" applyFill="1" applyBorder="1" applyAlignment="1">
      <alignment horizontal="left" vertical="center"/>
    </xf>
    <xf numFmtId="2" fontId="7" fillId="10" borderId="0" xfId="0" applyNumberFormat="1" applyFont="1" applyFill="1" applyAlignment="1">
      <alignment horizontal="center" vertical="center"/>
    </xf>
    <xf numFmtId="0" fontId="17" fillId="33" borderId="55" xfId="0" applyFont="1" applyFill="1" applyBorder="1" applyAlignment="1">
      <alignment horizontal="left" vertical="center"/>
    </xf>
    <xf numFmtId="0" fontId="17" fillId="33" borderId="7" xfId="0" applyFont="1" applyFill="1" applyBorder="1" applyAlignment="1">
      <alignment horizontal="left" vertical="center"/>
    </xf>
    <xf numFmtId="0" fontId="17" fillId="33" borderId="5" xfId="0" applyFont="1" applyFill="1" applyBorder="1" applyAlignment="1">
      <alignment horizontal="left" vertical="center" wrapText="1"/>
    </xf>
    <xf numFmtId="0" fontId="17" fillId="33" borderId="6" xfId="0" applyFont="1" applyFill="1" applyBorder="1" applyAlignment="1">
      <alignment horizontal="left" vertical="center" wrapText="1"/>
    </xf>
    <xf numFmtId="0" fontId="0" fillId="11" borderId="0" xfId="0" applyFill="1"/>
    <xf numFmtId="0" fontId="1" fillId="26" borderId="0" xfId="0" applyFont="1" applyFill="1"/>
    <xf numFmtId="0" fontId="0" fillId="19" borderId="0" xfId="0" applyFill="1"/>
    <xf numFmtId="0" fontId="65" fillId="26" borderId="0" xfId="0" applyFont="1" applyFill="1"/>
    <xf numFmtId="0" fontId="7" fillId="11" borderId="0" xfId="0" applyFont="1" applyFill="1" applyAlignment="1">
      <alignment horizontal="center" vertical="center"/>
    </xf>
    <xf numFmtId="1" fontId="45" fillId="24" borderId="0" xfId="0" applyNumberFormat="1" applyFont="1" applyFill="1" applyAlignment="1">
      <alignment horizontal="center"/>
    </xf>
    <xf numFmtId="0" fontId="0" fillId="24" borderId="0" xfId="0" applyFill="1" applyAlignment="1">
      <alignment horizontal="right"/>
    </xf>
    <xf numFmtId="0" fontId="45" fillId="24" borderId="0" xfId="0" applyFont="1" applyFill="1" applyAlignment="1">
      <alignment horizontal="center" vertical="center"/>
    </xf>
    <xf numFmtId="0" fontId="45" fillId="24" borderId="0" xfId="0" applyFont="1" applyFill="1" applyAlignment="1">
      <alignment horizontal="center"/>
    </xf>
    <xf numFmtId="0" fontId="6" fillId="24" borderId="0" xfId="0" applyFont="1" applyFill="1"/>
    <xf numFmtId="4" fontId="8" fillId="33" borderId="1" xfId="1" applyNumberFormat="1" applyFont="1" applyFill="1" applyBorder="1" applyAlignment="1">
      <alignment vertical="center" wrapText="1"/>
    </xf>
    <xf numFmtId="4" fontId="8" fillId="14" borderId="6" xfId="1" applyNumberFormat="1" applyFont="1" applyFill="1" applyBorder="1" applyAlignment="1">
      <alignment vertical="center" wrapText="1"/>
    </xf>
    <xf numFmtId="4" fontId="8" fillId="33" borderId="1" xfId="1" applyNumberFormat="1" applyFont="1" applyFill="1" applyBorder="1" applyAlignment="1">
      <alignment horizontal="center" vertical="center" wrapText="1"/>
    </xf>
    <xf numFmtId="2" fontId="8" fillId="20" borderId="1" xfId="1" applyNumberFormat="1" applyFont="1" applyFill="1" applyBorder="1" applyAlignment="1">
      <alignment horizontal="center" vertical="center" wrapText="1"/>
    </xf>
    <xf numFmtId="4" fontId="8" fillId="14" borderId="6" xfId="1" applyNumberFormat="1" applyFont="1" applyFill="1" applyBorder="1" applyAlignment="1">
      <alignment horizontal="right" vertical="center" wrapText="1"/>
    </xf>
    <xf numFmtId="2" fontId="8" fillId="33" borderId="1" xfId="1" applyNumberFormat="1" applyFont="1" applyFill="1" applyBorder="1" applyAlignment="1">
      <alignment horizontal="center" vertical="center" wrapText="1"/>
    </xf>
    <xf numFmtId="4" fontId="8" fillId="10" borderId="1" xfId="1" applyNumberFormat="1" applyFont="1" applyFill="1" applyBorder="1" applyAlignment="1">
      <alignment horizontal="right" vertical="center" wrapText="1"/>
    </xf>
    <xf numFmtId="4" fontId="8" fillId="24" borderId="1" xfId="1" applyNumberFormat="1" applyFont="1" applyFill="1" applyBorder="1" applyAlignment="1">
      <alignment horizontal="center" vertical="center" wrapText="1"/>
    </xf>
    <xf numFmtId="0" fontId="35" fillId="24" borderId="0" xfId="0" applyFont="1" applyFill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9" borderId="0" xfId="0" applyFill="1"/>
    <xf numFmtId="0" fontId="0" fillId="24" borderId="5" xfId="0" applyFill="1" applyBorder="1"/>
    <xf numFmtId="2" fontId="0" fillId="11" borderId="1" xfId="0" applyNumberFormat="1" applyFill="1" applyBorder="1" applyAlignment="1">
      <alignment horizontal="center" vertical="center"/>
    </xf>
    <xf numFmtId="0" fontId="35" fillId="24" borderId="1" xfId="0" applyFont="1" applyFill="1" applyBorder="1" applyAlignment="1">
      <alignment vertical="center"/>
    </xf>
    <xf numFmtId="167" fontId="0" fillId="19" borderId="1" xfId="0" applyNumberFormat="1" applyFill="1" applyBorder="1" applyAlignment="1">
      <alignment horizontal="center" vertical="center"/>
    </xf>
    <xf numFmtId="167" fontId="0" fillId="11" borderId="1" xfId="0" applyNumberFormat="1" applyFill="1" applyBorder="1" applyAlignment="1">
      <alignment horizontal="center" vertical="center"/>
    </xf>
    <xf numFmtId="0" fontId="1" fillId="19" borderId="0" xfId="0" applyFont="1" applyFill="1"/>
    <xf numFmtId="0" fontId="63" fillId="24" borderId="5" xfId="0" applyFont="1" applyFill="1" applyBorder="1" applyAlignment="1">
      <alignment horizontal="left"/>
    </xf>
    <xf numFmtId="0" fontId="63" fillId="11" borderId="6" xfId="0" applyFont="1" applyFill="1" applyBorder="1" applyAlignment="1">
      <alignment horizontal="center"/>
    </xf>
    <xf numFmtId="0" fontId="63" fillId="10" borderId="6" xfId="0" applyFont="1" applyFill="1" applyBorder="1" applyAlignment="1">
      <alignment horizontal="center"/>
    </xf>
    <xf numFmtId="0" fontId="1" fillId="24" borderId="0" xfId="0" applyFont="1" applyFill="1"/>
    <xf numFmtId="0" fontId="0" fillId="10" borderId="1" xfId="0" applyFill="1" applyBorder="1" applyAlignment="1">
      <alignment horizontal="center"/>
    </xf>
    <xf numFmtId="0" fontId="1" fillId="24" borderId="60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4" borderId="60" xfId="0" applyFill="1" applyBorder="1" applyAlignment="1">
      <alignment horizontal="center"/>
    </xf>
    <xf numFmtId="0" fontId="8" fillId="33" borderId="5" xfId="0" applyFont="1" applyFill="1" applyBorder="1" applyAlignment="1">
      <alignment horizontal="left" vertical="center" wrapText="1"/>
    </xf>
    <xf numFmtId="0" fontId="8" fillId="33" borderId="5" xfId="0" applyFont="1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/>
    </xf>
    <xf numFmtId="0" fontId="0" fillId="24" borderId="40" xfId="0" applyFill="1" applyBorder="1"/>
    <xf numFmtId="0" fontId="0" fillId="24" borderId="19" xfId="0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48" fillId="24" borderId="0" xfId="0" applyFont="1" applyFill="1"/>
    <xf numFmtId="0" fontId="48" fillId="2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/>
    </xf>
    <xf numFmtId="0" fontId="1" fillId="24" borderId="63" xfId="0" applyFont="1" applyFill="1" applyBorder="1" applyAlignment="1">
      <alignment horizontal="center" vertical="center"/>
    </xf>
    <xf numFmtId="0" fontId="1" fillId="24" borderId="70" xfId="0" applyFont="1" applyFill="1" applyBorder="1" applyAlignment="1">
      <alignment horizontal="center" vertical="center"/>
    </xf>
    <xf numFmtId="0" fontId="1" fillId="24" borderId="71" xfId="0" applyFont="1" applyFill="1" applyBorder="1" applyAlignment="1">
      <alignment horizontal="center" vertical="center" wrapText="1"/>
    </xf>
    <xf numFmtId="0" fontId="1" fillId="24" borderId="70" xfId="0" applyFont="1" applyFill="1" applyBorder="1" applyAlignment="1">
      <alignment horizontal="center" vertical="center" wrapText="1"/>
    </xf>
    <xf numFmtId="4" fontId="8" fillId="33" borderId="1" xfId="1" applyNumberFormat="1" applyFont="1" applyFill="1" applyBorder="1" applyAlignment="1">
      <alignment horizontal="left" vertical="center" wrapText="1"/>
    </xf>
    <xf numFmtId="0" fontId="48" fillId="24" borderId="1" xfId="0" applyFont="1" applyFill="1" applyBorder="1" applyAlignment="1">
      <alignment horizontal="center"/>
    </xf>
    <xf numFmtId="0" fontId="48" fillId="10" borderId="1" xfId="0" applyFont="1" applyFill="1" applyBorder="1" applyAlignment="1">
      <alignment horizontal="center" vertical="center"/>
    </xf>
    <xf numFmtId="0" fontId="51" fillId="11" borderId="12" xfId="0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17" fillId="33" borderId="1" xfId="0" applyFont="1" applyFill="1" applyBorder="1" applyAlignment="1">
      <alignment horizontal="left" vertical="center"/>
    </xf>
    <xf numFmtId="2" fontId="8" fillId="10" borderId="1" xfId="0" applyNumberFormat="1" applyFont="1" applyFill="1" applyBorder="1" applyAlignment="1">
      <alignment horizontal="center" vertical="center"/>
    </xf>
    <xf numFmtId="0" fontId="0" fillId="24" borderId="17" xfId="0" applyFill="1" applyBorder="1" applyAlignment="1">
      <alignment vertical="center"/>
    </xf>
    <xf numFmtId="0" fontId="0" fillId="24" borderId="15" xfId="0" applyFill="1" applyBorder="1" applyAlignment="1">
      <alignment horizontal="center" vertical="center"/>
    </xf>
    <xf numFmtId="2" fontId="67" fillId="19" borderId="15" xfId="0" applyNumberFormat="1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24" borderId="43" xfId="0" applyFill="1" applyBorder="1"/>
    <xf numFmtId="0" fontId="0" fillId="24" borderId="44" xfId="0" applyFill="1" applyBorder="1" applyAlignment="1">
      <alignment horizontal="center" vertical="center"/>
    </xf>
    <xf numFmtId="0" fontId="50" fillId="11" borderId="4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24" borderId="46" xfId="0" applyFill="1" applyBorder="1"/>
    <xf numFmtId="0" fontId="50" fillId="19" borderId="47" xfId="0" applyFont="1" applyFill="1" applyBorder="1" applyAlignment="1">
      <alignment horizontal="center" vertical="center"/>
    </xf>
    <xf numFmtId="0" fontId="48" fillId="24" borderId="1" xfId="0" applyFont="1" applyFill="1" applyBorder="1" applyAlignment="1">
      <alignment horizontal="left"/>
    </xf>
    <xf numFmtId="0" fontId="50" fillId="11" borderId="47" xfId="0" applyFont="1" applyFill="1" applyBorder="1" applyAlignment="1">
      <alignment horizontal="center" vertical="center"/>
    </xf>
    <xf numFmtId="0" fontId="48" fillId="24" borderId="1" xfId="0" applyFont="1" applyFill="1" applyBorder="1" applyAlignment="1">
      <alignment horizontal="left" vertical="center"/>
    </xf>
    <xf numFmtId="0" fontId="48" fillId="24" borderId="1" xfId="0" applyFont="1" applyFill="1" applyBorder="1" applyAlignment="1">
      <alignment vertical="center"/>
    </xf>
    <xf numFmtId="0" fontId="0" fillId="24" borderId="46" xfId="0" applyFill="1" applyBorder="1" applyAlignment="1">
      <alignment wrapText="1"/>
    </xf>
    <xf numFmtId="0" fontId="0" fillId="24" borderId="0" xfId="0" applyFill="1" applyAlignment="1">
      <alignment vertical="center"/>
    </xf>
    <xf numFmtId="0" fontId="48" fillId="24" borderId="19" xfId="0" applyFont="1" applyFill="1" applyBorder="1" applyAlignment="1">
      <alignment horizontal="center"/>
    </xf>
    <xf numFmtId="0" fontId="48" fillId="10" borderId="19" xfId="0" applyFont="1" applyFill="1" applyBorder="1" applyAlignment="1">
      <alignment horizontal="center" vertical="center"/>
    </xf>
    <xf numFmtId="0" fontId="0" fillId="24" borderId="67" xfId="0" applyFill="1" applyBorder="1"/>
    <xf numFmtId="0" fontId="0" fillId="24" borderId="67" xfId="0" applyFill="1" applyBorder="1" applyAlignment="1">
      <alignment horizontal="center" vertical="center"/>
    </xf>
    <xf numFmtId="0" fontId="50" fillId="11" borderId="37" xfId="0" applyFont="1" applyFill="1" applyBorder="1" applyAlignment="1">
      <alignment horizontal="center" vertical="center"/>
    </xf>
    <xf numFmtId="0" fontId="50" fillId="11" borderId="33" xfId="0" applyFont="1" applyFill="1" applyBorder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0" fontId="0" fillId="24" borderId="1" xfId="0" applyFill="1" applyBorder="1" applyAlignment="1">
      <alignment vertical="center"/>
    </xf>
    <xf numFmtId="0" fontId="48" fillId="24" borderId="1" xfId="0" applyFont="1" applyFill="1" applyBorder="1" applyAlignment="1">
      <alignment vertical="center" wrapText="1"/>
    </xf>
    <xf numFmtId="0" fontId="48" fillId="24" borderId="1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8" fillId="24" borderId="1" xfId="0" applyFont="1" applyFill="1" applyBorder="1" applyAlignment="1">
      <alignment wrapText="1"/>
    </xf>
    <xf numFmtId="0" fontId="0" fillId="24" borderId="12" xfId="0" applyFill="1" applyBorder="1"/>
    <xf numFmtId="0" fontId="0" fillId="24" borderId="12" xfId="0" applyFill="1" applyBorder="1" applyAlignment="1">
      <alignment horizontal="center" vertical="center"/>
    </xf>
    <xf numFmtId="0" fontId="50" fillId="11" borderId="31" xfId="0" applyFont="1" applyFill="1" applyBorder="1" applyAlignment="1">
      <alignment horizontal="center" vertical="center"/>
    </xf>
    <xf numFmtId="0" fontId="48" fillId="24" borderId="5" xfId="0" applyFont="1" applyFill="1" applyBorder="1" applyAlignment="1">
      <alignment horizontal="left"/>
    </xf>
    <xf numFmtId="0" fontId="1" fillId="24" borderId="0" xfId="0" applyFont="1" applyFill="1" applyAlignment="1">
      <alignment horizontal="center" vertical="center" wrapText="1"/>
    </xf>
    <xf numFmtId="0" fontId="1" fillId="11" borderId="70" xfId="0" applyFont="1" applyFill="1" applyBorder="1" applyAlignment="1">
      <alignment horizontal="center"/>
    </xf>
    <xf numFmtId="0" fontId="48" fillId="11" borderId="1" xfId="0" applyFont="1" applyFill="1" applyBorder="1" applyAlignment="1">
      <alignment horizontal="center" vertical="center"/>
    </xf>
    <xf numFmtId="0" fontId="64" fillId="32" borderId="0" xfId="0" applyFont="1" applyFill="1" applyAlignment="1">
      <alignment vertical="center"/>
    </xf>
    <xf numFmtId="0" fontId="64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64" fillId="24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0" fontId="70" fillId="11" borderId="0" xfId="0" applyFont="1" applyFill="1" applyAlignment="1">
      <alignment horizontal="center" vertical="center"/>
    </xf>
    <xf numFmtId="0" fontId="8" fillId="24" borderId="1" xfId="0" applyFont="1" applyFill="1" applyBorder="1" applyAlignment="1">
      <alignment vertical="center"/>
    </xf>
    <xf numFmtId="0" fontId="8" fillId="33" borderId="1" xfId="0" applyFont="1" applyFill="1" applyBorder="1" applyAlignment="1">
      <alignment horizontal="center" vertical="center"/>
    </xf>
    <xf numFmtId="4" fontId="8" fillId="35" borderId="1" xfId="0" applyNumberFormat="1" applyFont="1" applyFill="1" applyBorder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50" fillId="19" borderId="1" xfId="0" applyFont="1" applyFill="1" applyBorder="1" applyAlignment="1">
      <alignment horizontal="center" vertical="center"/>
    </xf>
    <xf numFmtId="0" fontId="70" fillId="19" borderId="0" xfId="0" applyFont="1" applyFill="1" applyAlignment="1">
      <alignment horizontal="center" vertical="center"/>
    </xf>
    <xf numFmtId="0" fontId="8" fillId="24" borderId="1" xfId="0" applyFont="1" applyFill="1" applyBorder="1" applyAlignment="1">
      <alignment vertical="center" wrapText="1"/>
    </xf>
    <xf numFmtId="0" fontId="8" fillId="24" borderId="1" xfId="0" applyFont="1" applyFill="1" applyBorder="1" applyAlignment="1">
      <alignment horizontal="center" vertical="center"/>
    </xf>
    <xf numFmtId="3" fontId="8" fillId="24" borderId="1" xfId="0" applyNumberFormat="1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/>
    </xf>
    <xf numFmtId="0" fontId="8" fillId="24" borderId="12" xfId="0" applyFont="1" applyFill="1" applyBorder="1" applyAlignment="1">
      <alignment horizontal="center" vertical="center" wrapText="1"/>
    </xf>
    <xf numFmtId="4" fontId="8" fillId="36" borderId="1" xfId="0" applyNumberFormat="1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vertical="center"/>
    </xf>
    <xf numFmtId="0" fontId="8" fillId="24" borderId="8" xfId="0" applyFont="1" applyFill="1" applyBorder="1" applyAlignment="1">
      <alignment horizontal="center" vertical="center"/>
    </xf>
    <xf numFmtId="4" fontId="8" fillId="2" borderId="8" xfId="0" applyNumberFormat="1" applyFont="1" applyFill="1" applyBorder="1" applyAlignment="1">
      <alignment horizontal="center" vertical="center"/>
    </xf>
    <xf numFmtId="4" fontId="8" fillId="24" borderId="12" xfId="0" applyNumberFormat="1" applyFont="1" applyFill="1" applyBorder="1" applyAlignment="1">
      <alignment horizontal="left"/>
    </xf>
    <xf numFmtId="4" fontId="8" fillId="24" borderId="1" xfId="0" applyNumberFormat="1" applyFont="1" applyFill="1" applyBorder="1" applyAlignment="1">
      <alignment horizontal="left"/>
    </xf>
    <xf numFmtId="4" fontId="8" fillId="24" borderId="12" xfId="0" applyNumberFormat="1" applyFont="1" applyFill="1" applyBorder="1" applyAlignment="1">
      <alignment horizontal="left" wrapText="1"/>
    </xf>
    <xf numFmtId="4" fontId="8" fillId="24" borderId="1" xfId="1" applyNumberFormat="1" applyFont="1" applyFill="1" applyBorder="1" applyAlignment="1">
      <alignment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left" vertical="center"/>
    </xf>
    <xf numFmtId="0" fontId="8" fillId="24" borderId="1" xfId="0" applyFont="1" applyFill="1" applyBorder="1" applyAlignment="1">
      <alignment horizontal="center"/>
    </xf>
    <xf numFmtId="4" fontId="8" fillId="24" borderId="1" xfId="0" applyNumberFormat="1" applyFont="1" applyFill="1" applyBorder="1" applyAlignment="1">
      <alignment horizontal="center" vertical="center"/>
    </xf>
    <xf numFmtId="0" fontId="8" fillId="24" borderId="9" xfId="0" applyFont="1" applyFill="1" applyBorder="1" applyAlignment="1">
      <alignment vertical="center" wrapText="1"/>
    </xf>
    <xf numFmtId="0" fontId="0" fillId="23" borderId="1" xfId="0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4" borderId="1" xfId="0" applyNumberFormat="1" applyFill="1" applyBorder="1" applyProtection="1">
      <protection locked="0"/>
    </xf>
    <xf numFmtId="0" fontId="0" fillId="23" borderId="12" xfId="0" applyFill="1" applyBorder="1" applyProtection="1">
      <protection locked="0"/>
    </xf>
    <xf numFmtId="0" fontId="0" fillId="24" borderId="1" xfId="0" applyFill="1" applyBorder="1" applyAlignment="1" applyProtection="1">
      <alignment horizontal="center"/>
      <protection locked="0"/>
    </xf>
    <xf numFmtId="4" fontId="0" fillId="24" borderId="0" xfId="0" applyNumberFormat="1" applyFill="1"/>
    <xf numFmtId="0" fontId="0" fillId="16" borderId="1" xfId="0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>
      <alignment horizontal="center"/>
    </xf>
    <xf numFmtId="4" fontId="0" fillId="4" borderId="5" xfId="0" applyNumberFormat="1" applyFill="1" applyBorder="1" applyProtection="1">
      <protection locked="0"/>
    </xf>
    <xf numFmtId="0" fontId="8" fillId="24" borderId="8" xfId="0" applyFont="1" applyFill="1" applyBorder="1" applyAlignment="1">
      <alignment vertical="center"/>
    </xf>
    <xf numFmtId="0" fontId="8" fillId="33" borderId="8" xfId="0" applyFont="1" applyFill="1" applyBorder="1" applyAlignment="1">
      <alignment vertical="center"/>
    </xf>
    <xf numFmtId="4" fontId="8" fillId="2" borderId="14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16" borderId="1" xfId="0" applyFill="1" applyBorder="1" applyAlignment="1" applyProtection="1">
      <alignment horizontal="center" vertical="center"/>
      <protection locked="0"/>
    </xf>
    <xf numFmtId="4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 applyProtection="1">
      <alignment horizontal="center" vertical="center"/>
      <protection locked="0"/>
    </xf>
    <xf numFmtId="4" fontId="0" fillId="4" borderId="5" xfId="0" applyNumberFormat="1" applyFill="1" applyBorder="1" applyAlignment="1" applyProtection="1">
      <alignment vertical="center"/>
      <protection locked="0"/>
    </xf>
    <xf numFmtId="0" fontId="8" fillId="33" borderId="8" xfId="0" applyFont="1" applyFill="1" applyBorder="1" applyAlignment="1">
      <alignment vertical="center" wrapText="1"/>
    </xf>
    <xf numFmtId="0" fontId="8" fillId="24" borderId="8" xfId="0" applyFont="1" applyFill="1" applyBorder="1" applyAlignment="1">
      <alignment vertical="center" wrapText="1"/>
    </xf>
    <xf numFmtId="0" fontId="0" fillId="5" borderId="1" xfId="0" applyFill="1" applyBorder="1" applyAlignment="1" applyProtection="1">
      <alignment horizontal="center"/>
      <protection locked="0"/>
    </xf>
    <xf numFmtId="2" fontId="8" fillId="35" borderId="1" xfId="0" applyNumberFormat="1" applyFont="1" applyFill="1" applyBorder="1" applyAlignment="1">
      <alignment horizontal="center" vertical="center"/>
    </xf>
    <xf numFmtId="0" fontId="8" fillId="33" borderId="19" xfId="0" applyFont="1" applyFill="1" applyBorder="1" applyAlignment="1">
      <alignment vertical="center"/>
    </xf>
    <xf numFmtId="0" fontId="8" fillId="33" borderId="19" xfId="0" applyFont="1" applyFill="1" applyBorder="1" applyAlignment="1">
      <alignment horizontal="center" vertical="center"/>
    </xf>
    <xf numFmtId="2" fontId="8" fillId="35" borderId="19" xfId="0" applyNumberFormat="1" applyFont="1" applyFill="1" applyBorder="1" applyAlignment="1">
      <alignment horizontal="center" vertical="center"/>
    </xf>
    <xf numFmtId="4" fontId="0" fillId="37" borderId="5" xfId="0" applyNumberFormat="1" applyFill="1" applyBorder="1" applyAlignment="1" applyProtection="1">
      <alignment horizontal="center"/>
      <protection locked="0"/>
    </xf>
    <xf numFmtId="0" fontId="8" fillId="33" borderId="1" xfId="0" applyFont="1" applyFill="1" applyBorder="1" applyAlignment="1">
      <alignment vertical="center" wrapText="1"/>
    </xf>
    <xf numFmtId="3" fontId="8" fillId="33" borderId="1" xfId="0" applyNumberFormat="1" applyFont="1" applyFill="1" applyBorder="1" applyAlignment="1">
      <alignment horizontal="center" vertical="center"/>
    </xf>
    <xf numFmtId="4" fontId="8" fillId="14" borderId="1" xfId="0" applyNumberFormat="1" applyFont="1" applyFill="1" applyBorder="1" applyAlignment="1">
      <alignment horizontal="center" vertical="center"/>
    </xf>
    <xf numFmtId="0" fontId="8" fillId="33" borderId="9" xfId="0" applyFont="1" applyFill="1" applyBorder="1" applyAlignment="1">
      <alignment vertical="center" wrapText="1"/>
    </xf>
    <xf numFmtId="0" fontId="8" fillId="33" borderId="9" xfId="0" applyFont="1" applyFill="1" applyBorder="1" applyAlignment="1">
      <alignment horizontal="center" vertical="center"/>
    </xf>
    <xf numFmtId="3" fontId="8" fillId="33" borderId="9" xfId="0" applyNumberFormat="1" applyFont="1" applyFill="1" applyBorder="1" applyAlignment="1">
      <alignment horizontal="center" vertical="center"/>
    </xf>
    <xf numFmtId="4" fontId="8" fillId="14" borderId="9" xfId="0" applyNumberFormat="1" applyFont="1" applyFill="1" applyBorder="1" applyAlignment="1">
      <alignment horizontal="center" vertical="center"/>
    </xf>
    <xf numFmtId="4" fontId="0" fillId="0" borderId="5" xfId="0" applyNumberFormat="1" applyBorder="1" applyAlignment="1" applyProtection="1">
      <alignment horizontal="center"/>
      <protection locked="0"/>
    </xf>
    <xf numFmtId="0" fontId="8" fillId="33" borderId="8" xfId="0" applyFont="1" applyFill="1" applyBorder="1" applyAlignment="1">
      <alignment horizontal="center" vertical="center"/>
    </xf>
    <xf numFmtId="4" fontId="8" fillId="33" borderId="8" xfId="0" applyNumberFormat="1" applyFont="1" applyFill="1" applyBorder="1" applyAlignment="1">
      <alignment horizontal="center" vertical="center"/>
    </xf>
    <xf numFmtId="4" fontId="16" fillId="33" borderId="8" xfId="0" applyNumberFormat="1" applyFont="1" applyFill="1" applyBorder="1" applyAlignment="1">
      <alignment horizontal="center" vertical="center"/>
    </xf>
    <xf numFmtId="4" fontId="8" fillId="33" borderId="1" xfId="0" applyNumberFormat="1" applyFont="1" applyFill="1" applyBorder="1" applyAlignment="1">
      <alignment horizontal="center" vertical="center"/>
    </xf>
    <xf numFmtId="4" fontId="0" fillId="10" borderId="1" xfId="0" applyNumberFormat="1" applyFill="1" applyBorder="1" applyAlignment="1">
      <alignment horizontal="center"/>
    </xf>
    <xf numFmtId="4" fontId="8" fillId="24" borderId="8" xfId="0" applyNumberFormat="1" applyFont="1" applyFill="1" applyBorder="1" applyAlignment="1">
      <alignment horizontal="center" vertical="center"/>
    </xf>
    <xf numFmtId="4" fontId="8" fillId="11" borderId="8" xfId="0" applyNumberFormat="1" applyFont="1" applyFill="1" applyBorder="1" applyAlignment="1">
      <alignment horizontal="center" vertical="center"/>
    </xf>
    <xf numFmtId="4" fontId="8" fillId="11" borderId="1" xfId="0" applyNumberFormat="1" applyFont="1" applyFill="1" applyBorder="1" applyAlignment="1">
      <alignment horizontal="center" vertical="center"/>
    </xf>
    <xf numFmtId="2" fontId="8" fillId="20" borderId="1" xfId="0" applyNumberFormat="1" applyFont="1" applyFill="1" applyBorder="1" applyAlignment="1">
      <alignment horizontal="center" vertical="center"/>
    </xf>
    <xf numFmtId="2" fontId="8" fillId="20" borderId="19" xfId="0" applyNumberFormat="1" applyFont="1" applyFill="1" applyBorder="1" applyAlignment="1">
      <alignment horizontal="center" vertical="center"/>
    </xf>
    <xf numFmtId="4" fontId="8" fillId="20" borderId="1" xfId="0" applyNumberFormat="1" applyFont="1" applyFill="1" applyBorder="1" applyAlignment="1">
      <alignment horizontal="center" vertical="center"/>
    </xf>
    <xf numFmtId="4" fontId="8" fillId="20" borderId="9" xfId="0" applyNumberFormat="1" applyFont="1" applyFill="1" applyBorder="1" applyAlignment="1">
      <alignment horizontal="center" vertical="center"/>
    </xf>
    <xf numFmtId="0" fontId="16" fillId="33" borderId="8" xfId="0" applyFont="1" applyFill="1" applyBorder="1" applyAlignment="1">
      <alignment horizontal="center" vertical="center"/>
    </xf>
    <xf numFmtId="4" fontId="16" fillId="38" borderId="8" xfId="0" applyNumberFormat="1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3" fontId="8" fillId="4" borderId="1" xfId="0" applyNumberFormat="1" applyFont="1" applyFill="1" applyBorder="1" applyAlignment="1">
      <alignment horizontal="center" vertical="center"/>
    </xf>
    <xf numFmtId="0" fontId="8" fillId="2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/>
    </xf>
    <xf numFmtId="4" fontId="8" fillId="24" borderId="0" xfId="0" applyNumberFormat="1" applyFont="1" applyFill="1" applyAlignment="1">
      <alignment horizontal="center" vertical="center"/>
    </xf>
    <xf numFmtId="4" fontId="0" fillId="11" borderId="1" xfId="0" applyNumberFormat="1" applyFill="1" applyBorder="1" applyAlignment="1">
      <alignment horizontal="center"/>
    </xf>
    <xf numFmtId="0" fontId="51" fillId="24" borderId="0" xfId="0" applyFont="1" applyFill="1" applyAlignment="1">
      <alignment horizontal="center"/>
    </xf>
    <xf numFmtId="4" fontId="16" fillId="39" borderId="19" xfId="1" applyNumberFormat="1" applyFont="1" applyFill="1" applyBorder="1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 wrapText="1"/>
    </xf>
    <xf numFmtId="4" fontId="17" fillId="33" borderId="13" xfId="0" applyNumberFormat="1" applyFont="1" applyFill="1" applyBorder="1" applyAlignment="1">
      <alignment horizontal="center" vertical="center"/>
    </xf>
    <xf numFmtId="4" fontId="17" fillId="33" borderId="13" xfId="0" applyNumberFormat="1" applyFont="1" applyFill="1" applyBorder="1" applyAlignment="1">
      <alignment horizontal="center" vertical="center" wrapText="1"/>
    </xf>
    <xf numFmtId="4" fontId="16" fillId="40" borderId="19" xfId="1" applyNumberFormat="1" applyFont="1" applyFill="1" applyBorder="1" applyAlignment="1">
      <alignment horizontal="center" vertical="center" wrapText="1"/>
    </xf>
    <xf numFmtId="4" fontId="8" fillId="33" borderId="19" xfId="1" applyNumberFormat="1" applyFont="1" applyFill="1" applyBorder="1" applyAlignment="1">
      <alignment horizontal="center" vertical="center" wrapText="1"/>
    </xf>
    <xf numFmtId="2" fontId="16" fillId="35" borderId="13" xfId="0" applyNumberFormat="1" applyFont="1" applyFill="1" applyBorder="1" applyAlignment="1">
      <alignment horizontal="center" vertical="center"/>
    </xf>
    <xf numFmtId="4" fontId="17" fillId="35" borderId="13" xfId="0" applyNumberFormat="1" applyFont="1" applyFill="1" applyBorder="1" applyAlignment="1">
      <alignment horizontal="center" vertical="center" wrapText="1"/>
    </xf>
    <xf numFmtId="4" fontId="8" fillId="24" borderId="19" xfId="1" applyNumberFormat="1" applyFont="1" applyFill="1" applyBorder="1" applyAlignment="1">
      <alignment horizontal="center" vertical="center" wrapText="1"/>
    </xf>
    <xf numFmtId="4" fontId="8" fillId="33" borderId="19" xfId="1" applyNumberFormat="1" applyFont="1" applyFill="1" applyBorder="1" applyAlignment="1">
      <alignment horizontal="left" vertical="center" wrapText="1"/>
    </xf>
    <xf numFmtId="0" fontId="17" fillId="35" borderId="13" xfId="0" applyFont="1" applyFill="1" applyBorder="1" applyAlignment="1">
      <alignment horizontal="center" vertical="center"/>
    </xf>
    <xf numFmtId="3" fontId="8" fillId="24" borderId="1" xfId="1" applyNumberFormat="1" applyFont="1" applyFill="1" applyBorder="1" applyAlignment="1">
      <alignment horizontal="left" vertical="center" wrapText="1"/>
    </xf>
    <xf numFmtId="3" fontId="8" fillId="24" borderId="1" xfId="1" applyNumberFormat="1" applyFont="1" applyFill="1" applyBorder="1" applyAlignment="1">
      <alignment horizontal="center" vertical="center" wrapText="1"/>
    </xf>
    <xf numFmtId="0" fontId="8" fillId="19" borderId="1" xfId="1" applyFont="1" applyFill="1" applyBorder="1" applyAlignment="1">
      <alignment horizontal="center" vertical="center" wrapText="1"/>
    </xf>
    <xf numFmtId="4" fontId="16" fillId="39" borderId="15" xfId="1" applyNumberFormat="1" applyFont="1" applyFill="1" applyBorder="1" applyAlignment="1">
      <alignment horizontal="center" vertical="center" wrapText="1"/>
    </xf>
    <xf numFmtId="0" fontId="17" fillId="33" borderId="27" xfId="0" applyFont="1" applyFill="1" applyBorder="1" applyAlignment="1">
      <alignment horizontal="center" vertical="center" wrapText="1"/>
    </xf>
    <xf numFmtId="2" fontId="17" fillId="20" borderId="13" xfId="0" applyNumberFormat="1" applyFont="1" applyFill="1" applyBorder="1" applyAlignment="1">
      <alignment horizontal="center" vertical="center"/>
    </xf>
    <xf numFmtId="4" fontId="8" fillId="33" borderId="13" xfId="0" applyNumberFormat="1" applyFont="1" applyFill="1" applyBorder="1" applyAlignment="1">
      <alignment horizontal="center" vertical="center" wrapText="1"/>
    </xf>
    <xf numFmtId="4" fontId="17" fillId="20" borderId="13" xfId="0" applyNumberFormat="1" applyFont="1" applyFill="1" applyBorder="1" applyAlignment="1">
      <alignment horizontal="center" vertical="center"/>
    </xf>
    <xf numFmtId="3" fontId="8" fillId="10" borderId="19" xfId="1" applyNumberFormat="1" applyFont="1" applyFill="1" applyBorder="1" applyAlignment="1">
      <alignment horizontal="center" vertical="center" wrapText="1"/>
    </xf>
    <xf numFmtId="0" fontId="74" fillId="0" borderId="0" xfId="0" applyFont="1"/>
    <xf numFmtId="0" fontId="8" fillId="24" borderId="1" xfId="1" applyFont="1" applyFill="1" applyBorder="1" applyAlignment="1">
      <alignment horizontal="center" vertical="center" wrapText="1"/>
    </xf>
    <xf numFmtId="0" fontId="8" fillId="11" borderId="1" xfId="1" applyFont="1" applyFill="1" applyBorder="1" applyAlignment="1">
      <alignment horizontal="center" vertical="center" wrapText="1"/>
    </xf>
    <xf numFmtId="4" fontId="8" fillId="11" borderId="19" xfId="1" applyNumberFormat="1" applyFont="1" applyFill="1" applyBorder="1" applyAlignment="1">
      <alignment horizontal="center" vertical="center" wrapText="1"/>
    </xf>
    <xf numFmtId="1" fontId="8" fillId="24" borderId="1" xfId="1" applyNumberFormat="1" applyFont="1" applyFill="1" applyBorder="1" applyAlignment="1">
      <alignment horizontal="center" vertical="center" wrapText="1"/>
    </xf>
    <xf numFmtId="2" fontId="8" fillId="24" borderId="1" xfId="1" applyNumberFormat="1" applyFont="1" applyFill="1" applyBorder="1" applyAlignment="1">
      <alignment horizontal="center" vertical="center" wrapText="1"/>
    </xf>
    <xf numFmtId="2" fontId="8" fillId="11" borderId="1" xfId="1" applyNumberFormat="1" applyFont="1" applyFill="1" applyBorder="1" applyAlignment="1">
      <alignment horizontal="center" vertical="center" wrapText="1"/>
    </xf>
    <xf numFmtId="3" fontId="16" fillId="40" borderId="5" xfId="1" applyNumberFormat="1" applyFont="1" applyFill="1" applyBorder="1" applyAlignment="1">
      <alignment horizontal="center" vertical="center" wrapText="1"/>
    </xf>
    <xf numFmtId="3" fontId="8" fillId="40" borderId="54" xfId="1" applyNumberFormat="1" applyFont="1" applyFill="1" applyBorder="1" applyAlignment="1">
      <alignment horizontal="center" vertical="center" wrapText="1"/>
    </xf>
    <xf numFmtId="3" fontId="8" fillId="40" borderId="6" xfId="1" applyNumberFormat="1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left"/>
    </xf>
    <xf numFmtId="4" fontId="52" fillId="24" borderId="1" xfId="0" applyNumberFormat="1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left" vertical="center" wrapText="1"/>
    </xf>
    <xf numFmtId="4" fontId="8" fillId="10" borderId="1" xfId="0" applyNumberFormat="1" applyFont="1" applyFill="1" applyBorder="1" applyAlignment="1">
      <alignment horizontal="center" vertical="center"/>
    </xf>
    <xf numFmtId="4" fontId="8" fillId="33" borderId="19" xfId="1" applyNumberFormat="1" applyFont="1" applyFill="1" applyBorder="1" applyAlignment="1">
      <alignment vertical="center" wrapText="1"/>
    </xf>
    <xf numFmtId="4" fontId="8" fillId="14" borderId="19" xfId="1" applyNumberFormat="1" applyFont="1" applyFill="1" applyBorder="1" applyAlignment="1">
      <alignment horizontal="center" vertical="center" wrapText="1"/>
    </xf>
    <xf numFmtId="4" fontId="8" fillId="14" borderId="1" xfId="1" applyNumberFormat="1" applyFont="1" applyFill="1" applyBorder="1" applyAlignment="1">
      <alignment horizontal="center" vertical="center" wrapText="1"/>
    </xf>
    <xf numFmtId="2" fontId="0" fillId="24" borderId="0" xfId="0" applyNumberFormat="1" applyFill="1"/>
    <xf numFmtId="4" fontId="26" fillId="40" borderId="1" xfId="0" applyNumberFormat="1" applyFont="1" applyFill="1" applyBorder="1" applyAlignment="1">
      <alignment horizontal="center" vertical="center"/>
    </xf>
    <xf numFmtId="3" fontId="8" fillId="40" borderId="1" xfId="1" applyNumberFormat="1" applyFont="1" applyFill="1" applyBorder="1" applyAlignment="1">
      <alignment horizontal="center" vertical="center" wrapText="1"/>
    </xf>
    <xf numFmtId="3" fontId="52" fillId="40" borderId="1" xfId="1" applyNumberFormat="1" applyFont="1" applyFill="1" applyBorder="1" applyAlignment="1">
      <alignment horizontal="center" vertical="center" wrapText="1"/>
    </xf>
    <xf numFmtId="4" fontId="8" fillId="40" borderId="19" xfId="1" applyNumberFormat="1" applyFont="1" applyFill="1" applyBorder="1" applyAlignment="1">
      <alignment horizontal="center" vertical="center" wrapText="1"/>
    </xf>
    <xf numFmtId="4" fontId="8" fillId="20" borderId="1" xfId="1" applyNumberFormat="1" applyFont="1" applyFill="1" applyBorder="1" applyAlignment="1">
      <alignment horizontal="center" vertical="center" wrapText="1"/>
    </xf>
    <xf numFmtId="0" fontId="4" fillId="24" borderId="0" xfId="0" applyFont="1" applyFill="1" applyAlignment="1">
      <alignment horizontal="center"/>
    </xf>
    <xf numFmtId="2" fontId="1" fillId="11" borderId="60" xfId="0" applyNumberFormat="1" applyFont="1" applyFill="1" applyBorder="1" applyAlignment="1">
      <alignment horizontal="center"/>
    </xf>
    <xf numFmtId="4" fontId="19" fillId="24" borderId="1" xfId="0" applyNumberFormat="1" applyFont="1" applyFill="1" applyBorder="1" applyAlignment="1">
      <alignment horizontal="left" vertical="center"/>
    </xf>
    <xf numFmtId="0" fontId="1" fillId="40" borderId="41" xfId="0" applyFont="1" applyFill="1" applyBorder="1" applyAlignment="1">
      <alignment horizontal="center"/>
    </xf>
    <xf numFmtId="0" fontId="1" fillId="40" borderId="60" xfId="0" applyFont="1" applyFill="1" applyBorder="1" applyAlignment="1">
      <alignment horizontal="center"/>
    </xf>
    <xf numFmtId="4" fontId="8" fillId="33" borderId="1" xfId="1" applyNumberFormat="1" applyFont="1" applyFill="1" applyBorder="1" applyAlignment="1">
      <alignment horizontal="center" vertical="center" wrapText="1"/>
    </xf>
    <xf numFmtId="0" fontId="1" fillId="24" borderId="0" xfId="0" applyFont="1" applyFill="1" applyAlignment="1">
      <alignment horizontal="center"/>
    </xf>
    <xf numFmtId="0" fontId="1" fillId="24" borderId="60" xfId="0" applyFont="1" applyFill="1" applyBorder="1" applyAlignment="1">
      <alignment horizontal="center"/>
    </xf>
    <xf numFmtId="0" fontId="73" fillId="32" borderId="0" xfId="0" applyFont="1" applyFill="1" applyAlignment="1">
      <alignment horizontal="center"/>
    </xf>
    <xf numFmtId="3" fontId="16" fillId="40" borderId="5" xfId="1" applyNumberFormat="1" applyFont="1" applyFill="1" applyBorder="1" applyAlignment="1">
      <alignment horizontal="center" vertical="center" wrapText="1"/>
    </xf>
    <xf numFmtId="3" fontId="8" fillId="40" borderId="54" xfId="1" applyNumberFormat="1" applyFont="1" applyFill="1" applyBorder="1" applyAlignment="1">
      <alignment horizontal="center" vertical="center" wrapText="1"/>
    </xf>
    <xf numFmtId="3" fontId="8" fillId="40" borderId="6" xfId="1" applyNumberFormat="1" applyFont="1" applyFill="1" applyBorder="1" applyAlignment="1">
      <alignment horizontal="center" vertical="center" wrapText="1"/>
    </xf>
    <xf numFmtId="0" fontId="71" fillId="32" borderId="0" xfId="0" applyFont="1" applyFill="1" applyAlignment="1">
      <alignment horizontal="center" vertical="center"/>
    </xf>
    <xf numFmtId="0" fontId="72" fillId="32" borderId="0" xfId="0" applyFont="1" applyFill="1" applyAlignment="1">
      <alignment horizontal="center"/>
    </xf>
    <xf numFmtId="0" fontId="1" fillId="24" borderId="75" xfId="0" applyFont="1" applyFill="1" applyBorder="1" applyAlignment="1">
      <alignment horizontal="center" vertical="center" wrapText="1"/>
    </xf>
    <xf numFmtId="0" fontId="1" fillId="24" borderId="76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48" fillId="9" borderId="28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wrapText="1"/>
    </xf>
    <xf numFmtId="0" fontId="1" fillId="10" borderId="60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6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0" fillId="10" borderId="60" xfId="0" applyFill="1" applyBorder="1" applyAlignment="1">
      <alignment horizontal="center" wrapText="1"/>
    </xf>
    <xf numFmtId="0" fontId="68" fillId="24" borderId="72" xfId="0" applyFont="1" applyFill="1" applyBorder="1" applyAlignment="1">
      <alignment horizontal="center" vertical="center" wrapText="1"/>
    </xf>
    <xf numFmtId="0" fontId="68" fillId="24" borderId="49" xfId="0" applyFont="1" applyFill="1" applyBorder="1" applyAlignment="1">
      <alignment horizontal="center" vertical="center" wrapText="1"/>
    </xf>
    <xf numFmtId="0" fontId="1" fillId="24" borderId="73" xfId="0" applyFont="1" applyFill="1" applyBorder="1" applyAlignment="1">
      <alignment horizontal="center" vertical="center" wrapText="1"/>
    </xf>
    <xf numFmtId="0" fontId="1" fillId="24" borderId="74" xfId="0" applyFont="1" applyFill="1" applyBorder="1" applyAlignment="1">
      <alignment horizontal="center" vertical="center" wrapText="1"/>
    </xf>
    <xf numFmtId="0" fontId="0" fillId="19" borderId="46" xfId="0" applyFill="1" applyBorder="1" applyAlignment="1">
      <alignment horizontal="left"/>
    </xf>
    <xf numFmtId="0" fontId="0" fillId="19" borderId="26" xfId="0" applyFill="1" applyBorder="1" applyAlignment="1">
      <alignment horizontal="left"/>
    </xf>
    <xf numFmtId="0" fontId="1" fillId="24" borderId="43" xfId="0" applyFont="1" applyFill="1" applyBorder="1" applyAlignment="1">
      <alignment horizontal="center" vertical="center" wrapText="1"/>
    </xf>
    <xf numFmtId="0" fontId="1" fillId="24" borderId="46" xfId="0" applyFont="1" applyFill="1" applyBorder="1" applyAlignment="1">
      <alignment horizontal="center" vertical="center" wrapText="1"/>
    </xf>
    <xf numFmtId="0" fontId="1" fillId="24" borderId="48" xfId="0" applyFont="1" applyFill="1" applyBorder="1" applyAlignment="1">
      <alignment horizontal="center" vertical="center" wrapText="1"/>
    </xf>
    <xf numFmtId="0" fontId="0" fillId="24" borderId="61" xfId="0" applyFill="1" applyBorder="1" applyAlignment="1">
      <alignment horizontal="left" vertical="center"/>
    </xf>
    <xf numFmtId="0" fontId="0" fillId="24" borderId="62" xfId="0" applyFill="1" applyBorder="1" applyAlignment="1">
      <alignment horizontal="left" vertical="center"/>
    </xf>
    <xf numFmtId="0" fontId="8" fillId="33" borderId="1" xfId="0" applyFont="1" applyFill="1" applyBorder="1" applyAlignment="1">
      <alignment horizontal="left" vertical="center" wrapText="1"/>
    </xf>
    <xf numFmtId="0" fontId="64" fillId="32" borderId="0" xfId="0" applyFont="1" applyFill="1" applyAlignment="1">
      <alignment horizontal="center"/>
    </xf>
    <xf numFmtId="0" fontId="0" fillId="24" borderId="7" xfId="0" applyFill="1" applyBorder="1" applyAlignment="1">
      <alignment horizontal="left" vertical="center"/>
    </xf>
    <xf numFmtId="0" fontId="0" fillId="24" borderId="12" xfId="0" applyFill="1" applyBorder="1" applyAlignment="1">
      <alignment horizontal="left" vertical="center"/>
    </xf>
    <xf numFmtId="0" fontId="4" fillId="34" borderId="60" xfId="0" applyFont="1" applyFill="1" applyBorder="1" applyAlignment="1">
      <alignment horizontal="center"/>
    </xf>
    <xf numFmtId="0" fontId="0" fillId="34" borderId="60" xfId="0" applyFill="1" applyBorder="1" applyAlignment="1">
      <alignment horizontal="center"/>
    </xf>
    <xf numFmtId="0" fontId="1" fillId="34" borderId="60" xfId="0" applyFont="1" applyFill="1" applyBorder="1" applyAlignment="1">
      <alignment horizontal="center"/>
    </xf>
    <xf numFmtId="0" fontId="1" fillId="24" borderId="5" xfId="0" applyFont="1" applyFill="1" applyBorder="1" applyAlignment="1">
      <alignment horizontal="center"/>
    </xf>
    <xf numFmtId="0" fontId="1" fillId="24" borderId="54" xfId="0" applyFont="1" applyFill="1" applyBorder="1" applyAlignment="1">
      <alignment horizontal="center"/>
    </xf>
    <xf numFmtId="0" fontId="1" fillId="24" borderId="6" xfId="0" applyFont="1" applyFill="1" applyBorder="1" applyAlignment="1">
      <alignment horizontal="center"/>
    </xf>
    <xf numFmtId="0" fontId="17" fillId="33" borderId="5" xfId="0" applyFont="1" applyFill="1" applyBorder="1" applyAlignment="1">
      <alignment horizontal="left" vertical="center"/>
    </xf>
    <xf numFmtId="0" fontId="17" fillId="33" borderId="6" xfId="0" applyFont="1" applyFill="1" applyBorder="1" applyAlignment="1">
      <alignment horizontal="left" vertical="center"/>
    </xf>
    <xf numFmtId="0" fontId="0" fillId="24" borderId="5" xfId="0" applyFill="1" applyBorder="1" applyAlignment="1">
      <alignment horizontal="left"/>
    </xf>
    <xf numFmtId="0" fontId="0" fillId="24" borderId="6" xfId="0" applyFill="1" applyBorder="1" applyAlignment="1">
      <alignment horizontal="left"/>
    </xf>
    <xf numFmtId="4" fontId="16" fillId="0" borderId="1" xfId="1" applyNumberFormat="1" applyFont="1" applyBorder="1" applyAlignment="1">
      <alignment horizontal="center" vertical="center" wrapText="1"/>
    </xf>
    <xf numFmtId="4" fontId="16" fillId="0" borderId="5" xfId="1" applyNumberFormat="1" applyFont="1" applyBorder="1" applyAlignment="1">
      <alignment horizontal="center" vertical="center" wrapText="1"/>
    </xf>
    <xf numFmtId="4" fontId="16" fillId="0" borderId="6" xfId="1" applyNumberFormat="1" applyFont="1" applyBorder="1" applyAlignment="1">
      <alignment horizontal="center" vertical="center" wrapText="1"/>
    </xf>
    <xf numFmtId="4" fontId="16" fillId="0" borderId="61" xfId="0" applyNumberFormat="1" applyFont="1" applyBorder="1" applyAlignment="1">
      <alignment horizontal="center" vertical="center" wrapText="1"/>
    </xf>
    <xf numFmtId="4" fontId="16" fillId="0" borderId="62" xfId="0" applyNumberFormat="1" applyFont="1" applyBorder="1" applyAlignment="1">
      <alignment horizontal="center" vertical="center" wrapText="1"/>
    </xf>
    <xf numFmtId="0" fontId="0" fillId="9" borderId="2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46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41" fillId="0" borderId="44" xfId="0" applyFont="1" applyBorder="1" applyAlignment="1" applyProtection="1">
      <alignment horizontal="center"/>
      <protection hidden="1"/>
    </xf>
    <xf numFmtId="0" fontId="41" fillId="0" borderId="45" xfId="0" applyFont="1" applyBorder="1" applyAlignment="1" applyProtection="1">
      <alignment horizontal="center"/>
      <protection hidden="1"/>
    </xf>
    <xf numFmtId="0" fontId="42" fillId="0" borderId="44" xfId="0" applyFont="1" applyBorder="1" applyAlignment="1" applyProtection="1">
      <alignment horizontal="center"/>
      <protection hidden="1"/>
    </xf>
    <xf numFmtId="0" fontId="42" fillId="0" borderId="45" xfId="0" applyFont="1" applyBorder="1" applyAlignment="1" applyProtection="1">
      <alignment horizontal="center"/>
      <protection hidden="1"/>
    </xf>
    <xf numFmtId="0" fontId="43" fillId="0" borderId="44" xfId="0" applyFont="1" applyBorder="1" applyAlignment="1" applyProtection="1">
      <alignment horizontal="center"/>
      <protection hidden="1"/>
    </xf>
    <xf numFmtId="0" fontId="43" fillId="0" borderId="45" xfId="0" applyFont="1" applyBorder="1" applyAlignment="1" applyProtection="1">
      <alignment horizontal="center"/>
      <protection hidden="1"/>
    </xf>
    <xf numFmtId="0" fontId="9" fillId="11" borderId="0" xfId="0" applyFont="1" applyFill="1" applyAlignment="1" applyProtection="1">
      <alignment horizontal="center" vertical="center"/>
      <protection hidden="1"/>
    </xf>
    <xf numFmtId="0" fontId="9" fillId="11" borderId="49" xfId="0" applyFont="1" applyFill="1" applyBorder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46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9" fontId="44" fillId="28" borderId="0" xfId="1" applyNumberFormat="1" applyFont="1" applyFill="1" applyAlignment="1" applyProtection="1">
      <alignment horizontal="center" vertical="center"/>
      <protection hidden="1"/>
    </xf>
    <xf numFmtId="49" fontId="44" fillId="21" borderId="0" xfId="1" applyNumberFormat="1" applyFont="1" applyFill="1" applyAlignment="1" applyProtection="1">
      <alignment horizontal="center" vertical="center"/>
      <protection hidden="1"/>
    </xf>
    <xf numFmtId="2" fontId="9" fillId="11" borderId="0" xfId="0" applyNumberFormat="1" applyFont="1" applyFill="1" applyAlignment="1" applyProtection="1">
      <alignment horizontal="center" vertical="center"/>
      <protection hidden="1"/>
    </xf>
    <xf numFmtId="0" fontId="0" fillId="0" borderId="44" xfId="0" applyBorder="1" applyAlignment="1" applyProtection="1">
      <alignment horizontal="center"/>
      <protection hidden="1"/>
    </xf>
    <xf numFmtId="0" fontId="0" fillId="0" borderId="45" xfId="0" applyBorder="1" applyAlignment="1" applyProtection="1">
      <alignment horizontal="center"/>
      <protection hidden="1"/>
    </xf>
    <xf numFmtId="0" fontId="11" fillId="6" borderId="0" xfId="0" applyFont="1" applyFill="1" applyAlignment="1">
      <alignment horizontal="center" vertical="center"/>
    </xf>
    <xf numFmtId="0" fontId="11" fillId="6" borderId="0" xfId="1" applyFont="1" applyFill="1" applyAlignment="1">
      <alignment horizontal="right" vertical="center"/>
    </xf>
    <xf numFmtId="0" fontId="11" fillId="6" borderId="0" xfId="0" applyFont="1" applyFill="1" applyAlignment="1">
      <alignment horizontal="left" vertical="center"/>
    </xf>
    <xf numFmtId="4" fontId="11" fillId="6" borderId="0" xfId="0" applyNumberFormat="1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4" fontId="12" fillId="6" borderId="0" xfId="0" applyNumberFormat="1" applyFont="1" applyFill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6" fillId="6" borderId="0" xfId="1" applyFont="1" applyFill="1" applyAlignment="1">
      <alignment horizontal="left" vertical="center" wrapText="1"/>
    </xf>
    <xf numFmtId="4" fontId="16" fillId="6" borderId="0" xfId="1" applyNumberFormat="1" applyFont="1" applyFill="1" applyAlignment="1">
      <alignment horizontal="right" vertical="center" wrapText="1"/>
    </xf>
    <xf numFmtId="2" fontId="16" fillId="6" borderId="0" xfId="1" applyNumberFormat="1" applyFont="1" applyFill="1" applyAlignment="1">
      <alignment horizontal="right" vertical="center" wrapText="1"/>
    </xf>
    <xf numFmtId="4" fontId="16" fillId="6" borderId="16" xfId="1" applyNumberFormat="1" applyFont="1" applyFill="1" applyBorder="1" applyAlignment="1">
      <alignment horizontal="left" vertical="center" wrapText="1"/>
    </xf>
    <xf numFmtId="4" fontId="11" fillId="12" borderId="0" xfId="1" applyNumberFormat="1" applyFont="1" applyFill="1" applyAlignment="1">
      <alignment horizontal="left" vertical="center" wrapText="1"/>
    </xf>
    <xf numFmtId="4" fontId="16" fillId="0" borderId="0" xfId="1" applyNumberFormat="1" applyFont="1" applyAlignment="1">
      <alignment horizontal="left" vertical="center" wrapText="1"/>
    </xf>
    <xf numFmtId="4" fontId="16" fillId="0" borderId="11" xfId="1" applyNumberFormat="1" applyFont="1" applyBorder="1" applyAlignment="1">
      <alignment horizontal="right" vertical="center" wrapText="1"/>
    </xf>
    <xf numFmtId="4" fontId="16" fillId="0" borderId="0" xfId="1" applyNumberFormat="1" applyFont="1" applyAlignment="1">
      <alignment horizontal="right" vertical="center" wrapText="1"/>
    </xf>
    <xf numFmtId="2" fontId="16" fillId="0" borderId="0" xfId="1" applyNumberFormat="1" applyFont="1" applyAlignment="1">
      <alignment horizontal="right" vertical="center" wrapText="1"/>
    </xf>
    <xf numFmtId="4" fontId="16" fillId="12" borderId="11" xfId="1" applyNumberFormat="1" applyFont="1" applyFill="1" applyBorder="1" applyAlignment="1">
      <alignment horizontal="right" vertical="center" wrapText="1"/>
    </xf>
    <xf numFmtId="4" fontId="16" fillId="12" borderId="0" xfId="1" applyNumberFormat="1" applyFont="1" applyFill="1" applyAlignment="1">
      <alignment horizontal="right" vertical="center" wrapText="1"/>
    </xf>
    <xf numFmtId="4" fontId="16" fillId="12" borderId="0" xfId="1" applyNumberFormat="1" applyFont="1" applyFill="1" applyAlignment="1">
      <alignment horizontal="left" vertical="center" wrapText="1"/>
    </xf>
    <xf numFmtId="0" fontId="8" fillId="12" borderId="0" xfId="1" applyFont="1" applyFill="1" applyAlignment="1">
      <alignment horizontal="center" vertical="center" wrapText="1"/>
    </xf>
    <xf numFmtId="0" fontId="8" fillId="12" borderId="26" xfId="1" applyFont="1" applyFill="1" applyBorder="1" applyAlignment="1">
      <alignment horizontal="center" vertical="center" wrapText="1"/>
    </xf>
    <xf numFmtId="4" fontId="16" fillId="6" borderId="17" xfId="1" applyNumberFormat="1" applyFont="1" applyFill="1" applyBorder="1" applyAlignment="1">
      <alignment horizontal="right" vertical="center" wrapText="1"/>
    </xf>
    <xf numFmtId="4" fontId="16" fillId="6" borderId="18" xfId="1" applyNumberFormat="1" applyFont="1" applyFill="1" applyBorder="1" applyAlignment="1">
      <alignment horizontal="right" vertical="center" wrapText="1"/>
    </xf>
    <xf numFmtId="2" fontId="16" fillId="6" borderId="17" xfId="1" applyNumberFormat="1" applyFont="1" applyFill="1" applyBorder="1" applyAlignment="1">
      <alignment horizontal="center" vertical="center" wrapText="1"/>
    </xf>
    <xf numFmtId="2" fontId="16" fillId="6" borderId="18" xfId="1" applyNumberFormat="1" applyFont="1" applyFill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center" vertical="center"/>
    </xf>
    <xf numFmtId="4" fontId="16" fillId="0" borderId="19" xfId="0" applyNumberFormat="1" applyFont="1" applyBorder="1" applyAlignment="1">
      <alignment horizontal="center" vertical="center" wrapText="1"/>
    </xf>
    <xf numFmtId="4" fontId="16" fillId="0" borderId="20" xfId="0" applyNumberFormat="1" applyFont="1" applyBorder="1" applyAlignment="1">
      <alignment horizontal="center"/>
    </xf>
    <xf numFmtId="4" fontId="16" fillId="0" borderId="21" xfId="0" applyNumberFormat="1" applyFont="1" applyBorder="1" applyAlignment="1">
      <alignment horizontal="center"/>
    </xf>
    <xf numFmtId="4" fontId="16" fillId="0" borderId="22" xfId="0" applyNumberFormat="1" applyFont="1" applyBorder="1" applyAlignment="1">
      <alignment horizontal="center"/>
    </xf>
    <xf numFmtId="0" fontId="17" fillId="12" borderId="5" xfId="0" applyFont="1" applyFill="1" applyBorder="1" applyAlignment="1" applyProtection="1">
      <alignment horizontal="left" vertical="center"/>
      <protection hidden="1"/>
    </xf>
    <xf numFmtId="0" fontId="17" fillId="12" borderId="6" xfId="0" applyFont="1" applyFill="1" applyBorder="1" applyAlignment="1" applyProtection="1">
      <alignment horizontal="left" vertical="center"/>
      <protection hidden="1"/>
    </xf>
    <xf numFmtId="4" fontId="17" fillId="6" borderId="51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18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5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7" xfId="1" applyNumberFormat="1" applyFont="1" applyFill="1" applyBorder="1" applyAlignment="1" applyProtection="1">
      <alignment horizontal="left" vertical="center" wrapText="1"/>
      <protection hidden="1"/>
    </xf>
    <xf numFmtId="4" fontId="8" fillId="12" borderId="5" xfId="1" applyNumberFormat="1" applyFont="1" applyFill="1" applyBorder="1" applyAlignment="1" applyProtection="1">
      <alignment horizontal="left" vertical="center" wrapText="1"/>
      <protection hidden="1"/>
    </xf>
    <xf numFmtId="4" fontId="8" fillId="12" borderId="6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53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6" xfId="1" applyNumberFormat="1" applyFont="1" applyFill="1" applyBorder="1" applyAlignment="1" applyProtection="1">
      <alignment horizontal="left" vertical="center" wrapText="1"/>
      <protection hidden="1"/>
    </xf>
    <xf numFmtId="4" fontId="8" fillId="12" borderId="53" xfId="1" applyNumberFormat="1" applyFont="1" applyFill="1" applyBorder="1" applyAlignment="1" applyProtection="1">
      <alignment horizontal="left" vertical="center" wrapText="1"/>
      <protection hidden="1"/>
    </xf>
    <xf numFmtId="0" fontId="17" fillId="12" borderId="54" xfId="0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right"/>
      <protection hidden="1"/>
    </xf>
    <xf numFmtId="0" fontId="17" fillId="12" borderId="55" xfId="0" applyFont="1" applyFill="1" applyBorder="1" applyAlignment="1" applyProtection="1">
      <alignment horizontal="left" vertical="center"/>
      <protection hidden="1"/>
    </xf>
    <xf numFmtId="0" fontId="17" fillId="12" borderId="7" xfId="0" applyFont="1" applyFill="1" applyBorder="1" applyAlignment="1" applyProtection="1">
      <alignment horizontal="left" vertical="center"/>
      <protection hidden="1"/>
    </xf>
    <xf numFmtId="0" fontId="17" fillId="6" borderId="5" xfId="0" applyFont="1" applyFill="1" applyBorder="1" applyAlignment="1" applyProtection="1">
      <alignment horizontal="left" vertical="center" wrapText="1"/>
      <protection hidden="1"/>
    </xf>
    <xf numFmtId="0" fontId="17" fillId="6" borderId="6" xfId="0" applyFont="1" applyFill="1" applyBorder="1" applyAlignment="1" applyProtection="1">
      <alignment horizontal="left" vertical="center" wrapText="1"/>
      <protection hidden="1"/>
    </xf>
    <xf numFmtId="0" fontId="0" fillId="0" borderId="54" xfId="0" applyBorder="1" applyAlignment="1" applyProtection="1">
      <alignment horizontal="left"/>
      <protection hidden="1"/>
    </xf>
    <xf numFmtId="0" fontId="1" fillId="10" borderId="16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3" fontId="16" fillId="10" borderId="5" xfId="1" applyNumberFormat="1" applyFont="1" applyFill="1" applyBorder="1" applyAlignment="1">
      <alignment horizontal="center" vertical="center" wrapText="1"/>
    </xf>
    <xf numFmtId="3" fontId="8" fillId="10" borderId="54" xfId="1" applyNumberFormat="1" applyFont="1" applyFill="1" applyBorder="1" applyAlignment="1">
      <alignment horizontal="center" vertical="center" wrapText="1"/>
    </xf>
    <xf numFmtId="3" fontId="8" fillId="10" borderId="6" xfId="1" applyNumberFormat="1" applyFont="1" applyFill="1" applyBorder="1" applyAlignment="1">
      <alignment horizontal="center" vertical="center" wrapText="1"/>
    </xf>
    <xf numFmtId="0" fontId="54" fillId="0" borderId="0" xfId="0" applyFont="1" applyAlignment="1" applyProtection="1">
      <alignment horizontal="center"/>
      <protection hidden="1"/>
    </xf>
    <xf numFmtId="3" fontId="16" fillId="10" borderId="5" xfId="1" applyNumberFormat="1" applyFont="1" applyFill="1" applyBorder="1" applyAlignment="1" applyProtection="1">
      <alignment horizontal="center" vertical="center" wrapText="1"/>
      <protection hidden="1"/>
    </xf>
    <xf numFmtId="3" fontId="8" fillId="10" borderId="54" xfId="1" applyNumberFormat="1" applyFont="1" applyFill="1" applyBorder="1" applyAlignment="1" applyProtection="1">
      <alignment horizontal="center" vertical="center" wrapText="1"/>
      <protection hidden="1"/>
    </xf>
    <xf numFmtId="3" fontId="8" fillId="10" borderId="6" xfId="1" applyNumberFormat="1" applyFont="1" applyFill="1" applyBorder="1" applyAlignment="1" applyProtection="1">
      <alignment horizontal="center" vertical="center" wrapText="1"/>
      <protection hidden="1"/>
    </xf>
    <xf numFmtId="0" fontId="1" fillId="10" borderId="16" xfId="0" applyFont="1" applyFill="1" applyBorder="1" applyAlignment="1" applyProtection="1">
      <alignment horizontal="center"/>
      <protection hidden="1"/>
    </xf>
    <xf numFmtId="0" fontId="0" fillId="10" borderId="16" xfId="0" applyFill="1" applyBorder="1" applyAlignment="1" applyProtection="1">
      <alignment horizontal="center"/>
      <protection hidden="1"/>
    </xf>
    <xf numFmtId="4" fontId="16" fillId="6" borderId="0" xfId="1" applyNumberFormat="1" applyFont="1" applyFill="1" applyAlignment="1">
      <alignment horizontal="left" vertical="center" wrapText="1"/>
    </xf>
    <xf numFmtId="0" fontId="44" fillId="6" borderId="0" xfId="0" applyFont="1" applyFill="1" applyAlignment="1">
      <alignment horizontal="center" vertical="center"/>
    </xf>
    <xf numFmtId="4" fontId="44" fillId="12" borderId="0" xfId="1" applyNumberFormat="1" applyFont="1" applyFill="1" applyAlignment="1">
      <alignment horizontal="left" vertical="center" wrapText="1"/>
    </xf>
    <xf numFmtId="4" fontId="16" fillId="6" borderId="11" xfId="1" applyNumberFormat="1" applyFont="1" applyFill="1" applyBorder="1" applyAlignment="1">
      <alignment horizontal="center" vertical="center" wrapText="1"/>
    </xf>
    <xf numFmtId="4" fontId="16" fillId="6" borderId="0" xfId="1" applyNumberFormat="1" applyFont="1" applyFill="1" applyAlignment="1">
      <alignment horizontal="center" vertical="center" wrapText="1"/>
    </xf>
    <xf numFmtId="2" fontId="16" fillId="6" borderId="0" xfId="1" applyNumberFormat="1" applyFont="1" applyFill="1" applyAlignment="1">
      <alignment horizontal="center" vertical="center" wrapText="1"/>
    </xf>
    <xf numFmtId="2" fontId="16" fillId="6" borderId="26" xfId="1" applyNumberFormat="1" applyFont="1" applyFill="1" applyBorder="1" applyAlignment="1">
      <alignment horizontal="center" vertical="center" wrapText="1"/>
    </xf>
    <xf numFmtId="4" fontId="16" fillId="6" borderId="17" xfId="1" applyNumberFormat="1" applyFont="1" applyFill="1" applyBorder="1" applyAlignment="1">
      <alignment horizontal="center" vertical="center" wrapText="1"/>
    </xf>
    <xf numFmtId="4" fontId="16" fillId="6" borderId="18" xfId="1" applyNumberFormat="1" applyFont="1" applyFill="1" applyBorder="1" applyAlignment="1">
      <alignment horizontal="center" vertical="center" wrapText="1"/>
    </xf>
    <xf numFmtId="4" fontId="16" fillId="6" borderId="17" xfId="1" applyNumberFormat="1" applyFont="1" applyFill="1" applyBorder="1" applyAlignment="1">
      <alignment horizontal="center" vertical="center"/>
    </xf>
    <xf numFmtId="4" fontId="16" fillId="6" borderId="18" xfId="1" applyNumberFormat="1" applyFont="1" applyFill="1" applyBorder="1" applyAlignment="1">
      <alignment horizontal="center" vertical="center"/>
    </xf>
    <xf numFmtId="2" fontId="16" fillId="6" borderId="17" xfId="1" applyNumberFormat="1" applyFont="1" applyFill="1" applyBorder="1" applyAlignment="1">
      <alignment horizontal="center" vertical="center"/>
    </xf>
    <xf numFmtId="2" fontId="16" fillId="6" borderId="18" xfId="1" applyNumberFormat="1" applyFont="1" applyFill="1" applyBorder="1" applyAlignment="1">
      <alignment horizontal="center" vertical="center"/>
    </xf>
    <xf numFmtId="4" fontId="16" fillId="0" borderId="66" xfId="0" applyNumberFormat="1" applyFont="1" applyBorder="1" applyAlignment="1">
      <alignment horizontal="center" vertical="center" wrapText="1"/>
    </xf>
    <xf numFmtId="4" fontId="16" fillId="6" borderId="0" xfId="2" applyNumberFormat="1" applyFont="1" applyFill="1" applyAlignment="1">
      <alignment horizontal="center" vertical="center" wrapText="1"/>
    </xf>
    <xf numFmtId="4" fontId="16" fillId="6" borderId="26" xfId="1" applyNumberFormat="1" applyFont="1" applyFill="1" applyBorder="1" applyAlignment="1">
      <alignment horizontal="center" vertical="center" wrapText="1"/>
    </xf>
    <xf numFmtId="4" fontId="16" fillId="0" borderId="32" xfId="1" applyNumberFormat="1" applyFont="1" applyBorder="1" applyAlignment="1">
      <alignment horizontal="center" vertical="center" wrapText="1"/>
    </xf>
    <xf numFmtId="4" fontId="8" fillId="0" borderId="68" xfId="0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4" fontId="16" fillId="0" borderId="38" xfId="1" applyNumberFormat="1" applyFont="1" applyBorder="1" applyAlignment="1">
      <alignment horizontal="center" vertical="center"/>
    </xf>
    <xf numFmtId="4" fontId="16" fillId="0" borderId="69" xfId="1" applyNumberFormat="1" applyFont="1" applyBorder="1" applyAlignment="1">
      <alignment horizontal="center" vertical="center"/>
    </xf>
    <xf numFmtId="4" fontId="16" fillId="0" borderId="36" xfId="1" applyNumberFormat="1" applyFont="1" applyBorder="1" applyAlignment="1">
      <alignment horizontal="center" vertical="center" wrapText="1"/>
    </xf>
    <xf numFmtId="4" fontId="16" fillId="0" borderId="67" xfId="1" applyNumberFormat="1" applyFont="1" applyBorder="1" applyAlignment="1">
      <alignment horizontal="center" vertical="center" wrapText="1"/>
    </xf>
    <xf numFmtId="4" fontId="16" fillId="0" borderId="68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5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10" borderId="0" xfId="0" applyFont="1" applyFill="1" applyAlignment="1" applyProtection="1">
      <alignment horizontal="center"/>
      <protection hidden="1"/>
    </xf>
    <xf numFmtId="0" fontId="35" fillId="11" borderId="28" xfId="0" applyFont="1" applyFill="1" applyBorder="1" applyAlignment="1" applyProtection="1">
      <alignment horizontal="center" wrapText="1"/>
      <protection hidden="1"/>
    </xf>
    <xf numFmtId="0" fontId="35" fillId="11" borderId="0" xfId="0" applyFont="1" applyFill="1" applyAlignment="1" applyProtection="1">
      <alignment horizontal="center" wrapText="1"/>
      <protection hidden="1"/>
    </xf>
    <xf numFmtId="0" fontId="0" fillId="11" borderId="28" xfId="0" applyFill="1" applyBorder="1" applyAlignment="1" applyProtection="1">
      <alignment horizontal="center"/>
      <protection hidden="1"/>
    </xf>
    <xf numFmtId="0" fontId="0" fillId="11" borderId="0" xfId="0" applyFill="1" applyAlignment="1" applyProtection="1">
      <alignment horizontal="center"/>
      <protection hidden="1"/>
    </xf>
    <xf numFmtId="0" fontId="0" fillId="11" borderId="42" xfId="0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horizontal="center" vertical="center"/>
      <protection hidden="1"/>
    </xf>
    <xf numFmtId="0" fontId="1" fillId="10" borderId="0" xfId="0" applyFont="1" applyFill="1" applyAlignment="1">
      <alignment horizontal="center"/>
    </xf>
    <xf numFmtId="0" fontId="0" fillId="24" borderId="28" xfId="0" applyFill="1" applyBorder="1" applyAlignment="1" applyProtection="1">
      <alignment horizontal="center"/>
      <protection locked="0" hidden="1"/>
    </xf>
    <xf numFmtId="0" fontId="0" fillId="24" borderId="26" xfId="0" applyFill="1" applyBorder="1" applyAlignment="1" applyProtection="1">
      <alignment horizontal="center"/>
      <protection locked="0" hidden="1"/>
    </xf>
    <xf numFmtId="0" fontId="0" fillId="24" borderId="0" xfId="0" applyFill="1" applyAlignment="1" applyProtection="1">
      <alignment horizontal="center"/>
      <protection locked="0" hidden="1"/>
    </xf>
    <xf numFmtId="0" fontId="1" fillId="10" borderId="1" xfId="0" applyFont="1" applyFill="1" applyBorder="1" applyAlignment="1" applyProtection="1">
      <alignment horizontal="center" wrapText="1"/>
      <protection hidden="1"/>
    </xf>
    <xf numFmtId="0" fontId="0" fillId="10" borderId="28" xfId="0" applyFill="1" applyBorder="1" applyAlignment="1" applyProtection="1">
      <alignment horizontal="center"/>
      <protection locked="0" hidden="1"/>
    </xf>
    <xf numFmtId="0" fontId="0" fillId="10" borderId="26" xfId="0" applyFill="1" applyBorder="1" applyAlignment="1" applyProtection="1">
      <alignment horizontal="center"/>
      <protection locked="0" hidden="1"/>
    </xf>
    <xf numFmtId="4" fontId="44" fillId="12" borderId="0" xfId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4" fontId="12" fillId="6" borderId="0" xfId="0" applyNumberFormat="1" applyFont="1" applyFill="1" applyAlignment="1">
      <alignment horizontal="right" vertical="center"/>
    </xf>
    <xf numFmtId="0" fontId="12" fillId="6" borderId="0" xfId="0" applyFont="1" applyFill="1" applyAlignment="1">
      <alignment horizontal="right" vertical="center"/>
    </xf>
    <xf numFmtId="0" fontId="44" fillId="12" borderId="0" xfId="1" applyFont="1" applyFill="1" applyAlignment="1">
      <alignment horizontal="center" vertical="center"/>
    </xf>
    <xf numFmtId="4" fontId="44" fillId="0" borderId="0" xfId="1" applyNumberFormat="1" applyFont="1" applyAlignment="1">
      <alignment horizontal="center" vertical="center"/>
    </xf>
    <xf numFmtId="0" fontId="15" fillId="12" borderId="1" xfId="1" applyFont="1" applyFill="1" applyBorder="1" applyAlignment="1">
      <alignment horizontal="center" vertical="center" wrapText="1"/>
    </xf>
    <xf numFmtId="0" fontId="15" fillId="12" borderId="1" xfId="1" applyFont="1" applyFill="1" applyBorder="1" applyAlignment="1">
      <alignment horizontal="center" vertical="center"/>
    </xf>
    <xf numFmtId="3" fontId="15" fillId="12" borderId="1" xfId="1" applyNumberFormat="1" applyFont="1" applyFill="1" applyBorder="1" applyAlignment="1">
      <alignment horizontal="center" vertical="center" wrapText="1"/>
    </xf>
    <xf numFmtId="4" fontId="16" fillId="12" borderId="17" xfId="1" applyNumberFormat="1" applyFont="1" applyFill="1" applyBorder="1" applyAlignment="1">
      <alignment horizontal="right" vertical="center" wrapText="1"/>
    </xf>
    <xf numFmtId="4" fontId="16" fillId="12" borderId="18" xfId="1" applyNumberFormat="1" applyFont="1" applyFill="1" applyBorder="1" applyAlignment="1">
      <alignment horizontal="right" vertical="center" wrapText="1"/>
    </xf>
    <xf numFmtId="4" fontId="16" fillId="12" borderId="60" xfId="1" applyNumberFormat="1" applyFont="1" applyFill="1" applyBorder="1" applyAlignment="1">
      <alignment horizontal="left" vertical="center" wrapText="1"/>
    </xf>
    <xf numFmtId="4" fontId="16" fillId="12" borderId="17" xfId="1" applyNumberFormat="1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4" fontId="8" fillId="6" borderId="24" xfId="1" applyNumberFormat="1" applyFont="1" applyFill="1" applyBorder="1" applyAlignment="1">
      <alignment horizontal="left" vertical="center" wrapText="1"/>
    </xf>
    <xf numFmtId="4" fontId="8" fillId="6" borderId="10" xfId="1" applyNumberFormat="1" applyFont="1" applyFill="1" applyBorder="1" applyAlignment="1">
      <alignment horizontal="left" vertical="center" wrapText="1"/>
    </xf>
    <xf numFmtId="4" fontId="8" fillId="6" borderId="14" xfId="1" applyNumberFormat="1" applyFont="1" applyFill="1" applyBorder="1" applyAlignment="1">
      <alignment horizontal="center" vertical="center" wrapText="1"/>
    </xf>
    <xf numFmtId="4" fontId="8" fillId="6" borderId="10" xfId="1" applyNumberFormat="1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left" vertical="center" wrapText="1"/>
    </xf>
    <xf numFmtId="4" fontId="8" fillId="6" borderId="56" xfId="1" applyNumberFormat="1" applyFont="1" applyFill="1" applyBorder="1" applyAlignment="1">
      <alignment horizontal="center" vertical="center" wrapText="1"/>
    </xf>
    <xf numFmtId="4" fontId="8" fillId="6" borderId="57" xfId="1" applyNumberFormat="1" applyFont="1" applyFill="1" applyBorder="1" applyAlignment="1">
      <alignment horizontal="center" vertical="center" wrapText="1"/>
    </xf>
    <xf numFmtId="4" fontId="8" fillId="12" borderId="5" xfId="1" applyNumberFormat="1" applyFont="1" applyFill="1" applyBorder="1" applyAlignment="1">
      <alignment horizontal="left" vertical="center" wrapText="1"/>
    </xf>
    <xf numFmtId="4" fontId="8" fillId="12" borderId="6" xfId="1" applyNumberFormat="1" applyFont="1" applyFill="1" applyBorder="1" applyAlignment="1">
      <alignment horizontal="left" vertical="center" wrapText="1"/>
    </xf>
    <xf numFmtId="4" fontId="8" fillId="6" borderId="51" xfId="1" applyNumberFormat="1" applyFont="1" applyFill="1" applyBorder="1" applyAlignment="1">
      <alignment horizontal="left" vertical="center" wrapText="1"/>
    </xf>
    <xf numFmtId="4" fontId="8" fillId="6" borderId="58" xfId="1" applyNumberFormat="1" applyFont="1" applyFill="1" applyBorder="1" applyAlignment="1">
      <alignment horizontal="left" vertical="center" wrapText="1"/>
    </xf>
    <xf numFmtId="4" fontId="8" fillId="6" borderId="5" xfId="1" applyNumberFormat="1" applyFont="1" applyFill="1" applyBorder="1" applyAlignment="1">
      <alignment horizontal="left" vertical="center" wrapText="1"/>
    </xf>
    <xf numFmtId="4" fontId="8" fillId="6" borderId="6" xfId="1" applyNumberFormat="1" applyFont="1" applyFill="1" applyBorder="1" applyAlignment="1">
      <alignment horizontal="left" vertical="center" wrapText="1"/>
    </xf>
    <xf numFmtId="4" fontId="16" fillId="12" borderId="64" xfId="1" applyNumberFormat="1" applyFont="1" applyFill="1" applyBorder="1" applyAlignment="1">
      <alignment horizontal="right" vertical="center" wrapText="1"/>
    </xf>
    <xf numFmtId="4" fontId="16" fillId="6" borderId="5" xfId="1" applyNumberFormat="1" applyFont="1" applyFill="1" applyBorder="1" applyAlignment="1">
      <alignment horizontal="left" vertical="center" wrapText="1"/>
    </xf>
    <xf numFmtId="4" fontId="16" fillId="6" borderId="6" xfId="1" applyNumberFormat="1" applyFont="1" applyFill="1" applyBorder="1" applyAlignment="1">
      <alignment horizontal="left" vertical="center" wrapText="1"/>
    </xf>
    <xf numFmtId="4" fontId="8" fillId="12" borderId="53" xfId="1" applyNumberFormat="1" applyFont="1" applyFill="1" applyBorder="1" applyAlignment="1">
      <alignment horizontal="left" vertical="center" wrapText="1"/>
    </xf>
    <xf numFmtId="0" fontId="8" fillId="12" borderId="5" xfId="0" applyFont="1" applyFill="1" applyBorder="1" applyAlignment="1">
      <alignment horizontal="left" vertical="center" wrapText="1"/>
    </xf>
    <xf numFmtId="0" fontId="8" fillId="12" borderId="6" xfId="0" applyFont="1" applyFill="1" applyBorder="1" applyAlignment="1">
      <alignment horizontal="left" vertical="center" wrapText="1"/>
    </xf>
    <xf numFmtId="0" fontId="8" fillId="12" borderId="5" xfId="0" applyFont="1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5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vertical="center" wrapText="1"/>
    </xf>
    <xf numFmtId="0" fontId="46" fillId="6" borderId="5" xfId="0" applyFont="1" applyFill="1" applyBorder="1" applyAlignment="1">
      <alignment horizontal="center" vertical="center" wrapText="1"/>
    </xf>
    <xf numFmtId="0" fontId="46" fillId="6" borderId="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2" fontId="16" fillId="6" borderId="19" xfId="1" applyNumberFormat="1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left"/>
    </xf>
    <xf numFmtId="0" fontId="48" fillId="0" borderId="6" xfId="0" applyFont="1" applyBorder="1" applyAlignment="1">
      <alignment horizontal="left"/>
    </xf>
    <xf numFmtId="0" fontId="48" fillId="0" borderId="5" xfId="0" applyFont="1" applyBorder="1" applyAlignment="1">
      <alignment horizontal="left" vertical="center"/>
    </xf>
    <xf numFmtId="0" fontId="48" fillId="0" borderId="6" xfId="0" applyFont="1" applyBorder="1" applyAlignment="1">
      <alignment horizontal="left" vertical="center"/>
    </xf>
    <xf numFmtId="4" fontId="16" fillId="6" borderId="60" xfId="1" applyNumberFormat="1" applyFont="1" applyFill="1" applyBorder="1" applyAlignment="1">
      <alignment horizontal="left" vertical="center" wrapText="1"/>
    </xf>
    <xf numFmtId="4" fontId="8" fillId="6" borderId="5" xfId="1" applyNumberFormat="1" applyFont="1" applyFill="1" applyBorder="1" applyAlignment="1">
      <alignment horizontal="center" vertical="center" wrapText="1"/>
    </xf>
    <xf numFmtId="4" fontId="8" fillId="6" borderId="6" xfId="1" applyNumberFormat="1" applyFont="1" applyFill="1" applyBorder="1" applyAlignment="1">
      <alignment horizontal="center" vertical="center" wrapText="1"/>
    </xf>
    <xf numFmtId="4" fontId="16" fillId="0" borderId="41" xfId="1" applyNumberFormat="1" applyFont="1" applyBorder="1" applyAlignment="1">
      <alignment horizontal="center" vertical="center" wrapText="1"/>
    </xf>
    <xf numFmtId="4" fontId="16" fillId="0" borderId="7" xfId="1" applyNumberFormat="1" applyFont="1" applyBorder="1" applyAlignment="1">
      <alignment horizontal="center" vertical="center" wrapText="1"/>
    </xf>
    <xf numFmtId="4" fontId="16" fillId="0" borderId="5" xfId="1" applyNumberFormat="1" applyFont="1" applyBorder="1" applyAlignment="1">
      <alignment horizontal="center" vertical="center"/>
    </xf>
    <xf numFmtId="4" fontId="16" fillId="0" borderId="6" xfId="1" applyNumberFormat="1" applyFont="1" applyBorder="1" applyAlignment="1">
      <alignment horizontal="center" vertical="center"/>
    </xf>
    <xf numFmtId="4" fontId="16" fillId="0" borderId="63" xfId="0" applyNumberFormat="1" applyFont="1" applyBorder="1" applyAlignment="1">
      <alignment horizontal="center"/>
    </xf>
    <xf numFmtId="4" fontId="16" fillId="0" borderId="2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16" fillId="0" borderId="12" xfId="1" applyNumberFormat="1" applyFont="1" applyBorder="1" applyAlignment="1">
      <alignment horizontal="center" vertical="center" wrapText="1"/>
    </xf>
    <xf numFmtId="0" fontId="16" fillId="6" borderId="16" xfId="1" applyFont="1" applyFill="1" applyBorder="1" applyAlignment="1">
      <alignment horizontal="left" vertical="center" wrapText="1"/>
    </xf>
    <xf numFmtId="4" fontId="16" fillId="6" borderId="26" xfId="1" applyNumberFormat="1" applyFont="1" applyFill="1" applyBorder="1" applyAlignment="1">
      <alignment horizontal="right" vertical="center" wrapText="1"/>
    </xf>
    <xf numFmtId="0" fontId="75" fillId="0" borderId="0" xfId="0" applyFont="1"/>
    <xf numFmtId="0" fontId="0" fillId="0" borderId="0" xfId="0" quotePrefix="1"/>
    <xf numFmtId="0" fontId="76" fillId="0" borderId="0" xfId="0" applyNumberFormat="1" applyFont="1"/>
    <xf numFmtId="0" fontId="76" fillId="0" borderId="0" xfId="0" applyFont="1"/>
    <xf numFmtId="0" fontId="8" fillId="24" borderId="1" xfId="0" applyFont="1" applyFill="1" applyBorder="1" applyAlignment="1">
      <alignment horizontal="right" vertical="center" wrapText="1"/>
    </xf>
    <xf numFmtId="0" fontId="8" fillId="24" borderId="1" xfId="0" applyFont="1" applyFill="1" applyBorder="1" applyAlignment="1">
      <alignment horizontal="right"/>
    </xf>
    <xf numFmtId="0" fontId="8" fillId="24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4" fontId="8" fillId="33" borderId="19" xfId="1" applyNumberFormat="1" applyFont="1" applyFill="1" applyBorder="1" applyAlignment="1">
      <alignment horizontal="right" vertical="center" wrapText="1"/>
    </xf>
    <xf numFmtId="4" fontId="8" fillId="33" borderId="1" xfId="1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Обычный_Парк-Плейс. Перечень используемых материалов и работ" xfId="1" xr:uid="{072F341B-4B3F-478E-AE4B-3B6088D46675}"/>
    <cellStyle name="Обычный_Парк-Плейс. Перечень используемых материалов и работ 2" xfId="2" xr:uid="{A9325C08-B989-4857-A893-4904F39CFD3F}"/>
  </cellStyles>
  <dxfs count="0"/>
  <tableStyles count="0" defaultTableStyle="TableStyleMedium2" defaultPivotStyle="PivotStyleLight16"/>
  <colors>
    <mruColors>
      <color rgb="FFFFFF99"/>
      <color rgb="FFCCFFCC"/>
      <color rgb="FF5F5F5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externalLink" Target="externalLinks/externalLink1.xml"/><Relationship Id="rId108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eetMetadata" Target="metadata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129540</xdr:rowOff>
    </xdr:from>
    <xdr:to>
      <xdr:col>6</xdr:col>
      <xdr:colOff>960120</xdr:colOff>
      <xdr:row>2</xdr:row>
      <xdr:rowOff>53340</xdr:rowOff>
    </xdr:to>
    <xdr:sp macro="[0]!AideSheets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6644B63E-9338-443B-B0A1-F5FE6799C4EC}"/>
            </a:ext>
          </a:extLst>
        </xdr:cNvPr>
        <xdr:cNvSpPr/>
      </xdr:nvSpPr>
      <xdr:spPr>
        <a:xfrm>
          <a:off x="4587240" y="129540"/>
          <a:ext cx="914400" cy="342900"/>
        </a:xfrm>
        <a:prstGeom prst="roundRect">
          <a:avLst/>
        </a:prstGeom>
        <a:gradFill flip="none" rotWithShape="1">
          <a:gsLst>
            <a:gs pos="0">
              <a:schemeClr val="accent4">
                <a:lumMod val="89000"/>
              </a:schemeClr>
            </a:gs>
            <a:gs pos="23000">
              <a:schemeClr val="accent4">
                <a:lumMod val="89000"/>
              </a:schemeClr>
            </a:gs>
            <a:gs pos="69000">
              <a:schemeClr val="accent4">
                <a:lumMod val="75000"/>
              </a:schemeClr>
            </a:gs>
            <a:gs pos="97000">
              <a:schemeClr val="accent4">
                <a:lumMod val="70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РАСЧЕТ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12700</xdr:rowOff>
    </xdr:from>
    <xdr:to>
      <xdr:col>4</xdr:col>
      <xdr:colOff>384629</xdr:colOff>
      <xdr:row>41</xdr:row>
      <xdr:rowOff>177800</xdr:rowOff>
    </xdr:to>
    <xdr:sp macro="" textlink="">
      <xdr:nvSpPr>
        <xdr:cNvPr id="2" name="Скругленный прямоугольни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428625" y="5375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41</xdr:row>
      <xdr:rowOff>12700</xdr:rowOff>
    </xdr:from>
    <xdr:to>
      <xdr:col>6</xdr:col>
      <xdr:colOff>1316537</xdr:colOff>
      <xdr:row>41</xdr:row>
      <xdr:rowOff>177800</xdr:rowOff>
    </xdr:to>
    <xdr:sp macro="" textlink="">
      <xdr:nvSpPr>
        <xdr:cNvPr id="3" name="Скругленный прямоугольни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2496004" y="5375275"/>
          <a:ext cx="183043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7C" mc:Ignorable="a14" a14:legacySpreadsheetColorIndex="8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CB" mc:Ignorable="a14" a14:legacySpreadsheetColorIndex="8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1930</a:t>
          </a:r>
        </a:p>
      </xdr:txBody>
    </xdr:sp>
    <xdr:clientData/>
  </xdr:twoCellAnchor>
  <xdr:twoCellAnchor>
    <xdr:from>
      <xdr:col>6</xdr:col>
      <xdr:colOff>1341936</xdr:colOff>
      <xdr:row>41</xdr:row>
      <xdr:rowOff>12700</xdr:rowOff>
    </xdr:from>
    <xdr:to>
      <xdr:col>7</xdr:col>
      <xdr:colOff>596900</xdr:colOff>
      <xdr:row>41</xdr:row>
      <xdr:rowOff>177800</xdr:rowOff>
    </xdr:to>
    <xdr:sp macro="" textlink="">
      <xdr:nvSpPr>
        <xdr:cNvPr id="4" name="Скругленный прямоугольни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4351836" y="5375275"/>
          <a:ext cx="143618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42</xdr:row>
      <xdr:rowOff>12700</xdr:rowOff>
    </xdr:from>
    <xdr:to>
      <xdr:col>4</xdr:col>
      <xdr:colOff>432707</xdr:colOff>
      <xdr:row>42</xdr:row>
      <xdr:rowOff>177800</xdr:rowOff>
    </xdr:to>
    <xdr:sp macro="" textlink="">
      <xdr:nvSpPr>
        <xdr:cNvPr id="5" name="Скругленный прямоугольни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428625" y="55657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42</xdr:row>
      <xdr:rowOff>12700</xdr:rowOff>
    </xdr:from>
    <xdr:to>
      <xdr:col>6</xdr:col>
      <xdr:colOff>1316536</xdr:colOff>
      <xdr:row>42</xdr:row>
      <xdr:rowOff>177800</xdr:rowOff>
    </xdr:to>
    <xdr:sp macro="" textlink="">
      <xdr:nvSpPr>
        <xdr:cNvPr id="6" name="Скругленный прямоугольни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544082" y="5565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1341936</xdr:colOff>
      <xdr:row>42</xdr:row>
      <xdr:rowOff>12700</xdr:rowOff>
    </xdr:from>
    <xdr:to>
      <xdr:col>7</xdr:col>
      <xdr:colOff>596900</xdr:colOff>
      <xdr:row>42</xdr:row>
      <xdr:rowOff>177800</xdr:rowOff>
    </xdr:to>
    <xdr:sp macro="" textlink="">
      <xdr:nvSpPr>
        <xdr:cNvPr id="7" name="Скругленный прямоугольни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4351836" y="5565775"/>
          <a:ext cx="143618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43</xdr:row>
      <xdr:rowOff>12700</xdr:rowOff>
    </xdr:from>
    <xdr:to>
      <xdr:col>4</xdr:col>
      <xdr:colOff>240393</xdr:colOff>
      <xdr:row>43</xdr:row>
      <xdr:rowOff>177800</xdr:rowOff>
    </xdr:to>
    <xdr:sp macro="" textlink="">
      <xdr:nvSpPr>
        <xdr:cNvPr id="8" name="Скругленный прямоугольни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428625" y="5756275"/>
          <a:ext cx="189774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FF" mc:Ignorable="a14" a14:legacySpreadsheetColorIndex="7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FF" mc:Ignorable="a14" a14:legacySpreadsheetColorIndex="7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AA" mc:Ignorable="a14" a14:legacySpreadsheetColorIndex="7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2000</a:t>
          </a:r>
        </a:p>
      </xdr:txBody>
    </xdr:sp>
    <xdr:clientData/>
  </xdr:twoCellAnchor>
  <xdr:twoCellAnchor>
    <xdr:from>
      <xdr:col>4</xdr:col>
      <xdr:colOff>265793</xdr:colOff>
      <xdr:row>43</xdr:row>
      <xdr:rowOff>12700</xdr:rowOff>
    </xdr:from>
    <xdr:to>
      <xdr:col>6</xdr:col>
      <xdr:colOff>1124222</xdr:colOff>
      <xdr:row>43</xdr:row>
      <xdr:rowOff>177800</xdr:rowOff>
    </xdr:to>
    <xdr:sp macro="" textlink="">
      <xdr:nvSpPr>
        <xdr:cNvPr id="9" name="Скругленный прямоугольни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2351768" y="57562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1149622</xdr:colOff>
      <xdr:row>43</xdr:row>
      <xdr:rowOff>12700</xdr:rowOff>
    </xdr:from>
    <xdr:to>
      <xdr:col>7</xdr:col>
      <xdr:colOff>587284</xdr:colOff>
      <xdr:row>43</xdr:row>
      <xdr:rowOff>177800</xdr:rowOff>
    </xdr:to>
    <xdr:sp macro="" textlink="">
      <xdr:nvSpPr>
        <xdr:cNvPr id="10" name="Скругленный прямоугольни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4159522" y="5756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44</xdr:row>
      <xdr:rowOff>12700</xdr:rowOff>
    </xdr:from>
    <xdr:to>
      <xdr:col>4</xdr:col>
      <xdr:colOff>375013</xdr:colOff>
      <xdr:row>44</xdr:row>
      <xdr:rowOff>177800</xdr:rowOff>
    </xdr:to>
    <xdr:sp macro="" textlink="">
      <xdr:nvSpPr>
        <xdr:cNvPr id="11" name="Скругленный прямоугольни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428625" y="5946775"/>
          <a:ext cx="203236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2140</a:t>
          </a:r>
        </a:p>
      </xdr:txBody>
    </xdr:sp>
    <xdr:clientData/>
  </xdr:twoCellAnchor>
  <xdr:twoCellAnchor>
    <xdr:from>
      <xdr:col>4</xdr:col>
      <xdr:colOff>400413</xdr:colOff>
      <xdr:row>44</xdr:row>
      <xdr:rowOff>12700</xdr:rowOff>
    </xdr:from>
    <xdr:to>
      <xdr:col>6</xdr:col>
      <xdr:colOff>1306921</xdr:colOff>
      <xdr:row>44</xdr:row>
      <xdr:rowOff>177800</xdr:rowOff>
    </xdr:to>
    <xdr:sp macro="" textlink="">
      <xdr:nvSpPr>
        <xdr:cNvPr id="12" name="Скругленный прямоугольни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2486388" y="5946775"/>
          <a:ext cx="183043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7C" mc:Ignorable="a14" a14:legacySpreadsheetColorIndex="8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CB" mc:Ignorable="a14" a14:legacySpreadsheetColorIndex="8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1930</a:t>
          </a:r>
        </a:p>
      </xdr:txBody>
    </xdr:sp>
    <xdr:clientData/>
  </xdr:twoCellAnchor>
  <xdr:twoCellAnchor>
    <xdr:from>
      <xdr:col>6</xdr:col>
      <xdr:colOff>1332321</xdr:colOff>
      <xdr:row>44</xdr:row>
      <xdr:rowOff>12700</xdr:rowOff>
    </xdr:from>
    <xdr:to>
      <xdr:col>7</xdr:col>
      <xdr:colOff>587284</xdr:colOff>
      <xdr:row>44</xdr:row>
      <xdr:rowOff>177800</xdr:rowOff>
    </xdr:to>
    <xdr:sp macro="" textlink="">
      <xdr:nvSpPr>
        <xdr:cNvPr id="13" name="Скругленный прямоугольни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4342221" y="5946775"/>
          <a:ext cx="1436188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45</xdr:row>
      <xdr:rowOff>12700</xdr:rowOff>
    </xdr:from>
    <xdr:to>
      <xdr:col>4</xdr:col>
      <xdr:colOff>384629</xdr:colOff>
      <xdr:row>45</xdr:row>
      <xdr:rowOff>177800</xdr:rowOff>
    </xdr:to>
    <xdr:sp macro="" textlink="">
      <xdr:nvSpPr>
        <xdr:cNvPr id="14" name="Скругленный прямоугольни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428625" y="6137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45</xdr:row>
      <xdr:rowOff>12700</xdr:rowOff>
    </xdr:from>
    <xdr:to>
      <xdr:col>6</xdr:col>
      <xdr:colOff>1268458</xdr:colOff>
      <xdr:row>45</xdr:row>
      <xdr:rowOff>177800</xdr:rowOff>
    </xdr:to>
    <xdr:sp macro="" textlink="">
      <xdr:nvSpPr>
        <xdr:cNvPr id="15" name="Скругленный прямоугольник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2496004" y="61372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1293858</xdr:colOff>
      <xdr:row>45</xdr:row>
      <xdr:rowOff>12700</xdr:rowOff>
    </xdr:from>
    <xdr:to>
      <xdr:col>7</xdr:col>
      <xdr:colOff>587284</xdr:colOff>
      <xdr:row>45</xdr:row>
      <xdr:rowOff>177800</xdr:rowOff>
    </xdr:to>
    <xdr:sp macro="" textlink="">
      <xdr:nvSpPr>
        <xdr:cNvPr id="16" name="Скругленный прямоугольник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303758" y="6137275"/>
          <a:ext cx="147465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1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1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1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1560</a:t>
          </a:r>
        </a:p>
      </xdr:txBody>
    </xdr:sp>
    <xdr:clientData/>
  </xdr:twoCellAnchor>
  <xdr:twoCellAnchor>
    <xdr:from>
      <xdr:col>2</xdr:col>
      <xdr:colOff>0</xdr:colOff>
      <xdr:row>46</xdr:row>
      <xdr:rowOff>12700</xdr:rowOff>
    </xdr:from>
    <xdr:to>
      <xdr:col>4</xdr:col>
      <xdr:colOff>125004</xdr:colOff>
      <xdr:row>46</xdr:row>
      <xdr:rowOff>177800</xdr:rowOff>
    </xdr:to>
    <xdr:sp macro="" textlink="">
      <xdr:nvSpPr>
        <xdr:cNvPr id="17" name="Скругленный прямоугольник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28625" y="6327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4</xdr:col>
      <xdr:colOff>150404</xdr:colOff>
      <xdr:row>46</xdr:row>
      <xdr:rowOff>12700</xdr:rowOff>
    </xdr:from>
    <xdr:to>
      <xdr:col>6</xdr:col>
      <xdr:colOff>1008833</xdr:colOff>
      <xdr:row>46</xdr:row>
      <xdr:rowOff>177800</xdr:rowOff>
    </xdr:to>
    <xdr:sp macro="" textlink="">
      <xdr:nvSpPr>
        <xdr:cNvPr id="18" name="Скругленный прямоугольник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2236379" y="6327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1034233</xdr:colOff>
      <xdr:row>46</xdr:row>
      <xdr:rowOff>12700</xdr:rowOff>
    </xdr:from>
    <xdr:to>
      <xdr:col>7</xdr:col>
      <xdr:colOff>577669</xdr:colOff>
      <xdr:row>46</xdr:row>
      <xdr:rowOff>177800</xdr:rowOff>
    </xdr:to>
    <xdr:sp macro="" textlink="">
      <xdr:nvSpPr>
        <xdr:cNvPr id="19" name="Скругленный прямоугольник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044133" y="6327775"/>
          <a:ext cx="172466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2</xdr:col>
      <xdr:colOff>0</xdr:colOff>
      <xdr:row>47</xdr:row>
      <xdr:rowOff>12700</xdr:rowOff>
    </xdr:from>
    <xdr:to>
      <xdr:col>4</xdr:col>
      <xdr:colOff>288471</xdr:colOff>
      <xdr:row>47</xdr:row>
      <xdr:rowOff>177800</xdr:rowOff>
    </xdr:to>
    <xdr:sp macro="" textlink="">
      <xdr:nvSpPr>
        <xdr:cNvPr id="20" name="Скругленный прямоугольник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28625" y="6518275"/>
          <a:ext cx="194582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6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6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6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2050</a:t>
          </a:r>
        </a:p>
      </xdr:txBody>
    </xdr:sp>
    <xdr:clientData/>
  </xdr:twoCellAnchor>
  <xdr:twoCellAnchor>
    <xdr:from>
      <xdr:col>4</xdr:col>
      <xdr:colOff>313871</xdr:colOff>
      <xdr:row>47</xdr:row>
      <xdr:rowOff>12700</xdr:rowOff>
    </xdr:from>
    <xdr:to>
      <xdr:col>6</xdr:col>
      <xdr:colOff>1114606</xdr:colOff>
      <xdr:row>47</xdr:row>
      <xdr:rowOff>177800</xdr:rowOff>
    </xdr:to>
    <xdr:sp macro="" textlink="">
      <xdr:nvSpPr>
        <xdr:cNvPr id="21" name="Скругленный прямоугольник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2399846" y="65182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1140006</xdr:colOff>
      <xdr:row>47</xdr:row>
      <xdr:rowOff>12700</xdr:rowOff>
    </xdr:from>
    <xdr:to>
      <xdr:col>7</xdr:col>
      <xdr:colOff>577669</xdr:colOff>
      <xdr:row>47</xdr:row>
      <xdr:rowOff>177800</xdr:rowOff>
    </xdr:to>
    <xdr:sp macro="" textlink="">
      <xdr:nvSpPr>
        <xdr:cNvPr id="22" name="Скругленный прямоугольник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149906" y="6518275"/>
          <a:ext cx="1618888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48</xdr:row>
      <xdr:rowOff>12700</xdr:rowOff>
    </xdr:from>
    <xdr:to>
      <xdr:col>4</xdr:col>
      <xdr:colOff>336550</xdr:colOff>
      <xdr:row>48</xdr:row>
      <xdr:rowOff>177800</xdr:rowOff>
    </xdr:to>
    <xdr:sp macro="" textlink="">
      <xdr:nvSpPr>
        <xdr:cNvPr id="23" name="Скругленный прямоугольник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28625" y="6708775"/>
          <a:ext cx="199390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5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5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5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2100</a:t>
          </a:r>
        </a:p>
      </xdr:txBody>
    </xdr:sp>
    <xdr:clientData/>
  </xdr:twoCellAnchor>
  <xdr:twoCellAnchor>
    <xdr:from>
      <xdr:col>4</xdr:col>
      <xdr:colOff>361950</xdr:colOff>
      <xdr:row>48</xdr:row>
      <xdr:rowOff>12700</xdr:rowOff>
    </xdr:from>
    <xdr:to>
      <xdr:col>6</xdr:col>
      <xdr:colOff>1431925</xdr:colOff>
      <xdr:row>48</xdr:row>
      <xdr:rowOff>177800</xdr:rowOff>
    </xdr:to>
    <xdr:sp macro="" textlink="">
      <xdr:nvSpPr>
        <xdr:cNvPr id="24" name="Скругленный прямоугольник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2447925" y="6708775"/>
          <a:ext cx="199390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5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5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5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2100</a:t>
          </a:r>
        </a:p>
      </xdr:txBody>
    </xdr:sp>
    <xdr:clientData/>
  </xdr:twoCellAnchor>
  <xdr:twoCellAnchor>
    <xdr:from>
      <xdr:col>6</xdr:col>
      <xdr:colOff>1457325</xdr:colOff>
      <xdr:row>48</xdr:row>
      <xdr:rowOff>12700</xdr:rowOff>
    </xdr:from>
    <xdr:to>
      <xdr:col>7</xdr:col>
      <xdr:colOff>577669</xdr:colOff>
      <xdr:row>48</xdr:row>
      <xdr:rowOff>177800</xdr:rowOff>
    </xdr:to>
    <xdr:sp macro="" textlink="">
      <xdr:nvSpPr>
        <xdr:cNvPr id="25" name="Скругленный прямоугольник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467225" y="67087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49</xdr:row>
      <xdr:rowOff>12700</xdr:rowOff>
    </xdr:from>
    <xdr:to>
      <xdr:col>4</xdr:col>
      <xdr:colOff>384629</xdr:colOff>
      <xdr:row>49</xdr:row>
      <xdr:rowOff>177800</xdr:rowOff>
    </xdr:to>
    <xdr:sp macro="" textlink="">
      <xdr:nvSpPr>
        <xdr:cNvPr id="26" name="Скругленный прямоугольник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428625" y="6899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49</xdr:row>
      <xdr:rowOff>12700</xdr:rowOff>
    </xdr:from>
    <xdr:to>
      <xdr:col>6</xdr:col>
      <xdr:colOff>1431925</xdr:colOff>
      <xdr:row>49</xdr:row>
      <xdr:rowOff>177800</xdr:rowOff>
    </xdr:to>
    <xdr:sp macro="" textlink="">
      <xdr:nvSpPr>
        <xdr:cNvPr id="27" name="Скругленный прямоугольник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2496004" y="6899275"/>
          <a:ext cx="194582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6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6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6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2050</a:t>
          </a:r>
        </a:p>
      </xdr:txBody>
    </xdr:sp>
    <xdr:clientData/>
  </xdr:twoCellAnchor>
  <xdr:twoCellAnchor>
    <xdr:from>
      <xdr:col>6</xdr:col>
      <xdr:colOff>1457325</xdr:colOff>
      <xdr:row>49</xdr:row>
      <xdr:rowOff>12700</xdr:rowOff>
    </xdr:from>
    <xdr:to>
      <xdr:col>7</xdr:col>
      <xdr:colOff>577669</xdr:colOff>
      <xdr:row>49</xdr:row>
      <xdr:rowOff>177800</xdr:rowOff>
    </xdr:to>
    <xdr:sp macro="" textlink="">
      <xdr:nvSpPr>
        <xdr:cNvPr id="28" name="Скругленный прямоугольник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4467225" y="68992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50</xdr:row>
      <xdr:rowOff>12700</xdr:rowOff>
    </xdr:from>
    <xdr:to>
      <xdr:col>4</xdr:col>
      <xdr:colOff>432707</xdr:colOff>
      <xdr:row>50</xdr:row>
      <xdr:rowOff>177800</xdr:rowOff>
    </xdr:to>
    <xdr:sp macro="" textlink="">
      <xdr:nvSpPr>
        <xdr:cNvPr id="29" name="Скругленный прямоугольник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/>
      </xdr:nvSpPr>
      <xdr:spPr>
        <a:xfrm>
          <a:off x="428625" y="70897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50</xdr:row>
      <xdr:rowOff>12700</xdr:rowOff>
    </xdr:from>
    <xdr:to>
      <xdr:col>6</xdr:col>
      <xdr:colOff>1258842</xdr:colOff>
      <xdr:row>50</xdr:row>
      <xdr:rowOff>177800</xdr:rowOff>
    </xdr:to>
    <xdr:sp macro="" textlink="">
      <xdr:nvSpPr>
        <xdr:cNvPr id="30" name="Скругленный прямоугольник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/>
      </xdr:nvSpPr>
      <xdr:spPr>
        <a:xfrm>
          <a:off x="2544082" y="7089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1284242</xdr:colOff>
      <xdr:row>50</xdr:row>
      <xdr:rowOff>12700</xdr:rowOff>
    </xdr:from>
    <xdr:to>
      <xdr:col>7</xdr:col>
      <xdr:colOff>577669</xdr:colOff>
      <xdr:row>50</xdr:row>
      <xdr:rowOff>177800</xdr:rowOff>
    </xdr:to>
    <xdr:sp macro="" textlink="">
      <xdr:nvSpPr>
        <xdr:cNvPr id="31" name="Скругленный прямоугольник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/>
      </xdr:nvSpPr>
      <xdr:spPr>
        <a:xfrm>
          <a:off x="4294142" y="7089775"/>
          <a:ext cx="1474652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1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1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1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1560</a:t>
          </a:r>
        </a:p>
      </xdr:txBody>
    </xdr:sp>
    <xdr:clientData/>
  </xdr:twoCellAnchor>
  <xdr:twoCellAnchor>
    <xdr:from>
      <xdr:col>2</xdr:col>
      <xdr:colOff>0</xdr:colOff>
      <xdr:row>51</xdr:row>
      <xdr:rowOff>12700</xdr:rowOff>
    </xdr:from>
    <xdr:to>
      <xdr:col>4</xdr:col>
      <xdr:colOff>432707</xdr:colOff>
      <xdr:row>51</xdr:row>
      <xdr:rowOff>177800</xdr:rowOff>
    </xdr:to>
    <xdr:sp macro="" textlink="">
      <xdr:nvSpPr>
        <xdr:cNvPr id="32" name="Скругленный прямоугольник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/>
      </xdr:nvSpPr>
      <xdr:spPr>
        <a:xfrm>
          <a:off x="428625" y="72802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51</xdr:row>
      <xdr:rowOff>12700</xdr:rowOff>
    </xdr:from>
    <xdr:to>
      <xdr:col>6</xdr:col>
      <xdr:colOff>1431925</xdr:colOff>
      <xdr:row>51</xdr:row>
      <xdr:rowOff>177800</xdr:rowOff>
    </xdr:to>
    <xdr:sp macro="" textlink="">
      <xdr:nvSpPr>
        <xdr:cNvPr id="33" name="Скругленный прямоугольник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2544082" y="7280275"/>
          <a:ext cx="189774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FF" mc:Ignorable="a14" a14:legacySpreadsheetColorIndex="7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FF" mc:Ignorable="a14" a14:legacySpreadsheetColorIndex="7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AA" mc:Ignorable="a14" a14:legacySpreadsheetColorIndex="7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2000</a:t>
          </a:r>
        </a:p>
      </xdr:txBody>
    </xdr:sp>
    <xdr:clientData/>
  </xdr:twoCellAnchor>
  <xdr:twoCellAnchor>
    <xdr:from>
      <xdr:col>6</xdr:col>
      <xdr:colOff>1457325</xdr:colOff>
      <xdr:row>51</xdr:row>
      <xdr:rowOff>12700</xdr:rowOff>
    </xdr:from>
    <xdr:to>
      <xdr:col>7</xdr:col>
      <xdr:colOff>577669</xdr:colOff>
      <xdr:row>51</xdr:row>
      <xdr:rowOff>177800</xdr:rowOff>
    </xdr:to>
    <xdr:sp macro="" textlink="">
      <xdr:nvSpPr>
        <xdr:cNvPr id="34" name="Скругленный прямоугольник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4467225" y="72802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52</xdr:row>
      <xdr:rowOff>12700</xdr:rowOff>
    </xdr:from>
    <xdr:to>
      <xdr:col>4</xdr:col>
      <xdr:colOff>384629</xdr:colOff>
      <xdr:row>52</xdr:row>
      <xdr:rowOff>177800</xdr:rowOff>
    </xdr:to>
    <xdr:sp macro="" textlink="">
      <xdr:nvSpPr>
        <xdr:cNvPr id="35" name="Скругленный прямоугольник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/>
      </xdr:nvSpPr>
      <xdr:spPr>
        <a:xfrm>
          <a:off x="428625" y="74707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52</xdr:row>
      <xdr:rowOff>12700</xdr:rowOff>
    </xdr:from>
    <xdr:to>
      <xdr:col>6</xdr:col>
      <xdr:colOff>1104991</xdr:colOff>
      <xdr:row>52</xdr:row>
      <xdr:rowOff>177800</xdr:rowOff>
    </xdr:to>
    <xdr:sp macro="" textlink="">
      <xdr:nvSpPr>
        <xdr:cNvPr id="36" name="Скругленный прямоугольник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2496004" y="74707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6</xdr:col>
      <xdr:colOff>1130391</xdr:colOff>
      <xdr:row>52</xdr:row>
      <xdr:rowOff>12700</xdr:rowOff>
    </xdr:from>
    <xdr:to>
      <xdr:col>7</xdr:col>
      <xdr:colOff>568053</xdr:colOff>
      <xdr:row>52</xdr:row>
      <xdr:rowOff>177800</xdr:rowOff>
    </xdr:to>
    <xdr:sp macro="" textlink="">
      <xdr:nvSpPr>
        <xdr:cNvPr id="37" name="Скругленный прямоугольник 36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/>
      </xdr:nvSpPr>
      <xdr:spPr>
        <a:xfrm>
          <a:off x="4140291" y="74707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53</xdr:row>
      <xdr:rowOff>12700</xdr:rowOff>
    </xdr:from>
    <xdr:to>
      <xdr:col>4</xdr:col>
      <xdr:colOff>375013</xdr:colOff>
      <xdr:row>53</xdr:row>
      <xdr:rowOff>177800</xdr:rowOff>
    </xdr:to>
    <xdr:sp macro="" textlink="">
      <xdr:nvSpPr>
        <xdr:cNvPr id="38" name="Скругленный прямоугольник 37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/>
      </xdr:nvSpPr>
      <xdr:spPr>
        <a:xfrm>
          <a:off x="428625" y="7661275"/>
          <a:ext cx="203236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2140</a:t>
          </a:r>
        </a:p>
      </xdr:txBody>
    </xdr:sp>
    <xdr:clientData/>
  </xdr:twoCellAnchor>
  <xdr:twoCellAnchor>
    <xdr:from>
      <xdr:col>4</xdr:col>
      <xdr:colOff>400413</xdr:colOff>
      <xdr:row>53</xdr:row>
      <xdr:rowOff>12700</xdr:rowOff>
    </xdr:from>
    <xdr:to>
      <xdr:col>6</xdr:col>
      <xdr:colOff>1095375</xdr:colOff>
      <xdr:row>53</xdr:row>
      <xdr:rowOff>177800</xdr:rowOff>
    </xdr:to>
    <xdr:sp macro="" textlink="">
      <xdr:nvSpPr>
        <xdr:cNvPr id="39" name="Скругленный прямоугольник 38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/>
      </xdr:nvSpPr>
      <xdr:spPr>
        <a:xfrm>
          <a:off x="2486388" y="7661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6</xdr:col>
      <xdr:colOff>1120775</xdr:colOff>
      <xdr:row>53</xdr:row>
      <xdr:rowOff>12700</xdr:rowOff>
    </xdr:from>
    <xdr:to>
      <xdr:col>7</xdr:col>
      <xdr:colOff>558437</xdr:colOff>
      <xdr:row>53</xdr:row>
      <xdr:rowOff>177800</xdr:rowOff>
    </xdr:to>
    <xdr:sp macro="" textlink="">
      <xdr:nvSpPr>
        <xdr:cNvPr id="40" name="Скругленный прямоугольник 39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/>
      </xdr:nvSpPr>
      <xdr:spPr>
        <a:xfrm>
          <a:off x="4130675" y="7661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54</xdr:row>
      <xdr:rowOff>12700</xdr:rowOff>
    </xdr:from>
    <xdr:to>
      <xdr:col>4</xdr:col>
      <xdr:colOff>67310</xdr:colOff>
      <xdr:row>54</xdr:row>
      <xdr:rowOff>177800</xdr:rowOff>
    </xdr:to>
    <xdr:sp macro="" textlink="">
      <xdr:nvSpPr>
        <xdr:cNvPr id="41" name="Скругленный прямоугольник 40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/>
      </xdr:nvSpPr>
      <xdr:spPr>
        <a:xfrm>
          <a:off x="428625" y="7851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4</xdr:col>
      <xdr:colOff>92710</xdr:colOff>
      <xdr:row>54</xdr:row>
      <xdr:rowOff>12700</xdr:rowOff>
    </xdr:from>
    <xdr:to>
      <xdr:col>6</xdr:col>
      <xdr:colOff>893445</xdr:colOff>
      <xdr:row>54</xdr:row>
      <xdr:rowOff>177800</xdr:rowOff>
    </xdr:to>
    <xdr:sp macro="" textlink="">
      <xdr:nvSpPr>
        <xdr:cNvPr id="42" name="Скругленный прямоугольник 41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/>
      </xdr:nvSpPr>
      <xdr:spPr>
        <a:xfrm>
          <a:off x="2178685" y="7851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918845</xdr:colOff>
      <xdr:row>54</xdr:row>
      <xdr:rowOff>12700</xdr:rowOff>
    </xdr:from>
    <xdr:to>
      <xdr:col>7</xdr:col>
      <xdr:colOff>39189</xdr:colOff>
      <xdr:row>54</xdr:row>
      <xdr:rowOff>177800</xdr:rowOff>
    </xdr:to>
    <xdr:sp macro="" textlink="">
      <xdr:nvSpPr>
        <xdr:cNvPr id="43" name="Скругленный прямоугольник 4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/>
      </xdr:nvSpPr>
      <xdr:spPr>
        <a:xfrm>
          <a:off x="3928745" y="78517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7</xdr:col>
      <xdr:colOff>64589</xdr:colOff>
      <xdr:row>54</xdr:row>
      <xdr:rowOff>12700</xdr:rowOff>
    </xdr:from>
    <xdr:to>
      <xdr:col>7</xdr:col>
      <xdr:colOff>596900</xdr:colOff>
      <xdr:row>54</xdr:row>
      <xdr:rowOff>177800</xdr:rowOff>
    </xdr:to>
    <xdr:sp macro="" textlink="">
      <xdr:nvSpPr>
        <xdr:cNvPr id="44" name="Скругленный прямоугольник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/>
      </xdr:nvSpPr>
      <xdr:spPr>
        <a:xfrm>
          <a:off x="5255714" y="7851775"/>
          <a:ext cx="53231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Остаток: 580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55;&#1086;&#1088;&#1090;&#1072;&#1083;%20&#1089;&#1090;&#1088;&#1086;&#1080;&#1090;&#1077;&#1083;&#1100;&#1089;&#1090;&#1074;&#1086;/1%20&#1057;&#1084;&#1077;&#1090;&#1099;/&#1050;&#1088;&#1086;&#1074;&#1083;&#1080;/&#1050;&#1088;&#1086;&#1074;&#1083;&#1103;%20&#1088;&#1072;&#1089;&#1095;&#1077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55;&#1086;&#1088;&#1090;&#1072;&#1083;%20&#1089;&#1090;&#1088;&#1086;&#1080;&#1090;&#1077;&#1083;&#1100;&#1089;&#1090;&#1074;&#1086;/1%20&#1057;&#1084;&#1077;&#1090;&#1099;/&#1051;&#1077;&#1085;&#1090;&#1086;&#1095;&#1085;&#1099;&#1081;%20&#1092;&#1091;&#1085;&#1076;&#1072;&#1084;&#1077;&#1085;&#1090;/&#1060;-%20%20&#1040;&#1064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ss/Downloads/1%20-%20CSP.xlsm" TargetMode="External"/><Relationship Id="rId1" Type="http://schemas.openxmlformats.org/officeDocument/2006/relationships/externalLinkPath" Target="1%20-%20CS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материал - работа"/>
      <sheetName val="Смета Мягкая"/>
      <sheetName val="Смета Железо"/>
      <sheetName val="Рубероид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расчеты"/>
      <sheetName val="Ст-сть Матер-Работ"/>
      <sheetName val="смета 600х300"/>
      <sheetName val="смета 700х300"/>
      <sheetName val="смета 800х300"/>
      <sheetName val="смета 900х300"/>
      <sheetName val="смета 1000х300"/>
      <sheetName val="смета 600х400"/>
      <sheetName val="смета 700х400"/>
      <sheetName val="смета 800х400"/>
      <sheetName val="смета 900х400"/>
      <sheetName val="смета 1000х400"/>
      <sheetName val="смета 600х500"/>
      <sheetName val="смета 700х500"/>
      <sheetName val="смета 800х500"/>
      <sheetName val="смета 900х500"/>
      <sheetName val="смета 1000х500"/>
      <sheetName val="смета 700х600"/>
      <sheetName val="смета 800х600"/>
      <sheetName val="смета 900х600"/>
      <sheetName val="смета 1000х600"/>
    </sheetNames>
    <sheetDataSet>
      <sheetData sheetId="0">
        <row r="13">
          <cell r="D13"/>
        </row>
        <row r="14">
          <cell r="D14">
            <v>0.2</v>
          </cell>
        </row>
        <row r="15">
          <cell r="D15">
            <v>0.2</v>
          </cell>
        </row>
      </sheetData>
      <sheetData sheetId="1">
        <row r="11">
          <cell r="K11">
            <v>1500</v>
          </cell>
        </row>
        <row r="34">
          <cell r="B34" t="str">
            <v>сечение фундамента в мм. ВхШ</v>
          </cell>
        </row>
        <row r="35">
          <cell r="B35" t="str">
            <v>сечение фундамента с учетом перепада грунта в мм. ВхШ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балки"/>
      <sheetName val="1 ОБЩАЯ"/>
      <sheetName val="Балки - Этажи 45 и 95мм"/>
      <sheetName val="Балки - КС и ПБКЛ"/>
      <sheetName val="Балки - ест. влахность"/>
      <sheetName val="Смета Мягкая"/>
      <sheetName val="Смета Железо"/>
      <sheetName val="Смета винты 89х2500"/>
      <sheetName val="Смета винты 89х3000"/>
      <sheetName val="Смета винты 108х2500"/>
      <sheetName val="Смета винты 108х3000"/>
      <sheetName val="Смета ЖБ 150х3000"/>
      <sheetName val="Смета ЖБ 200х3000"/>
      <sheetName val="Смета ЖБ 150х4000"/>
      <sheetName val="Смета ЖБ 200х4000"/>
      <sheetName val="Смета - Рубероид"/>
      <sheetName val="Смета СВ-Рост 600х300"/>
      <sheetName val="Смета лента 600х300"/>
      <sheetName val="Смета лента 700х300"/>
      <sheetName val="Смета плита"/>
      <sheetName val="Смета ХВ 200"/>
      <sheetName val="Смета брус КС 145х45"/>
      <sheetName val="Смета брус КС 145х95"/>
      <sheetName val="Смета брус КС 145х145"/>
      <sheetName val="Смета брус КС 145х195"/>
      <sheetName val="Смета брус КС 195х195"/>
      <sheetName val="Смета брус ЕВ 145х140"/>
      <sheetName val="Смета брус ЕВ 145х190"/>
      <sheetName val="Смета брус ЕВ 195х190"/>
      <sheetName val="Смета брус ЕВ-Л 145х140"/>
      <sheetName val="Смета брус ЕВ-Л 145х190"/>
      <sheetName val="Смета брус ЕВ-Л 195х190"/>
      <sheetName val="Смета брус ЕВ-К 145х140"/>
      <sheetName val="Смета брус ЕВ-К 145х190"/>
      <sheetName val="Смета брус ЕВ-К 195х190"/>
      <sheetName val="Смета КЛ 145х160"/>
      <sheetName val="Смета КЛ 145х200"/>
      <sheetName val="Смета КЛ 190х160"/>
      <sheetName val="Смета КЛ 190х200"/>
      <sheetName val="Смета КЛ 145х240"/>
      <sheetName val="Смета КЛ 190х240"/>
      <sheetName val="Смета КЛ 230х160"/>
      <sheetName val="Смета КЛ 230х200"/>
      <sheetName val="Смета КЛ 230х240"/>
      <sheetName val="Смета КЛ 250х160"/>
      <sheetName val="Смета КЛ 250х200"/>
      <sheetName val="Смета КЛ 280х200"/>
      <sheetName val="Смета ХВ 180"/>
      <sheetName val="Смета ХВ 220"/>
      <sheetName val="Смета ХВ 240"/>
      <sheetName val="Смета ХВ 260"/>
      <sheetName val="Смета ХВ 280"/>
      <sheetName val="Смета ХВ 300"/>
      <sheetName val="Смета Л 200"/>
      <sheetName val="Смета Л 220"/>
      <sheetName val="Смета Л 240"/>
      <sheetName val="Смета Л 260"/>
      <sheetName val="Смета Л 280"/>
      <sheetName val="Смета Л 300"/>
      <sheetName val="Смета К 200"/>
      <sheetName val="Смета К 220"/>
      <sheetName val="Смета К 240"/>
      <sheetName val="Смета К 260"/>
      <sheetName val="Смета К 280"/>
      <sheetName val="Смета К 300"/>
      <sheetName val="Смета ХВР 180"/>
      <sheetName val="Смета ХВР 200"/>
      <sheetName val="Смета ХВР 220"/>
      <sheetName val="Смета ХВР 240"/>
      <sheetName val="Смета ХВР 260"/>
      <sheetName val="Смета ХВР 280"/>
      <sheetName val="Смета ХВР 300"/>
      <sheetName val="Смета ХВР 320"/>
      <sheetName val="Смета ХВР 340"/>
      <sheetName val="Смета ХВР 360"/>
      <sheetName val="Смета ХВР 380"/>
      <sheetName val="Смета ХВР 400"/>
      <sheetName val="Смета ЛР 200"/>
      <sheetName val="Смета ЛР 220"/>
      <sheetName val="Смета ЛР 240"/>
      <sheetName val="Смета ЛР 260"/>
      <sheetName val="Смета ЛР 280"/>
      <sheetName val="Смета ЛР 300"/>
      <sheetName val="Смета ЛР 320"/>
      <sheetName val="Смета ЛР 340"/>
      <sheetName val="Смета ЛР 360"/>
      <sheetName val="Смета ЛР 380"/>
      <sheetName val="Смета ЛР 400"/>
      <sheetName val="Смета КР 200"/>
      <sheetName val="Смета КР 220"/>
      <sheetName val="Смета КР 240"/>
      <sheetName val="Смета КР 260"/>
      <sheetName val="Смета КР 280"/>
      <sheetName val="Смета КР 300"/>
      <sheetName val="Смета КР 320"/>
      <sheetName val="Смета КР 340"/>
      <sheetName val="Смета КР 360"/>
      <sheetName val="Смета КР 380"/>
      <sheetName val="Смета КР 400"/>
      <sheetName val="Out (Кратко)"/>
    </sheetNames>
    <sheetDataSet>
      <sheetData sheetId="0" refreshError="1"/>
      <sheetData sheetId="1" refreshError="1"/>
      <sheetData sheetId="2">
        <row r="115">
          <cell r="C115">
            <v>5</v>
          </cell>
        </row>
        <row r="121">
          <cell r="D121">
            <v>60</v>
          </cell>
        </row>
        <row r="122">
          <cell r="J122">
            <v>5</v>
          </cell>
        </row>
        <row r="126">
          <cell r="D126">
            <v>1200</v>
          </cell>
        </row>
        <row r="127">
          <cell r="D127">
            <v>13</v>
          </cell>
          <cell r="I127">
            <v>1</v>
          </cell>
          <cell r="J127">
            <v>2000</v>
          </cell>
        </row>
        <row r="129">
          <cell r="J129">
            <v>45</v>
          </cell>
        </row>
        <row r="135">
          <cell r="D135">
            <v>17000</v>
          </cell>
        </row>
        <row r="141">
          <cell r="D141">
            <v>25</v>
          </cell>
        </row>
        <row r="145">
          <cell r="D145">
            <v>3500</v>
          </cell>
        </row>
        <row r="206">
          <cell r="E206">
            <v>45</v>
          </cell>
        </row>
        <row r="225">
          <cell r="E225">
            <v>18</v>
          </cell>
        </row>
        <row r="248">
          <cell r="I248">
            <v>150000</v>
          </cell>
          <cell r="J248">
            <v>130000</v>
          </cell>
          <cell r="K248">
            <v>14000</v>
          </cell>
        </row>
        <row r="267">
          <cell r="D267">
            <v>6000</v>
          </cell>
          <cell r="E267">
            <v>5000</v>
          </cell>
        </row>
      </sheetData>
      <sheetData sheetId="3" refreshError="1"/>
      <sheetData sheetId="4">
        <row r="30">
          <cell r="J30">
            <v>65</v>
          </cell>
        </row>
        <row r="31">
          <cell r="J31">
            <v>13</v>
          </cell>
        </row>
        <row r="32">
          <cell r="J32">
            <v>380</v>
          </cell>
        </row>
        <row r="38">
          <cell r="J38">
            <v>65</v>
          </cell>
        </row>
        <row r="39">
          <cell r="J39">
            <v>13</v>
          </cell>
        </row>
        <row r="40">
          <cell r="J40">
            <v>380</v>
          </cell>
        </row>
        <row r="44">
          <cell r="J44">
            <v>65</v>
          </cell>
        </row>
        <row r="45">
          <cell r="J45">
            <v>13</v>
          </cell>
        </row>
        <row r="46">
          <cell r="J46">
            <v>380</v>
          </cell>
        </row>
        <row r="50">
          <cell r="J50">
            <v>65</v>
          </cell>
        </row>
        <row r="51">
          <cell r="J51">
            <v>13</v>
          </cell>
        </row>
        <row r="52">
          <cell r="J52">
            <v>380</v>
          </cell>
        </row>
      </sheetData>
      <sheetData sheetId="5">
        <row r="29">
          <cell r="D29">
            <v>85.3</v>
          </cell>
          <cell r="E29">
            <v>600</v>
          </cell>
          <cell r="I29">
            <v>1.92</v>
          </cell>
          <cell r="J29">
            <v>17000</v>
          </cell>
        </row>
        <row r="30">
          <cell r="I30">
            <v>64</v>
          </cell>
        </row>
        <row r="31">
          <cell r="I31">
            <v>256</v>
          </cell>
        </row>
        <row r="32">
          <cell r="I32">
            <v>3.240506329113924</v>
          </cell>
        </row>
        <row r="36">
          <cell r="D36">
            <v>55</v>
          </cell>
          <cell r="E36">
            <v>600</v>
          </cell>
          <cell r="I36">
            <v>0.77999999999999992</v>
          </cell>
          <cell r="J36">
            <v>17000</v>
          </cell>
        </row>
        <row r="37">
          <cell r="I37">
            <v>54</v>
          </cell>
        </row>
        <row r="38">
          <cell r="I38">
            <v>216</v>
          </cell>
        </row>
        <row r="39">
          <cell r="I39">
            <v>2.7341772151898733</v>
          </cell>
        </row>
        <row r="42">
          <cell r="D42">
            <v>80</v>
          </cell>
          <cell r="E42">
            <v>600</v>
          </cell>
          <cell r="I42">
            <v>0</v>
          </cell>
          <cell r="J42">
            <v>17000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8">
          <cell r="D48">
            <v>19.88</v>
          </cell>
          <cell r="E48">
            <v>600</v>
          </cell>
          <cell r="I48">
            <v>0</v>
          </cell>
          <cell r="J48">
            <v>17000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2"/>
  <dimension ref="B2:J22"/>
  <sheetViews>
    <sheetView workbookViewId="0">
      <selection activeCell="L13" sqref="L13"/>
    </sheetView>
  </sheetViews>
  <sheetFormatPr baseColWidth="10" defaultColWidth="8.83203125" defaultRowHeight="15"/>
  <sheetData>
    <row r="2" spans="2:10" ht="32">
      <c r="B2" s="2" t="s">
        <v>0</v>
      </c>
      <c r="C2" s="2" t="s">
        <v>3</v>
      </c>
      <c r="D2" s="2" t="s">
        <v>24</v>
      </c>
      <c r="E2" s="2" t="s">
        <v>4</v>
      </c>
      <c r="F2" s="2" t="s">
        <v>6</v>
      </c>
      <c r="G2" s="2" t="s">
        <v>5</v>
      </c>
      <c r="H2" s="2" t="s">
        <v>25</v>
      </c>
      <c r="I2" s="2" t="s">
        <v>23</v>
      </c>
      <c r="J2" s="2" t="s">
        <v>9</v>
      </c>
    </row>
    <row r="3" spans="2:10">
      <c r="B3" s="12" t="s">
        <v>32</v>
      </c>
      <c r="C3" s="13" t="s">
        <v>33</v>
      </c>
      <c r="D3" s="13">
        <v>5600</v>
      </c>
      <c r="E3" s="14">
        <v>0</v>
      </c>
      <c r="F3" s="14">
        <v>0</v>
      </c>
      <c r="G3" s="13">
        <v>500</v>
      </c>
      <c r="H3" s="13">
        <v>0</v>
      </c>
      <c r="I3" s="14" t="s">
        <v>8</v>
      </c>
      <c r="J3" s="14">
        <v>3</v>
      </c>
    </row>
    <row r="4" spans="2:10">
      <c r="B4" s="12"/>
      <c r="C4" s="13"/>
      <c r="D4" s="13"/>
      <c r="E4" s="14"/>
      <c r="F4" s="14"/>
      <c r="G4" s="13"/>
      <c r="H4" s="13"/>
      <c r="I4" s="14"/>
      <c r="J4" s="14"/>
    </row>
    <row r="5" spans="2:10">
      <c r="B5" s="12"/>
      <c r="C5" s="13"/>
      <c r="D5" s="13"/>
      <c r="E5" s="14"/>
      <c r="F5" s="14"/>
      <c r="G5" s="13"/>
      <c r="H5" s="13"/>
      <c r="I5" s="14"/>
      <c r="J5" s="14"/>
    </row>
    <row r="6" spans="2:10">
      <c r="B6" s="15"/>
      <c r="C6" s="16"/>
      <c r="D6" s="16"/>
      <c r="E6" s="17"/>
      <c r="F6" s="17"/>
      <c r="G6" s="16"/>
      <c r="H6" s="16"/>
      <c r="I6" s="17"/>
      <c r="J6" s="17"/>
    </row>
    <row r="8" spans="2:10">
      <c r="B8" s="1" t="s">
        <v>11</v>
      </c>
      <c r="C8" s="1"/>
      <c r="G8" s="1" t="s">
        <v>10</v>
      </c>
    </row>
    <row r="9" spans="2:10" ht="16">
      <c r="B9" s="3" t="s">
        <v>0</v>
      </c>
      <c r="C9" s="3" t="s">
        <v>12</v>
      </c>
      <c r="D9" s="3" t="s">
        <v>1</v>
      </c>
      <c r="E9" s="3" t="s">
        <v>2</v>
      </c>
      <c r="G9" s="2" t="s">
        <v>0</v>
      </c>
      <c r="H9" s="2" t="s">
        <v>7</v>
      </c>
      <c r="I9" s="2" t="s">
        <v>2</v>
      </c>
    </row>
    <row r="10" spans="2:10">
      <c r="B10" s="10" t="s">
        <v>32</v>
      </c>
      <c r="C10" s="10" t="s">
        <v>34</v>
      </c>
      <c r="D10" s="7">
        <v>5600</v>
      </c>
      <c r="E10" s="7">
        <v>20</v>
      </c>
      <c r="G10" s="6"/>
      <c r="H10" s="7"/>
      <c r="I10" s="7"/>
    </row>
    <row r="11" spans="2:10">
      <c r="B11" s="11" t="s">
        <v>32</v>
      </c>
      <c r="C11" s="11" t="s">
        <v>35</v>
      </c>
      <c r="D11" s="9">
        <v>2150</v>
      </c>
      <c r="E11" s="9">
        <v>18</v>
      </c>
      <c r="G11" s="8"/>
      <c r="H11" s="9"/>
      <c r="I11" s="9"/>
    </row>
    <row r="12" spans="2:10">
      <c r="B12" s="11" t="s">
        <v>32</v>
      </c>
      <c r="C12" s="11" t="s">
        <v>36</v>
      </c>
      <c r="D12" s="9">
        <v>2140</v>
      </c>
      <c r="E12" s="9">
        <v>16</v>
      </c>
      <c r="G12" s="8"/>
      <c r="H12" s="9"/>
      <c r="I12" s="9"/>
    </row>
    <row r="13" spans="2:10">
      <c r="B13" s="11" t="s">
        <v>32</v>
      </c>
      <c r="C13" s="11" t="s">
        <v>37</v>
      </c>
      <c r="D13" s="9">
        <v>2100</v>
      </c>
      <c r="E13" s="9">
        <v>14</v>
      </c>
      <c r="G13" s="8"/>
      <c r="H13" s="9"/>
      <c r="I13" s="9"/>
    </row>
    <row r="14" spans="2:10">
      <c r="B14" s="11" t="s">
        <v>32</v>
      </c>
      <c r="C14" s="11" t="s">
        <v>38</v>
      </c>
      <c r="D14" s="9">
        <v>2050</v>
      </c>
      <c r="E14" s="9">
        <v>12</v>
      </c>
      <c r="G14" s="8"/>
      <c r="H14" s="9"/>
      <c r="I14" s="9"/>
    </row>
    <row r="15" spans="2:10">
      <c r="B15" s="11" t="s">
        <v>32</v>
      </c>
      <c r="C15" s="11" t="s">
        <v>39</v>
      </c>
      <c r="D15" s="9">
        <v>2000</v>
      </c>
      <c r="E15" s="9">
        <v>10</v>
      </c>
      <c r="G15" s="8"/>
      <c r="H15" s="9"/>
      <c r="I15" s="9"/>
    </row>
    <row r="16" spans="2:10">
      <c r="B16" s="11" t="s">
        <v>32</v>
      </c>
      <c r="C16" s="11" t="s">
        <v>40</v>
      </c>
      <c r="D16" s="9">
        <v>1930</v>
      </c>
      <c r="E16" s="9">
        <v>20</v>
      </c>
      <c r="G16" s="8"/>
      <c r="H16" s="9"/>
      <c r="I16" s="9"/>
    </row>
    <row r="17" spans="2:9">
      <c r="B17" s="11" t="s">
        <v>32</v>
      </c>
      <c r="C17" s="11" t="s">
        <v>41</v>
      </c>
      <c r="D17" s="9">
        <v>1880</v>
      </c>
      <c r="E17" s="9">
        <v>18</v>
      </c>
      <c r="G17" s="8"/>
      <c r="H17" s="9"/>
      <c r="I17" s="9"/>
    </row>
    <row r="18" spans="2:9">
      <c r="B18" s="11" t="s">
        <v>32</v>
      </c>
      <c r="C18" s="11" t="s">
        <v>42</v>
      </c>
      <c r="D18" s="9">
        <v>1820</v>
      </c>
      <c r="E18" s="9">
        <v>18</v>
      </c>
      <c r="G18" s="8"/>
      <c r="H18" s="9"/>
      <c r="I18" s="9"/>
    </row>
    <row r="19" spans="2:9">
      <c r="B19" s="11" t="s">
        <v>32</v>
      </c>
      <c r="C19" s="11" t="s">
        <v>43</v>
      </c>
      <c r="D19" s="9">
        <v>1710</v>
      </c>
      <c r="E19" s="9">
        <v>14</v>
      </c>
      <c r="G19" s="8"/>
      <c r="H19" s="9"/>
      <c r="I19" s="9"/>
    </row>
    <row r="20" spans="2:9">
      <c r="B20" s="11" t="s">
        <v>32</v>
      </c>
      <c r="C20" s="11" t="s">
        <v>44</v>
      </c>
      <c r="D20" s="9">
        <v>1560</v>
      </c>
      <c r="E20" s="9">
        <v>12</v>
      </c>
      <c r="G20" s="8"/>
      <c r="H20" s="9"/>
      <c r="I20" s="9"/>
    </row>
    <row r="21" spans="2:9">
      <c r="B21" s="11" t="s">
        <v>32</v>
      </c>
      <c r="C21" s="11" t="s">
        <v>45</v>
      </c>
      <c r="D21" s="9">
        <v>1520</v>
      </c>
      <c r="E21" s="9">
        <v>25</v>
      </c>
      <c r="G21" s="8"/>
      <c r="H21" s="9"/>
      <c r="I21" s="9"/>
    </row>
    <row r="22" spans="2:9">
      <c r="B22" s="11" t="s">
        <v>32</v>
      </c>
      <c r="C22" s="11" t="s">
        <v>46</v>
      </c>
      <c r="D22" s="9">
        <v>1380</v>
      </c>
      <c r="E22" s="9">
        <v>22</v>
      </c>
      <c r="G22" s="8"/>
      <c r="H22" s="9"/>
      <c r="I22" s="9"/>
    </row>
  </sheetData>
  <customSheetViews>
    <customSheetView guid="{3274156B-1D2A-4448-883E-F1EEF1AAE0AF}" state="hidden">
      <selection activeCell="L13" sqref="L13"/>
      <pageMargins left="0.7" right="0.7" top="0.75" bottom="0.75" header="0.3" footer="0.3"/>
    </customSheetView>
  </customSheetViews>
  <dataValidations count="4">
    <dataValidation type="list" allowBlank="1" showInputMessage="1" showErrorMessage="1" sqref="J3:J6" xr:uid="{00000000-0002-0000-0200-000000000000}">
      <formula1>"0,1,2,3"</formula1>
    </dataValidation>
    <dataValidation type="list" allowBlank="1" showInputMessage="1" showErrorMessage="1" sqref="I3:I6" xr:uid="{00000000-0002-0000-0200-000001000000}">
      <formula1>"Нет,Да"</formula1>
    </dataValidation>
    <dataValidation type="whole" operator="greaterThanOrEqual" allowBlank="1" showInputMessage="1" showErrorMessage="1" sqref="D3:H6" xr:uid="{00000000-0002-0000-0200-000002000000}">
      <formula1>0</formula1>
    </dataValidation>
    <dataValidation type="list" allowBlank="1" showInputMessage="1" showErrorMessage="1" sqref="G10:G22 B10:B22" xr:uid="{00000000-0002-0000-0200-000003000000}">
      <formula1>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3AE5-3F0A-4031-8FC8-2CDD6D2D1F93}">
  <sheetPr codeName="Sheet1"/>
  <dimension ref="A2:U116"/>
  <sheetViews>
    <sheetView workbookViewId="0">
      <selection activeCell="F19" sqref="F19"/>
    </sheetView>
  </sheetViews>
  <sheetFormatPr baseColWidth="10" defaultColWidth="8.83203125" defaultRowHeight="15"/>
  <cols>
    <col min="2" max="2" width="3.1640625" customWidth="1"/>
    <col min="3" max="3" width="17.33203125" customWidth="1"/>
    <col min="4" max="4" width="14.1640625" customWidth="1"/>
    <col min="5" max="5" width="12.33203125" customWidth="1"/>
    <col min="6" max="6" width="10.5" customWidth="1"/>
    <col min="7" max="7" width="14.5" customWidth="1"/>
    <col min="8" max="8" width="13.5" customWidth="1"/>
    <col min="9" max="9" width="14" customWidth="1"/>
    <col min="10" max="10" width="13.1640625" customWidth="1"/>
    <col min="11" max="11" width="13.6640625" customWidth="1"/>
    <col min="12" max="12" width="13.5" customWidth="1"/>
    <col min="13" max="13" width="14.83203125" customWidth="1"/>
    <col min="14" max="14" width="15.5" customWidth="1"/>
    <col min="15" max="15" width="9.83203125" customWidth="1"/>
  </cols>
  <sheetData>
    <row r="2" spans="1:21" ht="20" thickBot="1">
      <c r="C2" s="246" t="s">
        <v>246</v>
      </c>
      <c r="D2" s="247"/>
      <c r="E2" s="247"/>
      <c r="H2" s="248" t="s">
        <v>247</v>
      </c>
    </row>
    <row r="3" spans="1:21" ht="15" customHeight="1" thickTop="1"/>
    <row r="4" spans="1:21" ht="15.5" customHeight="1" thickBot="1">
      <c r="B4" s="157"/>
      <c r="C4" s="157"/>
      <c r="D4" s="157"/>
      <c r="E4" s="157"/>
      <c r="G4" s="157"/>
      <c r="H4" s="157"/>
      <c r="I4" s="157"/>
      <c r="J4" s="157"/>
      <c r="K4" s="157"/>
      <c r="L4" s="157"/>
      <c r="M4" s="157"/>
      <c r="N4" s="157"/>
    </row>
    <row r="5" spans="1:21" ht="29.5" customHeight="1" thickBot="1">
      <c r="B5" s="157"/>
      <c r="C5" s="249" t="s">
        <v>248</v>
      </c>
      <c r="D5" s="250" t="s">
        <v>78</v>
      </c>
      <c r="E5" s="157"/>
      <c r="G5" s="157"/>
      <c r="H5" s="251" t="s">
        <v>79</v>
      </c>
      <c r="I5" s="251" t="s">
        <v>249</v>
      </c>
      <c r="J5" s="251" t="s">
        <v>250</v>
      </c>
      <c r="K5" s="251" t="s">
        <v>251</v>
      </c>
      <c r="L5" s="251" t="s">
        <v>252</v>
      </c>
      <c r="M5" s="251" t="s">
        <v>253</v>
      </c>
      <c r="N5" s="157"/>
    </row>
    <row r="6" spans="1:21" ht="16.25" customHeight="1">
      <c r="B6" s="157"/>
      <c r="C6" s="252" t="s">
        <v>73</v>
      </c>
      <c r="D6" s="253">
        <v>50</v>
      </c>
      <c r="E6" s="254" t="s">
        <v>61</v>
      </c>
      <c r="G6" s="157"/>
      <c r="H6" s="255">
        <v>1</v>
      </c>
      <c r="I6" s="256">
        <f>SUMIF($H$14:$H$114,H6,$I$14:$I$114)</f>
        <v>14</v>
      </c>
      <c r="J6" s="257">
        <f>SUMIF($H$14:$H$114,$H6,$J$14:$J$114)</f>
        <v>0.49000000000000005</v>
      </c>
      <c r="K6" s="257">
        <f>SUMIF($H$14:$H$114,$H6,$L$14:$L$114)</f>
        <v>0.84</v>
      </c>
      <c r="L6" s="258">
        <f>K6-J6</f>
        <v>0.34999999999999992</v>
      </c>
      <c r="M6" s="259">
        <f>IFERROR(L6/K$11,0)</f>
        <v>7.2916666666666657E-2</v>
      </c>
      <c r="N6" s="157"/>
    </row>
    <row r="7" spans="1:21" ht="16.25" customHeight="1">
      <c r="B7" s="157"/>
      <c r="C7" s="260" t="s">
        <v>74</v>
      </c>
      <c r="D7" s="261">
        <v>200</v>
      </c>
      <c r="E7" s="254" t="s">
        <v>61</v>
      </c>
      <c r="G7" s="157"/>
      <c r="H7" s="255">
        <v>2</v>
      </c>
      <c r="I7" s="256">
        <f>SUMIF($H$14:$H$114,H7,$I$14:$I$114)</f>
        <v>15</v>
      </c>
      <c r="J7" s="257">
        <f>SUMIF($H$14:$H$114,$H7,$J$14:$J$114)</f>
        <v>0.55500000000000005</v>
      </c>
      <c r="K7" s="257">
        <f>SUMIF($H$14:$H$114,$H7,$L$14:$L$114)</f>
        <v>0.6</v>
      </c>
      <c r="L7" s="258">
        <f t="shared" ref="L7:L9" si="0">K7-J7</f>
        <v>4.4999999999999929E-2</v>
      </c>
      <c r="M7" s="259">
        <f t="shared" ref="M7:M11" si="1">IFERROR(L7/K$11,0)</f>
        <v>9.3749999999999858E-3</v>
      </c>
      <c r="N7" s="157"/>
    </row>
    <row r="8" spans="1:21" ht="16.25" customHeight="1" thickBot="1">
      <c r="B8" s="157"/>
      <c r="C8" s="262" t="s">
        <v>1</v>
      </c>
      <c r="D8" s="263">
        <v>6000</v>
      </c>
      <c r="E8" s="254" t="s">
        <v>61</v>
      </c>
      <c r="G8" s="157"/>
      <c r="H8" s="255">
        <v>3</v>
      </c>
      <c r="I8" s="256">
        <f>SUMIF($H$14:$H$114,H8,$I$14:$I$114)</f>
        <v>16</v>
      </c>
      <c r="J8" s="257">
        <f>SUMIF($H$14:$H$114,$H8,$J$14:$J$114)</f>
        <v>0.35199999999999998</v>
      </c>
      <c r="K8" s="257">
        <f>SUMIF($H$14:$H$114,$H8,$L$14:$L$114)</f>
        <v>0.48</v>
      </c>
      <c r="L8" s="258">
        <f t="shared" si="0"/>
        <v>0.128</v>
      </c>
      <c r="M8" s="259">
        <f t="shared" si="1"/>
        <v>2.6666666666666668E-2</v>
      </c>
      <c r="N8" s="157"/>
    </row>
    <row r="9" spans="1:21" ht="16.25" customHeight="1" thickBot="1">
      <c r="B9" s="157"/>
      <c r="C9" s="264" t="s">
        <v>254</v>
      </c>
      <c r="D9" s="265">
        <f>D6*D7*D8/1000000000</f>
        <v>0.06</v>
      </c>
      <c r="E9" s="254" t="s">
        <v>63</v>
      </c>
      <c r="G9" s="157"/>
      <c r="H9" s="255" t="s">
        <v>354</v>
      </c>
      <c r="I9" s="256">
        <f>SUMIF($H$14:$H$114,H9,$I$14:$I$114)</f>
        <v>48</v>
      </c>
      <c r="J9" s="257">
        <f>SUMIF($H$14:$H$114,$H9,$J$14:$J$114)</f>
        <v>1.6800000000000002</v>
      </c>
      <c r="K9" s="257">
        <f>SUMIF($H$14:$H$114,$H9,$L$14:$L$114)</f>
        <v>2.88</v>
      </c>
      <c r="L9" s="258">
        <f t="shared" si="0"/>
        <v>1.1999999999999997</v>
      </c>
      <c r="M9" s="259">
        <f t="shared" si="1"/>
        <v>0.24999999999999994</v>
      </c>
      <c r="N9" s="157"/>
    </row>
    <row r="10" spans="1:21" ht="16.25" customHeight="1">
      <c r="B10" s="157"/>
      <c r="C10" s="264" t="s">
        <v>255</v>
      </c>
      <c r="D10" s="266">
        <f>S115</f>
        <v>80</v>
      </c>
      <c r="E10" s="254" t="s">
        <v>62</v>
      </c>
      <c r="G10" s="157"/>
      <c r="H10" s="255"/>
      <c r="I10" s="256"/>
      <c r="J10" s="258"/>
      <c r="K10" s="258"/>
      <c r="L10" s="258"/>
      <c r="M10" s="267"/>
      <c r="N10" s="157"/>
    </row>
    <row r="11" spans="1:21" ht="16.25" customHeight="1" thickBot="1">
      <c r="A11" s="268">
        <f>ROW(C114)</f>
        <v>114</v>
      </c>
      <c r="B11" s="157"/>
      <c r="C11" s="269" t="s">
        <v>256</v>
      </c>
      <c r="D11" s="270">
        <f>D9*D10</f>
        <v>4.8</v>
      </c>
      <c r="E11" s="254" t="s">
        <v>63</v>
      </c>
      <c r="G11" s="157"/>
      <c r="H11" s="271" t="s">
        <v>80</v>
      </c>
      <c r="I11" s="272">
        <f>SUM(I6:I10)</f>
        <v>93</v>
      </c>
      <c r="J11" s="273">
        <f>SUM(J6:J10)</f>
        <v>3.0770000000000004</v>
      </c>
      <c r="K11" s="273">
        <f>SUM(K6:K10)</f>
        <v>4.8</v>
      </c>
      <c r="L11" s="273">
        <f>SUM(L6:L10)</f>
        <v>1.7229999999999996</v>
      </c>
      <c r="M11" s="274">
        <f t="shared" si="1"/>
        <v>0.35895833333333327</v>
      </c>
      <c r="N11" s="157"/>
    </row>
    <row r="12" spans="1:21">
      <c r="B12" s="157"/>
      <c r="C12" s="157"/>
      <c r="D12" s="157"/>
      <c r="E12" s="157"/>
      <c r="G12" s="157"/>
      <c r="H12" s="157"/>
      <c r="I12" s="157"/>
      <c r="J12" s="157"/>
      <c r="K12" s="157"/>
      <c r="L12" s="157"/>
      <c r="M12" s="157"/>
      <c r="N12" s="157"/>
    </row>
    <row r="13" spans="1:21" ht="9" customHeight="1"/>
    <row r="14" spans="1:21" s="275" customFormat="1" ht="51.5" customHeight="1">
      <c r="B14" s="276"/>
      <c r="C14" s="251" t="s">
        <v>257</v>
      </c>
      <c r="D14" s="251" t="s">
        <v>258</v>
      </c>
      <c r="E14" s="251" t="s">
        <v>76</v>
      </c>
      <c r="F14" s="251" t="s">
        <v>259</v>
      </c>
      <c r="G14" s="251" t="s">
        <v>75</v>
      </c>
      <c r="H14" s="251" t="s">
        <v>79</v>
      </c>
      <c r="I14" s="251" t="s">
        <v>77</v>
      </c>
      <c r="J14" s="251" t="s">
        <v>250</v>
      </c>
      <c r="K14" s="251" t="s">
        <v>260</v>
      </c>
      <c r="L14" s="251" t="s">
        <v>251</v>
      </c>
      <c r="M14" s="251" t="s">
        <v>252</v>
      </c>
      <c r="N14" s="251" t="s">
        <v>253</v>
      </c>
      <c r="O14"/>
      <c r="P14" s="277" t="s">
        <v>76</v>
      </c>
      <c r="Q14" s="278" t="s">
        <v>261</v>
      </c>
      <c r="R14" s="279" t="s">
        <v>77</v>
      </c>
      <c r="S14" s="279" t="s">
        <v>262</v>
      </c>
      <c r="T14" s="279" t="s">
        <v>263</v>
      </c>
      <c r="U14" s="279" t="s">
        <v>264</v>
      </c>
    </row>
    <row r="15" spans="1:21">
      <c r="B15">
        <v>1</v>
      </c>
      <c r="C15" s="280" t="s">
        <v>265</v>
      </c>
      <c r="D15" s="33" t="s">
        <v>64</v>
      </c>
      <c r="E15" s="38">
        <v>3500</v>
      </c>
      <c r="F15" s="38">
        <v>4000</v>
      </c>
      <c r="G15" s="38">
        <v>630</v>
      </c>
      <c r="H15" s="38">
        <v>1</v>
      </c>
      <c r="I15" s="281">
        <f>IFERROR(ROUNDUP(F15/G15,0)+1,0)</f>
        <v>8</v>
      </c>
      <c r="J15" s="281">
        <f>D$6*D$7*E15/1000000000*I15</f>
        <v>0.28000000000000003</v>
      </c>
      <c r="K15" s="281">
        <f t="shared" ref="K15:K78" si="2">IFERROR(ROUNDDOWN(D$8/E15,0),0)</f>
        <v>1</v>
      </c>
      <c r="L15" s="282">
        <f t="shared" ref="L15:L78" si="3">SUMIF($P$14:$P$115,E15,$U$14:$U$115)*I15</f>
        <v>0.48</v>
      </c>
      <c r="M15" s="283">
        <f t="shared" ref="M15:M78" si="4">(L15-J15)</f>
        <v>0.19999999999999996</v>
      </c>
      <c r="N15" s="284">
        <f t="shared" ref="N15:N78" si="5">IFERROR((L15-J15)/L$115,0)</f>
        <v>4.166666666666665E-2</v>
      </c>
      <c r="P15" s="285">
        <v>3500</v>
      </c>
      <c r="Q15" s="286">
        <f t="shared" ref="Q15:Q114" si="6">IFERROR(ROUNDDOWN(D$8/P15,0),0)</f>
        <v>1</v>
      </c>
      <c r="R15" s="281">
        <f t="shared" ref="R15:R78" si="7">SUMIFS($I$14:$I$114,$E$14:$E$114,P15)</f>
        <v>62</v>
      </c>
      <c r="S15" s="287">
        <f>IFERROR(ROUNDUP(R15/Q15,0),0)</f>
        <v>62</v>
      </c>
      <c r="T15" s="287">
        <f t="shared" ref="T15:T114" si="8">S15*D$9</f>
        <v>3.7199999999999998</v>
      </c>
      <c r="U15" s="287">
        <f>IFERROR(T15/R15,0)</f>
        <v>0.06</v>
      </c>
    </row>
    <row r="16" spans="1:21">
      <c r="B16">
        <v>2</v>
      </c>
      <c r="C16" s="280" t="s">
        <v>265</v>
      </c>
      <c r="D16" s="33" t="s">
        <v>65</v>
      </c>
      <c r="E16" s="38">
        <v>3500</v>
      </c>
      <c r="F16" s="38">
        <v>2900</v>
      </c>
      <c r="G16" s="38">
        <v>630</v>
      </c>
      <c r="H16" s="38">
        <v>1</v>
      </c>
      <c r="I16" s="281">
        <f t="shared" ref="I16:I114" si="9">IFERROR(ROUNDUP(F16/G16,0)+1,0)</f>
        <v>6</v>
      </c>
      <c r="J16" s="281">
        <f t="shared" ref="J16:J79" si="10">D$6*D$7*E16/1000000000*I16</f>
        <v>0.21000000000000002</v>
      </c>
      <c r="K16" s="281">
        <f t="shared" si="2"/>
        <v>1</v>
      </c>
      <c r="L16" s="282">
        <f t="shared" si="3"/>
        <v>0.36</v>
      </c>
      <c r="M16" s="283">
        <f t="shared" si="4"/>
        <v>0.14999999999999997</v>
      </c>
      <c r="N16" s="284">
        <f t="shared" si="5"/>
        <v>3.124999999999999E-2</v>
      </c>
      <c r="P16" s="288">
        <v>1300</v>
      </c>
      <c r="Q16" s="286">
        <f t="shared" si="6"/>
        <v>4</v>
      </c>
      <c r="R16" s="281">
        <f t="shared" si="7"/>
        <v>7</v>
      </c>
      <c r="S16" s="287">
        <f>IFERROR(ROUNDUP(R16/Q16,0),0)</f>
        <v>2</v>
      </c>
      <c r="T16" s="287">
        <f t="shared" si="8"/>
        <v>0.12</v>
      </c>
      <c r="U16" s="287">
        <f t="shared" ref="U16:U79" si="11">IFERROR(T16/R16,0)</f>
        <v>1.7142857142857144E-2</v>
      </c>
    </row>
    <row r="17" spans="2:21">
      <c r="B17">
        <v>3</v>
      </c>
      <c r="C17" s="280" t="s">
        <v>265</v>
      </c>
      <c r="D17" s="33" t="s">
        <v>66</v>
      </c>
      <c r="E17" s="38">
        <v>1300</v>
      </c>
      <c r="F17" s="38">
        <v>3500</v>
      </c>
      <c r="G17" s="38">
        <v>630</v>
      </c>
      <c r="H17" s="38">
        <v>2</v>
      </c>
      <c r="I17" s="281">
        <f t="shared" si="9"/>
        <v>7</v>
      </c>
      <c r="J17" s="281">
        <f t="shared" si="10"/>
        <v>9.0999999999999998E-2</v>
      </c>
      <c r="K17" s="281">
        <f t="shared" si="2"/>
        <v>4</v>
      </c>
      <c r="L17" s="282">
        <f t="shared" si="3"/>
        <v>0.12000000000000001</v>
      </c>
      <c r="M17" s="283">
        <f t="shared" si="4"/>
        <v>2.9000000000000012E-2</v>
      </c>
      <c r="N17" s="284">
        <f t="shared" si="5"/>
        <v>6.0416666666666683E-3</v>
      </c>
      <c r="P17" s="288">
        <v>5800</v>
      </c>
      <c r="Q17" s="286">
        <f t="shared" si="6"/>
        <v>1</v>
      </c>
      <c r="R17" s="281">
        <f t="shared" si="7"/>
        <v>8</v>
      </c>
      <c r="S17" s="287">
        <f t="shared" ref="S17:S80" si="12">IFERROR(ROUNDUP(R17/Q17,0),0)</f>
        <v>8</v>
      </c>
      <c r="T17" s="287">
        <f t="shared" si="8"/>
        <v>0.48</v>
      </c>
      <c r="U17" s="287">
        <f t="shared" si="11"/>
        <v>0.06</v>
      </c>
    </row>
    <row r="18" spans="2:21">
      <c r="B18">
        <v>4</v>
      </c>
      <c r="C18" s="280" t="s">
        <v>265</v>
      </c>
      <c r="D18" s="33" t="s">
        <v>67</v>
      </c>
      <c r="E18" s="38">
        <v>5800</v>
      </c>
      <c r="F18" s="38">
        <v>4000</v>
      </c>
      <c r="G18" s="38">
        <v>630</v>
      </c>
      <c r="H18" s="38">
        <v>2</v>
      </c>
      <c r="I18" s="281">
        <f t="shared" si="9"/>
        <v>8</v>
      </c>
      <c r="J18" s="281">
        <f t="shared" si="10"/>
        <v>0.46400000000000002</v>
      </c>
      <c r="K18" s="281">
        <f t="shared" si="2"/>
        <v>1</v>
      </c>
      <c r="L18" s="282">
        <f t="shared" si="3"/>
        <v>0.48</v>
      </c>
      <c r="M18" s="283">
        <f t="shared" si="4"/>
        <v>1.5999999999999959E-2</v>
      </c>
      <c r="N18" s="284">
        <f t="shared" si="5"/>
        <v>3.3333333333333244E-3</v>
      </c>
      <c r="P18" s="288">
        <v>2200</v>
      </c>
      <c r="Q18" s="286">
        <f t="shared" si="6"/>
        <v>2</v>
      </c>
      <c r="R18" s="281">
        <f t="shared" si="7"/>
        <v>16</v>
      </c>
      <c r="S18" s="287">
        <f t="shared" si="12"/>
        <v>8</v>
      </c>
      <c r="T18" s="287">
        <f t="shared" si="8"/>
        <v>0.48</v>
      </c>
      <c r="U18" s="287">
        <f t="shared" si="11"/>
        <v>0.03</v>
      </c>
    </row>
    <row r="19" spans="2:21">
      <c r="B19">
        <v>5</v>
      </c>
      <c r="C19" s="280" t="s">
        <v>265</v>
      </c>
      <c r="D19" s="33" t="s">
        <v>68</v>
      </c>
      <c r="E19" s="38">
        <v>2200</v>
      </c>
      <c r="F19" s="38">
        <v>4000</v>
      </c>
      <c r="G19" s="38">
        <v>630</v>
      </c>
      <c r="H19" s="38">
        <v>3</v>
      </c>
      <c r="I19" s="281">
        <f t="shared" si="9"/>
        <v>8</v>
      </c>
      <c r="J19" s="281">
        <f t="shared" si="10"/>
        <v>0.17599999999999999</v>
      </c>
      <c r="K19" s="281">
        <f t="shared" si="2"/>
        <v>2</v>
      </c>
      <c r="L19" s="282">
        <f t="shared" si="3"/>
        <v>0.24</v>
      </c>
      <c r="M19" s="283">
        <f t="shared" si="4"/>
        <v>6.4000000000000001E-2</v>
      </c>
      <c r="N19" s="284">
        <f t="shared" si="5"/>
        <v>1.3333333333333332E-2</v>
      </c>
      <c r="P19" s="288"/>
      <c r="Q19" s="286">
        <f t="shared" si="6"/>
        <v>0</v>
      </c>
      <c r="R19" s="281">
        <f t="shared" si="7"/>
        <v>0</v>
      </c>
      <c r="S19" s="287">
        <f t="shared" si="12"/>
        <v>0</v>
      </c>
      <c r="T19" s="287">
        <f t="shared" si="8"/>
        <v>0</v>
      </c>
      <c r="U19" s="287">
        <f t="shared" si="11"/>
        <v>0</v>
      </c>
    </row>
    <row r="20" spans="2:21">
      <c r="B20">
        <v>6</v>
      </c>
      <c r="C20" s="280" t="s">
        <v>265</v>
      </c>
      <c r="D20" s="33" t="s">
        <v>69</v>
      </c>
      <c r="E20" s="38">
        <v>2200</v>
      </c>
      <c r="F20" s="38">
        <v>4000</v>
      </c>
      <c r="G20" s="38">
        <v>630</v>
      </c>
      <c r="H20" s="38">
        <v>3</v>
      </c>
      <c r="I20" s="281">
        <f t="shared" si="9"/>
        <v>8</v>
      </c>
      <c r="J20" s="281">
        <f t="shared" si="10"/>
        <v>0.17599999999999999</v>
      </c>
      <c r="K20" s="281">
        <f t="shared" si="2"/>
        <v>2</v>
      </c>
      <c r="L20" s="282">
        <f t="shared" si="3"/>
        <v>0.24</v>
      </c>
      <c r="M20" s="283">
        <f t="shared" si="4"/>
        <v>6.4000000000000001E-2</v>
      </c>
      <c r="N20" s="284">
        <f t="shared" si="5"/>
        <v>1.3333333333333332E-2</v>
      </c>
      <c r="P20" s="288"/>
      <c r="Q20" s="286">
        <f t="shared" si="6"/>
        <v>0</v>
      </c>
      <c r="R20" s="281">
        <f t="shared" si="7"/>
        <v>0</v>
      </c>
      <c r="S20" s="287">
        <f t="shared" si="12"/>
        <v>0</v>
      </c>
      <c r="T20" s="287">
        <f t="shared" si="8"/>
        <v>0</v>
      </c>
      <c r="U20" s="287">
        <f t="shared" si="11"/>
        <v>0</v>
      </c>
    </row>
    <row r="21" spans="2:21">
      <c r="B21">
        <v>7</v>
      </c>
      <c r="C21" s="280" t="s">
        <v>265</v>
      </c>
      <c r="D21" s="33" t="s">
        <v>70</v>
      </c>
      <c r="E21" s="38">
        <v>3500</v>
      </c>
      <c r="F21" s="38">
        <v>4000</v>
      </c>
      <c r="G21" s="38">
        <v>630</v>
      </c>
      <c r="H21" s="38" t="s">
        <v>355</v>
      </c>
      <c r="I21" s="281">
        <f t="shared" si="9"/>
        <v>8</v>
      </c>
      <c r="J21" s="281">
        <f t="shared" si="10"/>
        <v>0.28000000000000003</v>
      </c>
      <c r="K21" s="281">
        <f t="shared" si="2"/>
        <v>1</v>
      </c>
      <c r="L21" s="282">
        <f t="shared" si="3"/>
        <v>0.48</v>
      </c>
      <c r="M21" s="283">
        <f t="shared" si="4"/>
        <v>0.19999999999999996</v>
      </c>
      <c r="N21" s="284">
        <f t="shared" si="5"/>
        <v>4.166666666666665E-2</v>
      </c>
      <c r="P21" s="288"/>
      <c r="Q21" s="286">
        <f t="shared" si="6"/>
        <v>0</v>
      </c>
      <c r="R21" s="281">
        <f t="shared" si="7"/>
        <v>0</v>
      </c>
      <c r="S21" s="287">
        <f t="shared" si="12"/>
        <v>0</v>
      </c>
      <c r="T21" s="287">
        <f t="shared" si="8"/>
        <v>0</v>
      </c>
      <c r="U21" s="287">
        <f t="shared" si="11"/>
        <v>0</v>
      </c>
    </row>
    <row r="22" spans="2:21">
      <c r="B22">
        <v>8</v>
      </c>
      <c r="C22" s="280" t="s">
        <v>265</v>
      </c>
      <c r="D22" s="33" t="s">
        <v>71</v>
      </c>
      <c r="E22" s="38">
        <v>3500</v>
      </c>
      <c r="F22" s="38">
        <v>4000</v>
      </c>
      <c r="G22" s="38">
        <v>630</v>
      </c>
      <c r="H22" s="38" t="s">
        <v>355</v>
      </c>
      <c r="I22" s="281">
        <f t="shared" si="9"/>
        <v>8</v>
      </c>
      <c r="J22" s="281">
        <f t="shared" si="10"/>
        <v>0.28000000000000003</v>
      </c>
      <c r="K22" s="281">
        <f t="shared" si="2"/>
        <v>1</v>
      </c>
      <c r="L22" s="282">
        <f t="shared" si="3"/>
        <v>0.48</v>
      </c>
      <c r="M22" s="283">
        <f t="shared" si="4"/>
        <v>0.19999999999999996</v>
      </c>
      <c r="N22" s="284">
        <f t="shared" si="5"/>
        <v>4.166666666666665E-2</v>
      </c>
      <c r="P22" s="288"/>
      <c r="Q22" s="286">
        <f t="shared" si="6"/>
        <v>0</v>
      </c>
      <c r="R22" s="281">
        <f t="shared" si="7"/>
        <v>0</v>
      </c>
      <c r="S22" s="287">
        <f t="shared" si="12"/>
        <v>0</v>
      </c>
      <c r="T22" s="287">
        <f t="shared" si="8"/>
        <v>0</v>
      </c>
      <c r="U22" s="287">
        <f t="shared" si="11"/>
        <v>0</v>
      </c>
    </row>
    <row r="23" spans="2:21">
      <c r="B23">
        <v>9</v>
      </c>
      <c r="C23" s="280" t="s">
        <v>265</v>
      </c>
      <c r="D23" s="33" t="s">
        <v>72</v>
      </c>
      <c r="E23" s="38">
        <v>3500</v>
      </c>
      <c r="F23" s="38">
        <v>4000</v>
      </c>
      <c r="G23" s="38">
        <v>630</v>
      </c>
      <c r="H23" s="38" t="s">
        <v>355</v>
      </c>
      <c r="I23" s="281">
        <f t="shared" si="9"/>
        <v>8</v>
      </c>
      <c r="J23" s="281">
        <f t="shared" si="10"/>
        <v>0.28000000000000003</v>
      </c>
      <c r="K23" s="281">
        <f t="shared" si="2"/>
        <v>1</v>
      </c>
      <c r="L23" s="282">
        <f t="shared" si="3"/>
        <v>0.48</v>
      </c>
      <c r="M23" s="283">
        <f t="shared" si="4"/>
        <v>0.19999999999999996</v>
      </c>
      <c r="N23" s="284">
        <f t="shared" si="5"/>
        <v>4.166666666666665E-2</v>
      </c>
      <c r="P23" s="288"/>
      <c r="Q23" s="286">
        <f t="shared" si="6"/>
        <v>0</v>
      </c>
      <c r="R23" s="281">
        <f t="shared" si="7"/>
        <v>0</v>
      </c>
      <c r="S23" s="287">
        <f t="shared" si="12"/>
        <v>0</v>
      </c>
      <c r="T23" s="287">
        <f t="shared" si="8"/>
        <v>0</v>
      </c>
      <c r="U23" s="287">
        <f t="shared" si="11"/>
        <v>0</v>
      </c>
    </row>
    <row r="24" spans="2:21">
      <c r="B24">
        <v>10</v>
      </c>
      <c r="C24" s="280" t="s">
        <v>265</v>
      </c>
      <c r="D24" s="33" t="s">
        <v>81</v>
      </c>
      <c r="E24" s="38">
        <v>3500</v>
      </c>
      <c r="F24" s="38">
        <v>4000</v>
      </c>
      <c r="G24" s="38">
        <v>630</v>
      </c>
      <c r="H24" s="38" t="s">
        <v>355</v>
      </c>
      <c r="I24" s="281">
        <f t="shared" si="9"/>
        <v>8</v>
      </c>
      <c r="J24" s="281">
        <f t="shared" si="10"/>
        <v>0.28000000000000003</v>
      </c>
      <c r="K24" s="281">
        <f t="shared" si="2"/>
        <v>1</v>
      </c>
      <c r="L24" s="282">
        <f t="shared" si="3"/>
        <v>0.48</v>
      </c>
      <c r="M24" s="283">
        <f t="shared" si="4"/>
        <v>0.19999999999999996</v>
      </c>
      <c r="N24" s="284">
        <f t="shared" si="5"/>
        <v>4.166666666666665E-2</v>
      </c>
      <c r="P24" s="288"/>
      <c r="Q24" s="286">
        <f t="shared" si="6"/>
        <v>0</v>
      </c>
      <c r="R24" s="281">
        <f t="shared" si="7"/>
        <v>0</v>
      </c>
      <c r="S24" s="287">
        <f t="shared" si="12"/>
        <v>0</v>
      </c>
      <c r="T24" s="287">
        <f t="shared" si="8"/>
        <v>0</v>
      </c>
      <c r="U24" s="287">
        <f t="shared" si="11"/>
        <v>0</v>
      </c>
    </row>
    <row r="25" spans="2:21">
      <c r="B25">
        <v>11</v>
      </c>
      <c r="C25" s="280" t="s">
        <v>265</v>
      </c>
      <c r="D25" s="33" t="s">
        <v>82</v>
      </c>
      <c r="E25" s="38">
        <v>3500</v>
      </c>
      <c r="F25" s="38">
        <v>4000</v>
      </c>
      <c r="G25" s="38">
        <v>630</v>
      </c>
      <c r="H25" s="38" t="s">
        <v>355</v>
      </c>
      <c r="I25" s="281">
        <f t="shared" si="9"/>
        <v>8</v>
      </c>
      <c r="J25" s="281">
        <f t="shared" si="10"/>
        <v>0.28000000000000003</v>
      </c>
      <c r="K25" s="281">
        <f t="shared" si="2"/>
        <v>1</v>
      </c>
      <c r="L25" s="282">
        <f t="shared" si="3"/>
        <v>0.48</v>
      </c>
      <c r="M25" s="283">
        <f t="shared" si="4"/>
        <v>0.19999999999999996</v>
      </c>
      <c r="N25" s="284">
        <f t="shared" si="5"/>
        <v>4.166666666666665E-2</v>
      </c>
      <c r="P25" s="288"/>
      <c r="Q25" s="286">
        <f t="shared" si="6"/>
        <v>0</v>
      </c>
      <c r="R25" s="281">
        <f t="shared" si="7"/>
        <v>0</v>
      </c>
      <c r="S25" s="287">
        <f t="shared" si="12"/>
        <v>0</v>
      </c>
      <c r="T25" s="287">
        <f t="shared" si="8"/>
        <v>0</v>
      </c>
      <c r="U25" s="287">
        <f t="shared" si="11"/>
        <v>0</v>
      </c>
    </row>
    <row r="26" spans="2:21">
      <c r="B26">
        <v>12</v>
      </c>
      <c r="C26" s="280" t="s">
        <v>265</v>
      </c>
      <c r="D26" s="33" t="s">
        <v>83</v>
      </c>
      <c r="E26" s="38">
        <v>3500</v>
      </c>
      <c r="F26" s="38">
        <v>4000</v>
      </c>
      <c r="G26" s="38">
        <v>630</v>
      </c>
      <c r="H26" s="38" t="s">
        <v>355</v>
      </c>
      <c r="I26" s="281">
        <f t="shared" si="9"/>
        <v>8</v>
      </c>
      <c r="J26" s="281">
        <f t="shared" si="10"/>
        <v>0.28000000000000003</v>
      </c>
      <c r="K26" s="281">
        <f t="shared" si="2"/>
        <v>1</v>
      </c>
      <c r="L26" s="282">
        <f t="shared" si="3"/>
        <v>0.48</v>
      </c>
      <c r="M26" s="283">
        <f t="shared" si="4"/>
        <v>0.19999999999999996</v>
      </c>
      <c r="N26" s="284">
        <f t="shared" si="5"/>
        <v>4.166666666666665E-2</v>
      </c>
      <c r="P26" s="288"/>
      <c r="Q26" s="286">
        <f t="shared" si="6"/>
        <v>0</v>
      </c>
      <c r="R26" s="281">
        <f t="shared" si="7"/>
        <v>0</v>
      </c>
      <c r="S26" s="287">
        <f t="shared" si="12"/>
        <v>0</v>
      </c>
      <c r="T26" s="287">
        <f t="shared" si="8"/>
        <v>0</v>
      </c>
      <c r="U26" s="287">
        <f t="shared" si="11"/>
        <v>0</v>
      </c>
    </row>
    <row r="27" spans="2:21">
      <c r="B27">
        <v>13</v>
      </c>
      <c r="C27" s="280" t="s">
        <v>265</v>
      </c>
      <c r="D27" s="33" t="s">
        <v>84</v>
      </c>
      <c r="E27" s="38"/>
      <c r="F27" s="38"/>
      <c r="G27" s="38"/>
      <c r="H27" s="38"/>
      <c r="I27" s="281">
        <f t="shared" si="9"/>
        <v>0</v>
      </c>
      <c r="J27" s="281">
        <f t="shared" si="10"/>
        <v>0</v>
      </c>
      <c r="K27" s="281">
        <f t="shared" si="2"/>
        <v>0</v>
      </c>
      <c r="L27" s="282">
        <f t="shared" si="3"/>
        <v>0</v>
      </c>
      <c r="M27" s="283">
        <f t="shared" si="4"/>
        <v>0</v>
      </c>
      <c r="N27" s="284">
        <f t="shared" si="5"/>
        <v>0</v>
      </c>
      <c r="P27" s="288"/>
      <c r="Q27" s="286">
        <f t="shared" si="6"/>
        <v>0</v>
      </c>
      <c r="R27" s="281">
        <f t="shared" si="7"/>
        <v>0</v>
      </c>
      <c r="S27" s="287">
        <f t="shared" si="12"/>
        <v>0</v>
      </c>
      <c r="T27" s="287">
        <f t="shared" si="8"/>
        <v>0</v>
      </c>
      <c r="U27" s="287">
        <f t="shared" si="11"/>
        <v>0</v>
      </c>
    </row>
    <row r="28" spans="2:21">
      <c r="B28">
        <v>14</v>
      </c>
      <c r="C28" s="280" t="s">
        <v>265</v>
      </c>
      <c r="D28" s="33" t="s">
        <v>266</v>
      </c>
      <c r="E28" s="38"/>
      <c r="F28" s="38"/>
      <c r="G28" s="38"/>
      <c r="H28" s="38"/>
      <c r="I28" s="281">
        <f t="shared" si="9"/>
        <v>0</v>
      </c>
      <c r="J28" s="281">
        <f t="shared" si="10"/>
        <v>0</v>
      </c>
      <c r="K28" s="281">
        <f t="shared" si="2"/>
        <v>0</v>
      </c>
      <c r="L28" s="282">
        <f t="shared" si="3"/>
        <v>0</v>
      </c>
      <c r="M28" s="283">
        <f t="shared" si="4"/>
        <v>0</v>
      </c>
      <c r="N28" s="284">
        <f t="shared" si="5"/>
        <v>0</v>
      </c>
      <c r="P28" s="288"/>
      <c r="Q28" s="286">
        <f t="shared" si="6"/>
        <v>0</v>
      </c>
      <c r="R28" s="281">
        <f t="shared" si="7"/>
        <v>0</v>
      </c>
      <c r="S28" s="287">
        <f t="shared" si="12"/>
        <v>0</v>
      </c>
      <c r="T28" s="287">
        <f t="shared" si="8"/>
        <v>0</v>
      </c>
      <c r="U28" s="287">
        <f t="shared" si="11"/>
        <v>0</v>
      </c>
    </row>
    <row r="29" spans="2:21">
      <c r="B29">
        <v>15</v>
      </c>
      <c r="C29" s="280" t="s">
        <v>265</v>
      </c>
      <c r="D29" s="33" t="s">
        <v>267</v>
      </c>
      <c r="E29" s="38"/>
      <c r="F29" s="38"/>
      <c r="G29" s="38"/>
      <c r="H29" s="38"/>
      <c r="I29" s="281">
        <f t="shared" si="9"/>
        <v>0</v>
      </c>
      <c r="J29" s="281">
        <f t="shared" si="10"/>
        <v>0</v>
      </c>
      <c r="K29" s="281">
        <f t="shared" si="2"/>
        <v>0</v>
      </c>
      <c r="L29" s="282">
        <f t="shared" si="3"/>
        <v>0</v>
      </c>
      <c r="M29" s="283">
        <f t="shared" si="4"/>
        <v>0</v>
      </c>
      <c r="N29" s="284">
        <f t="shared" si="5"/>
        <v>0</v>
      </c>
      <c r="P29" s="288"/>
      <c r="Q29" s="286">
        <f t="shared" si="6"/>
        <v>0</v>
      </c>
      <c r="R29" s="281">
        <f t="shared" si="7"/>
        <v>0</v>
      </c>
      <c r="S29" s="287">
        <f t="shared" si="12"/>
        <v>0</v>
      </c>
      <c r="T29" s="287">
        <f t="shared" si="8"/>
        <v>0</v>
      </c>
      <c r="U29" s="287">
        <f t="shared" si="11"/>
        <v>0</v>
      </c>
    </row>
    <row r="30" spans="2:21">
      <c r="B30">
        <v>16</v>
      </c>
      <c r="C30" s="280" t="s">
        <v>265</v>
      </c>
      <c r="D30" s="33" t="s">
        <v>268</v>
      </c>
      <c r="E30" s="38"/>
      <c r="F30" s="38"/>
      <c r="G30" s="38"/>
      <c r="H30" s="38"/>
      <c r="I30" s="281">
        <f t="shared" si="9"/>
        <v>0</v>
      </c>
      <c r="J30" s="281">
        <f t="shared" si="10"/>
        <v>0</v>
      </c>
      <c r="K30" s="281">
        <f t="shared" si="2"/>
        <v>0</v>
      </c>
      <c r="L30" s="282">
        <f t="shared" si="3"/>
        <v>0</v>
      </c>
      <c r="M30" s="283">
        <f t="shared" si="4"/>
        <v>0</v>
      </c>
      <c r="N30" s="284">
        <f t="shared" si="5"/>
        <v>0</v>
      </c>
      <c r="P30" s="288"/>
      <c r="Q30" s="286">
        <f t="shared" si="6"/>
        <v>0</v>
      </c>
      <c r="R30" s="281">
        <f t="shared" si="7"/>
        <v>0</v>
      </c>
      <c r="S30" s="287">
        <f t="shared" si="12"/>
        <v>0</v>
      </c>
      <c r="T30" s="287">
        <f t="shared" si="8"/>
        <v>0</v>
      </c>
      <c r="U30" s="287">
        <f t="shared" si="11"/>
        <v>0</v>
      </c>
    </row>
    <row r="31" spans="2:21">
      <c r="B31">
        <v>17</v>
      </c>
      <c r="C31" s="280" t="s">
        <v>265</v>
      </c>
      <c r="D31" s="33" t="s">
        <v>269</v>
      </c>
      <c r="E31" s="38"/>
      <c r="F31" s="38"/>
      <c r="G31" s="38"/>
      <c r="H31" s="38"/>
      <c r="I31" s="281">
        <f t="shared" si="9"/>
        <v>0</v>
      </c>
      <c r="J31" s="281">
        <f t="shared" si="10"/>
        <v>0</v>
      </c>
      <c r="K31" s="281">
        <f t="shared" si="2"/>
        <v>0</v>
      </c>
      <c r="L31" s="282">
        <f t="shared" si="3"/>
        <v>0</v>
      </c>
      <c r="M31" s="283">
        <f t="shared" si="4"/>
        <v>0</v>
      </c>
      <c r="N31" s="284">
        <f t="shared" si="5"/>
        <v>0</v>
      </c>
      <c r="P31" s="288"/>
      <c r="Q31" s="286">
        <f t="shared" si="6"/>
        <v>0</v>
      </c>
      <c r="R31" s="281">
        <f t="shared" si="7"/>
        <v>0</v>
      </c>
      <c r="S31" s="287">
        <f t="shared" si="12"/>
        <v>0</v>
      </c>
      <c r="T31" s="287">
        <f t="shared" si="8"/>
        <v>0</v>
      </c>
      <c r="U31" s="287">
        <f t="shared" si="11"/>
        <v>0</v>
      </c>
    </row>
    <row r="32" spans="2:21">
      <c r="B32">
        <v>18</v>
      </c>
      <c r="C32" s="280" t="s">
        <v>265</v>
      </c>
      <c r="D32" s="33" t="s">
        <v>270</v>
      </c>
      <c r="E32" s="38"/>
      <c r="F32" s="38"/>
      <c r="G32" s="38"/>
      <c r="H32" s="38"/>
      <c r="I32" s="281">
        <f t="shared" si="9"/>
        <v>0</v>
      </c>
      <c r="J32" s="281">
        <f t="shared" si="10"/>
        <v>0</v>
      </c>
      <c r="K32" s="281">
        <f t="shared" si="2"/>
        <v>0</v>
      </c>
      <c r="L32" s="282">
        <f t="shared" si="3"/>
        <v>0</v>
      </c>
      <c r="M32" s="283">
        <f t="shared" si="4"/>
        <v>0</v>
      </c>
      <c r="N32" s="284">
        <f t="shared" si="5"/>
        <v>0</v>
      </c>
      <c r="P32" s="288"/>
      <c r="Q32" s="286">
        <f t="shared" si="6"/>
        <v>0</v>
      </c>
      <c r="R32" s="281">
        <f t="shared" si="7"/>
        <v>0</v>
      </c>
      <c r="S32" s="287">
        <f t="shared" si="12"/>
        <v>0</v>
      </c>
      <c r="T32" s="287">
        <f t="shared" si="8"/>
        <v>0</v>
      </c>
      <c r="U32" s="287">
        <f t="shared" si="11"/>
        <v>0</v>
      </c>
    </row>
    <row r="33" spans="2:21">
      <c r="B33">
        <v>19</v>
      </c>
      <c r="C33" s="280" t="s">
        <v>265</v>
      </c>
      <c r="D33" s="33" t="s">
        <v>271</v>
      </c>
      <c r="E33" s="38"/>
      <c r="F33" s="38"/>
      <c r="G33" s="38"/>
      <c r="H33" s="38"/>
      <c r="I33" s="281">
        <f t="shared" si="9"/>
        <v>0</v>
      </c>
      <c r="J33" s="281">
        <f t="shared" si="10"/>
        <v>0</v>
      </c>
      <c r="K33" s="281">
        <f t="shared" si="2"/>
        <v>0</v>
      </c>
      <c r="L33" s="282">
        <f t="shared" si="3"/>
        <v>0</v>
      </c>
      <c r="M33" s="283">
        <f t="shared" si="4"/>
        <v>0</v>
      </c>
      <c r="N33" s="284">
        <f t="shared" si="5"/>
        <v>0</v>
      </c>
      <c r="P33" s="288"/>
      <c r="Q33" s="286">
        <f t="shared" si="6"/>
        <v>0</v>
      </c>
      <c r="R33" s="281">
        <f t="shared" si="7"/>
        <v>0</v>
      </c>
      <c r="S33" s="287">
        <f t="shared" si="12"/>
        <v>0</v>
      </c>
      <c r="T33" s="287">
        <f t="shared" si="8"/>
        <v>0</v>
      </c>
      <c r="U33" s="287">
        <f t="shared" si="11"/>
        <v>0</v>
      </c>
    </row>
    <row r="34" spans="2:21">
      <c r="B34">
        <v>20</v>
      </c>
      <c r="C34" s="280" t="s">
        <v>265</v>
      </c>
      <c r="D34" s="33" t="s">
        <v>272</v>
      </c>
      <c r="E34" s="38"/>
      <c r="F34" s="38"/>
      <c r="G34" s="38"/>
      <c r="H34" s="38"/>
      <c r="I34" s="281">
        <f t="shared" si="9"/>
        <v>0</v>
      </c>
      <c r="J34" s="281">
        <f t="shared" si="10"/>
        <v>0</v>
      </c>
      <c r="K34" s="281">
        <f t="shared" si="2"/>
        <v>0</v>
      </c>
      <c r="L34" s="282">
        <f t="shared" si="3"/>
        <v>0</v>
      </c>
      <c r="M34" s="283">
        <f t="shared" si="4"/>
        <v>0</v>
      </c>
      <c r="N34" s="284">
        <f t="shared" si="5"/>
        <v>0</v>
      </c>
      <c r="P34" s="288"/>
      <c r="Q34" s="286">
        <f t="shared" si="6"/>
        <v>0</v>
      </c>
      <c r="R34" s="281">
        <f t="shared" si="7"/>
        <v>0</v>
      </c>
      <c r="S34" s="287">
        <f t="shared" si="12"/>
        <v>0</v>
      </c>
      <c r="T34" s="287">
        <f t="shared" si="8"/>
        <v>0</v>
      </c>
      <c r="U34" s="287">
        <f t="shared" si="11"/>
        <v>0</v>
      </c>
    </row>
    <row r="35" spans="2:21">
      <c r="B35">
        <v>21</v>
      </c>
      <c r="C35" s="280" t="s">
        <v>265</v>
      </c>
      <c r="D35" s="33" t="s">
        <v>273</v>
      </c>
      <c r="E35" s="38"/>
      <c r="F35" s="38"/>
      <c r="G35" s="38"/>
      <c r="H35" s="38"/>
      <c r="I35" s="281">
        <f t="shared" si="9"/>
        <v>0</v>
      </c>
      <c r="J35" s="281">
        <f t="shared" si="10"/>
        <v>0</v>
      </c>
      <c r="K35" s="281">
        <f t="shared" si="2"/>
        <v>0</v>
      </c>
      <c r="L35" s="282">
        <f t="shared" si="3"/>
        <v>0</v>
      </c>
      <c r="M35" s="283">
        <f t="shared" si="4"/>
        <v>0</v>
      </c>
      <c r="N35" s="284">
        <f t="shared" si="5"/>
        <v>0</v>
      </c>
      <c r="P35" s="288"/>
      <c r="Q35" s="286">
        <f t="shared" si="6"/>
        <v>0</v>
      </c>
      <c r="R35" s="281">
        <f t="shared" si="7"/>
        <v>0</v>
      </c>
      <c r="S35" s="287">
        <f t="shared" si="12"/>
        <v>0</v>
      </c>
      <c r="T35" s="287">
        <f t="shared" si="8"/>
        <v>0</v>
      </c>
      <c r="U35" s="287">
        <f t="shared" si="11"/>
        <v>0</v>
      </c>
    </row>
    <row r="36" spans="2:21">
      <c r="B36">
        <v>22</v>
      </c>
      <c r="C36" s="280" t="s">
        <v>265</v>
      </c>
      <c r="D36" s="33" t="s">
        <v>274</v>
      </c>
      <c r="E36" s="38"/>
      <c r="F36" s="38"/>
      <c r="G36" s="38"/>
      <c r="H36" s="38"/>
      <c r="I36" s="281">
        <f t="shared" si="9"/>
        <v>0</v>
      </c>
      <c r="J36" s="281">
        <f t="shared" si="10"/>
        <v>0</v>
      </c>
      <c r="K36" s="281">
        <f t="shared" si="2"/>
        <v>0</v>
      </c>
      <c r="L36" s="282">
        <f t="shared" si="3"/>
        <v>0</v>
      </c>
      <c r="M36" s="283">
        <f t="shared" si="4"/>
        <v>0</v>
      </c>
      <c r="N36" s="284">
        <f t="shared" si="5"/>
        <v>0</v>
      </c>
      <c r="P36" s="288"/>
      <c r="Q36" s="286">
        <f t="shared" si="6"/>
        <v>0</v>
      </c>
      <c r="R36" s="281">
        <f t="shared" si="7"/>
        <v>0</v>
      </c>
      <c r="S36" s="287">
        <f t="shared" si="12"/>
        <v>0</v>
      </c>
      <c r="T36" s="287">
        <f t="shared" si="8"/>
        <v>0</v>
      </c>
      <c r="U36" s="287">
        <f t="shared" si="11"/>
        <v>0</v>
      </c>
    </row>
    <row r="37" spans="2:21">
      <c r="B37">
        <v>23</v>
      </c>
      <c r="C37" s="280" t="s">
        <v>265</v>
      </c>
      <c r="D37" s="33" t="s">
        <v>275</v>
      </c>
      <c r="E37" s="38"/>
      <c r="F37" s="38"/>
      <c r="G37" s="38"/>
      <c r="H37" s="38"/>
      <c r="I37" s="281">
        <f t="shared" si="9"/>
        <v>0</v>
      </c>
      <c r="J37" s="281">
        <f t="shared" si="10"/>
        <v>0</v>
      </c>
      <c r="K37" s="281">
        <f t="shared" si="2"/>
        <v>0</v>
      </c>
      <c r="L37" s="282">
        <f t="shared" si="3"/>
        <v>0</v>
      </c>
      <c r="M37" s="283">
        <f t="shared" si="4"/>
        <v>0</v>
      </c>
      <c r="N37" s="284">
        <f t="shared" si="5"/>
        <v>0</v>
      </c>
      <c r="P37" s="288"/>
      <c r="Q37" s="286">
        <f t="shared" si="6"/>
        <v>0</v>
      </c>
      <c r="R37" s="281">
        <f t="shared" si="7"/>
        <v>0</v>
      </c>
      <c r="S37" s="287">
        <f t="shared" si="12"/>
        <v>0</v>
      </c>
      <c r="T37" s="287">
        <f t="shared" si="8"/>
        <v>0</v>
      </c>
      <c r="U37" s="287">
        <f t="shared" si="11"/>
        <v>0</v>
      </c>
    </row>
    <row r="38" spans="2:21">
      <c r="B38">
        <v>24</v>
      </c>
      <c r="C38" s="280" t="s">
        <v>265</v>
      </c>
      <c r="D38" s="33" t="s">
        <v>276</v>
      </c>
      <c r="E38" s="38"/>
      <c r="F38" s="38"/>
      <c r="G38" s="38"/>
      <c r="H38" s="38"/>
      <c r="I38" s="281">
        <f t="shared" si="9"/>
        <v>0</v>
      </c>
      <c r="J38" s="281">
        <f t="shared" si="10"/>
        <v>0</v>
      </c>
      <c r="K38" s="281">
        <f t="shared" si="2"/>
        <v>0</v>
      </c>
      <c r="L38" s="282">
        <f t="shared" si="3"/>
        <v>0</v>
      </c>
      <c r="M38" s="283">
        <f t="shared" si="4"/>
        <v>0</v>
      </c>
      <c r="N38" s="284">
        <f t="shared" si="5"/>
        <v>0</v>
      </c>
      <c r="P38" s="288"/>
      <c r="Q38" s="286">
        <f t="shared" si="6"/>
        <v>0</v>
      </c>
      <c r="R38" s="281">
        <f t="shared" si="7"/>
        <v>0</v>
      </c>
      <c r="S38" s="287">
        <f t="shared" si="12"/>
        <v>0</v>
      </c>
      <c r="T38" s="287">
        <f t="shared" si="8"/>
        <v>0</v>
      </c>
      <c r="U38" s="287">
        <f t="shared" si="11"/>
        <v>0</v>
      </c>
    </row>
    <row r="39" spans="2:21">
      <c r="B39">
        <v>25</v>
      </c>
      <c r="C39" s="280" t="s">
        <v>265</v>
      </c>
      <c r="D39" s="33" t="s">
        <v>277</v>
      </c>
      <c r="E39" s="38"/>
      <c r="F39" s="38"/>
      <c r="G39" s="38"/>
      <c r="H39" s="38"/>
      <c r="I39" s="281">
        <f t="shared" si="9"/>
        <v>0</v>
      </c>
      <c r="J39" s="281">
        <f t="shared" si="10"/>
        <v>0</v>
      </c>
      <c r="K39" s="281">
        <f t="shared" si="2"/>
        <v>0</v>
      </c>
      <c r="L39" s="282">
        <f t="shared" si="3"/>
        <v>0</v>
      </c>
      <c r="M39" s="283">
        <f t="shared" si="4"/>
        <v>0</v>
      </c>
      <c r="N39" s="284">
        <f t="shared" si="5"/>
        <v>0</v>
      </c>
      <c r="P39" s="288"/>
      <c r="Q39" s="286">
        <f t="shared" si="6"/>
        <v>0</v>
      </c>
      <c r="R39" s="281">
        <f t="shared" si="7"/>
        <v>0</v>
      </c>
      <c r="S39" s="287">
        <f t="shared" si="12"/>
        <v>0</v>
      </c>
      <c r="T39" s="287">
        <f t="shared" si="8"/>
        <v>0</v>
      </c>
      <c r="U39" s="287">
        <f t="shared" si="11"/>
        <v>0</v>
      </c>
    </row>
    <row r="40" spans="2:21">
      <c r="B40">
        <v>26</v>
      </c>
      <c r="C40" s="280" t="s">
        <v>265</v>
      </c>
      <c r="D40" s="33" t="s">
        <v>278</v>
      </c>
      <c r="E40" s="38"/>
      <c r="F40" s="38"/>
      <c r="G40" s="38"/>
      <c r="H40" s="38"/>
      <c r="I40" s="281">
        <f t="shared" si="9"/>
        <v>0</v>
      </c>
      <c r="J40" s="281">
        <f t="shared" si="10"/>
        <v>0</v>
      </c>
      <c r="K40" s="281">
        <f t="shared" si="2"/>
        <v>0</v>
      </c>
      <c r="L40" s="282">
        <f t="shared" si="3"/>
        <v>0</v>
      </c>
      <c r="M40" s="283">
        <f t="shared" si="4"/>
        <v>0</v>
      </c>
      <c r="N40" s="284">
        <f t="shared" si="5"/>
        <v>0</v>
      </c>
      <c r="P40" s="288"/>
      <c r="Q40" s="286">
        <f t="shared" si="6"/>
        <v>0</v>
      </c>
      <c r="R40" s="281">
        <f t="shared" si="7"/>
        <v>0</v>
      </c>
      <c r="S40" s="287">
        <f t="shared" si="12"/>
        <v>0</v>
      </c>
      <c r="T40" s="287">
        <f t="shared" si="8"/>
        <v>0</v>
      </c>
      <c r="U40" s="287">
        <f t="shared" si="11"/>
        <v>0</v>
      </c>
    </row>
    <row r="41" spans="2:21">
      <c r="B41">
        <v>27</v>
      </c>
      <c r="C41" s="280" t="s">
        <v>265</v>
      </c>
      <c r="D41" s="33" t="s">
        <v>279</v>
      </c>
      <c r="E41" s="38"/>
      <c r="F41" s="38"/>
      <c r="G41" s="38"/>
      <c r="H41" s="38"/>
      <c r="I41" s="281">
        <f t="shared" si="9"/>
        <v>0</v>
      </c>
      <c r="J41" s="281">
        <f t="shared" si="10"/>
        <v>0</v>
      </c>
      <c r="K41" s="281">
        <f t="shared" si="2"/>
        <v>0</v>
      </c>
      <c r="L41" s="282">
        <f t="shared" si="3"/>
        <v>0</v>
      </c>
      <c r="M41" s="283">
        <f t="shared" si="4"/>
        <v>0</v>
      </c>
      <c r="N41" s="284">
        <f t="shared" si="5"/>
        <v>0</v>
      </c>
      <c r="P41" s="288"/>
      <c r="Q41" s="286">
        <f t="shared" si="6"/>
        <v>0</v>
      </c>
      <c r="R41" s="281">
        <f t="shared" si="7"/>
        <v>0</v>
      </c>
      <c r="S41" s="287">
        <f t="shared" si="12"/>
        <v>0</v>
      </c>
      <c r="T41" s="287">
        <f t="shared" si="8"/>
        <v>0</v>
      </c>
      <c r="U41" s="287">
        <f t="shared" si="11"/>
        <v>0</v>
      </c>
    </row>
    <row r="42" spans="2:21">
      <c r="B42">
        <v>28</v>
      </c>
      <c r="C42" s="280" t="s">
        <v>265</v>
      </c>
      <c r="D42" s="33" t="s">
        <v>280</v>
      </c>
      <c r="E42" s="38"/>
      <c r="F42" s="38"/>
      <c r="G42" s="38"/>
      <c r="H42" s="38"/>
      <c r="I42" s="281">
        <f t="shared" si="9"/>
        <v>0</v>
      </c>
      <c r="J42" s="281">
        <f t="shared" si="10"/>
        <v>0</v>
      </c>
      <c r="K42" s="281">
        <f t="shared" si="2"/>
        <v>0</v>
      </c>
      <c r="L42" s="282">
        <f t="shared" si="3"/>
        <v>0</v>
      </c>
      <c r="M42" s="283">
        <f t="shared" si="4"/>
        <v>0</v>
      </c>
      <c r="N42" s="284">
        <f t="shared" si="5"/>
        <v>0</v>
      </c>
      <c r="P42" s="288"/>
      <c r="Q42" s="286">
        <f t="shared" si="6"/>
        <v>0</v>
      </c>
      <c r="R42" s="281">
        <f t="shared" si="7"/>
        <v>0</v>
      </c>
      <c r="S42" s="287">
        <f t="shared" si="12"/>
        <v>0</v>
      </c>
      <c r="T42" s="287">
        <f t="shared" si="8"/>
        <v>0</v>
      </c>
      <c r="U42" s="287">
        <f t="shared" si="11"/>
        <v>0</v>
      </c>
    </row>
    <row r="43" spans="2:21">
      <c r="B43">
        <v>29</v>
      </c>
      <c r="C43" s="280" t="s">
        <v>265</v>
      </c>
      <c r="D43" s="33" t="s">
        <v>281</v>
      </c>
      <c r="E43" s="38"/>
      <c r="F43" s="38"/>
      <c r="G43" s="38"/>
      <c r="H43" s="38"/>
      <c r="I43" s="281">
        <f t="shared" si="9"/>
        <v>0</v>
      </c>
      <c r="J43" s="281">
        <f t="shared" si="10"/>
        <v>0</v>
      </c>
      <c r="K43" s="281">
        <f t="shared" si="2"/>
        <v>0</v>
      </c>
      <c r="L43" s="282">
        <f t="shared" si="3"/>
        <v>0</v>
      </c>
      <c r="M43" s="283">
        <f t="shared" si="4"/>
        <v>0</v>
      </c>
      <c r="N43" s="284">
        <f t="shared" si="5"/>
        <v>0</v>
      </c>
      <c r="P43" s="288"/>
      <c r="Q43" s="286">
        <f t="shared" si="6"/>
        <v>0</v>
      </c>
      <c r="R43" s="281">
        <f t="shared" si="7"/>
        <v>0</v>
      </c>
      <c r="S43" s="287">
        <f t="shared" si="12"/>
        <v>0</v>
      </c>
      <c r="T43" s="287">
        <f t="shared" si="8"/>
        <v>0</v>
      </c>
      <c r="U43" s="287">
        <f t="shared" si="11"/>
        <v>0</v>
      </c>
    </row>
    <row r="44" spans="2:21">
      <c r="B44">
        <v>30</v>
      </c>
      <c r="C44" s="280" t="s">
        <v>265</v>
      </c>
      <c r="D44" s="33" t="s">
        <v>282</v>
      </c>
      <c r="E44" s="38"/>
      <c r="F44" s="38"/>
      <c r="G44" s="38"/>
      <c r="H44" s="38"/>
      <c r="I44" s="281">
        <f t="shared" si="9"/>
        <v>0</v>
      </c>
      <c r="J44" s="281">
        <f t="shared" si="10"/>
        <v>0</v>
      </c>
      <c r="K44" s="281">
        <f t="shared" si="2"/>
        <v>0</v>
      </c>
      <c r="L44" s="282">
        <f t="shared" si="3"/>
        <v>0</v>
      </c>
      <c r="M44" s="283">
        <f t="shared" si="4"/>
        <v>0</v>
      </c>
      <c r="N44" s="284">
        <f t="shared" si="5"/>
        <v>0</v>
      </c>
      <c r="P44" s="288"/>
      <c r="Q44" s="286">
        <f t="shared" si="6"/>
        <v>0</v>
      </c>
      <c r="R44" s="281">
        <f t="shared" si="7"/>
        <v>0</v>
      </c>
      <c r="S44" s="287">
        <f t="shared" si="12"/>
        <v>0</v>
      </c>
      <c r="T44" s="287">
        <f t="shared" si="8"/>
        <v>0</v>
      </c>
      <c r="U44" s="287">
        <f t="shared" si="11"/>
        <v>0</v>
      </c>
    </row>
    <row r="45" spans="2:21">
      <c r="B45">
        <v>31</v>
      </c>
      <c r="C45" s="280" t="s">
        <v>265</v>
      </c>
      <c r="D45" s="33" t="s">
        <v>283</v>
      </c>
      <c r="E45" s="38"/>
      <c r="F45" s="38"/>
      <c r="G45" s="38"/>
      <c r="H45" s="38"/>
      <c r="I45" s="281">
        <f t="shared" si="9"/>
        <v>0</v>
      </c>
      <c r="J45" s="281">
        <f t="shared" si="10"/>
        <v>0</v>
      </c>
      <c r="K45" s="281">
        <f t="shared" si="2"/>
        <v>0</v>
      </c>
      <c r="L45" s="282">
        <f t="shared" si="3"/>
        <v>0</v>
      </c>
      <c r="M45" s="283">
        <f t="shared" si="4"/>
        <v>0</v>
      </c>
      <c r="N45" s="284">
        <f t="shared" si="5"/>
        <v>0</v>
      </c>
      <c r="P45" s="288"/>
      <c r="Q45" s="286">
        <f t="shared" si="6"/>
        <v>0</v>
      </c>
      <c r="R45" s="281">
        <f t="shared" si="7"/>
        <v>0</v>
      </c>
      <c r="S45" s="287">
        <f t="shared" si="12"/>
        <v>0</v>
      </c>
      <c r="T45" s="287">
        <f t="shared" si="8"/>
        <v>0</v>
      </c>
      <c r="U45" s="287">
        <f t="shared" si="11"/>
        <v>0</v>
      </c>
    </row>
    <row r="46" spans="2:21">
      <c r="B46">
        <v>32</v>
      </c>
      <c r="C46" s="280" t="s">
        <v>265</v>
      </c>
      <c r="D46" s="33" t="s">
        <v>284</v>
      </c>
      <c r="E46" s="38"/>
      <c r="F46" s="38"/>
      <c r="G46" s="38"/>
      <c r="H46" s="38"/>
      <c r="I46" s="281">
        <f t="shared" si="9"/>
        <v>0</v>
      </c>
      <c r="J46" s="281">
        <f t="shared" si="10"/>
        <v>0</v>
      </c>
      <c r="K46" s="281">
        <f t="shared" si="2"/>
        <v>0</v>
      </c>
      <c r="L46" s="282">
        <f t="shared" si="3"/>
        <v>0</v>
      </c>
      <c r="M46" s="283">
        <f t="shared" si="4"/>
        <v>0</v>
      </c>
      <c r="N46" s="284">
        <f t="shared" si="5"/>
        <v>0</v>
      </c>
      <c r="P46" s="288"/>
      <c r="Q46" s="286">
        <f t="shared" si="6"/>
        <v>0</v>
      </c>
      <c r="R46" s="281">
        <f t="shared" si="7"/>
        <v>0</v>
      </c>
      <c r="S46" s="287">
        <f t="shared" si="12"/>
        <v>0</v>
      </c>
      <c r="T46" s="287">
        <f t="shared" si="8"/>
        <v>0</v>
      </c>
      <c r="U46" s="287">
        <f t="shared" si="11"/>
        <v>0</v>
      </c>
    </row>
    <row r="47" spans="2:21">
      <c r="B47">
        <v>33</v>
      </c>
      <c r="C47" s="280" t="s">
        <v>265</v>
      </c>
      <c r="D47" s="33" t="s">
        <v>285</v>
      </c>
      <c r="E47" s="38"/>
      <c r="F47" s="38"/>
      <c r="G47" s="38"/>
      <c r="H47" s="38"/>
      <c r="I47" s="281">
        <f t="shared" si="9"/>
        <v>0</v>
      </c>
      <c r="J47" s="281">
        <f t="shared" si="10"/>
        <v>0</v>
      </c>
      <c r="K47" s="281">
        <f t="shared" si="2"/>
        <v>0</v>
      </c>
      <c r="L47" s="282">
        <f t="shared" si="3"/>
        <v>0</v>
      </c>
      <c r="M47" s="283">
        <f t="shared" si="4"/>
        <v>0</v>
      </c>
      <c r="N47" s="284">
        <f t="shared" si="5"/>
        <v>0</v>
      </c>
      <c r="P47" s="288"/>
      <c r="Q47" s="286">
        <f t="shared" si="6"/>
        <v>0</v>
      </c>
      <c r="R47" s="281">
        <f t="shared" si="7"/>
        <v>0</v>
      </c>
      <c r="S47" s="287">
        <f t="shared" si="12"/>
        <v>0</v>
      </c>
      <c r="T47" s="287">
        <f t="shared" si="8"/>
        <v>0</v>
      </c>
      <c r="U47" s="287">
        <f t="shared" si="11"/>
        <v>0</v>
      </c>
    </row>
    <row r="48" spans="2:21">
      <c r="B48">
        <v>34</v>
      </c>
      <c r="C48" s="280" t="s">
        <v>265</v>
      </c>
      <c r="D48" s="33" t="s">
        <v>286</v>
      </c>
      <c r="E48" s="38"/>
      <c r="F48" s="38"/>
      <c r="G48" s="38"/>
      <c r="H48" s="38"/>
      <c r="I48" s="281">
        <f t="shared" si="9"/>
        <v>0</v>
      </c>
      <c r="J48" s="281">
        <f t="shared" si="10"/>
        <v>0</v>
      </c>
      <c r="K48" s="281">
        <f t="shared" si="2"/>
        <v>0</v>
      </c>
      <c r="L48" s="282">
        <f t="shared" si="3"/>
        <v>0</v>
      </c>
      <c r="M48" s="283">
        <f t="shared" si="4"/>
        <v>0</v>
      </c>
      <c r="N48" s="284">
        <f t="shared" si="5"/>
        <v>0</v>
      </c>
      <c r="P48" s="288"/>
      <c r="Q48" s="286">
        <f t="shared" si="6"/>
        <v>0</v>
      </c>
      <c r="R48" s="281">
        <f t="shared" si="7"/>
        <v>0</v>
      </c>
      <c r="S48" s="287">
        <f t="shared" si="12"/>
        <v>0</v>
      </c>
      <c r="T48" s="287">
        <f t="shared" si="8"/>
        <v>0</v>
      </c>
      <c r="U48" s="287">
        <f t="shared" si="11"/>
        <v>0</v>
      </c>
    </row>
    <row r="49" spans="2:21">
      <c r="B49">
        <v>35</v>
      </c>
      <c r="C49" s="280" t="s">
        <v>265</v>
      </c>
      <c r="D49" s="33" t="s">
        <v>287</v>
      </c>
      <c r="E49" s="38"/>
      <c r="F49" s="38"/>
      <c r="G49" s="38"/>
      <c r="H49" s="38"/>
      <c r="I49" s="281">
        <f t="shared" si="9"/>
        <v>0</v>
      </c>
      <c r="J49" s="281">
        <f t="shared" si="10"/>
        <v>0</v>
      </c>
      <c r="K49" s="281">
        <f t="shared" si="2"/>
        <v>0</v>
      </c>
      <c r="L49" s="282">
        <f t="shared" si="3"/>
        <v>0</v>
      </c>
      <c r="M49" s="283">
        <f t="shared" si="4"/>
        <v>0</v>
      </c>
      <c r="N49" s="284">
        <f t="shared" si="5"/>
        <v>0</v>
      </c>
      <c r="P49" s="288"/>
      <c r="Q49" s="286">
        <f t="shared" si="6"/>
        <v>0</v>
      </c>
      <c r="R49" s="281">
        <f t="shared" si="7"/>
        <v>0</v>
      </c>
      <c r="S49" s="287">
        <f t="shared" si="12"/>
        <v>0</v>
      </c>
      <c r="T49" s="287">
        <f t="shared" si="8"/>
        <v>0</v>
      </c>
      <c r="U49" s="287">
        <f t="shared" si="11"/>
        <v>0</v>
      </c>
    </row>
    <row r="50" spans="2:21">
      <c r="B50">
        <v>36</v>
      </c>
      <c r="C50" s="280" t="s">
        <v>265</v>
      </c>
      <c r="D50" s="33" t="s">
        <v>288</v>
      </c>
      <c r="E50" s="38"/>
      <c r="F50" s="38"/>
      <c r="G50" s="38"/>
      <c r="H50" s="38"/>
      <c r="I50" s="281">
        <f t="shared" si="9"/>
        <v>0</v>
      </c>
      <c r="J50" s="281">
        <f t="shared" si="10"/>
        <v>0</v>
      </c>
      <c r="K50" s="281">
        <f t="shared" si="2"/>
        <v>0</v>
      </c>
      <c r="L50" s="282">
        <f t="shared" si="3"/>
        <v>0</v>
      </c>
      <c r="M50" s="283">
        <f t="shared" si="4"/>
        <v>0</v>
      </c>
      <c r="N50" s="284">
        <f t="shared" si="5"/>
        <v>0</v>
      </c>
      <c r="P50" s="288"/>
      <c r="Q50" s="286">
        <f t="shared" si="6"/>
        <v>0</v>
      </c>
      <c r="R50" s="281">
        <f t="shared" si="7"/>
        <v>0</v>
      </c>
      <c r="S50" s="287">
        <f t="shared" si="12"/>
        <v>0</v>
      </c>
      <c r="T50" s="287">
        <f t="shared" si="8"/>
        <v>0</v>
      </c>
      <c r="U50" s="287">
        <f t="shared" si="11"/>
        <v>0</v>
      </c>
    </row>
    <row r="51" spans="2:21">
      <c r="B51">
        <v>37</v>
      </c>
      <c r="C51" s="280" t="s">
        <v>265</v>
      </c>
      <c r="D51" s="33" t="s">
        <v>289</v>
      </c>
      <c r="E51" s="38"/>
      <c r="F51" s="38"/>
      <c r="G51" s="38"/>
      <c r="H51" s="38"/>
      <c r="I51" s="281">
        <f t="shared" si="9"/>
        <v>0</v>
      </c>
      <c r="J51" s="281">
        <f t="shared" si="10"/>
        <v>0</v>
      </c>
      <c r="K51" s="281">
        <f t="shared" si="2"/>
        <v>0</v>
      </c>
      <c r="L51" s="282">
        <f t="shared" si="3"/>
        <v>0</v>
      </c>
      <c r="M51" s="283">
        <f t="shared" si="4"/>
        <v>0</v>
      </c>
      <c r="N51" s="284">
        <f t="shared" si="5"/>
        <v>0</v>
      </c>
      <c r="P51" s="288"/>
      <c r="Q51" s="286">
        <f t="shared" si="6"/>
        <v>0</v>
      </c>
      <c r="R51" s="281">
        <f t="shared" si="7"/>
        <v>0</v>
      </c>
      <c r="S51" s="287">
        <f t="shared" si="12"/>
        <v>0</v>
      </c>
      <c r="T51" s="287">
        <f t="shared" si="8"/>
        <v>0</v>
      </c>
      <c r="U51" s="287">
        <f t="shared" si="11"/>
        <v>0</v>
      </c>
    </row>
    <row r="52" spans="2:21">
      <c r="B52">
        <v>38</v>
      </c>
      <c r="C52" s="280" t="s">
        <v>265</v>
      </c>
      <c r="D52" s="33" t="s">
        <v>290</v>
      </c>
      <c r="E52" s="38"/>
      <c r="F52" s="38"/>
      <c r="G52" s="38"/>
      <c r="H52" s="38"/>
      <c r="I52" s="281">
        <f t="shared" si="9"/>
        <v>0</v>
      </c>
      <c r="J52" s="281">
        <f t="shared" si="10"/>
        <v>0</v>
      </c>
      <c r="K52" s="281">
        <f t="shared" si="2"/>
        <v>0</v>
      </c>
      <c r="L52" s="282">
        <f t="shared" si="3"/>
        <v>0</v>
      </c>
      <c r="M52" s="283">
        <f t="shared" si="4"/>
        <v>0</v>
      </c>
      <c r="N52" s="284">
        <f t="shared" si="5"/>
        <v>0</v>
      </c>
      <c r="P52" s="288"/>
      <c r="Q52" s="286">
        <f t="shared" si="6"/>
        <v>0</v>
      </c>
      <c r="R52" s="281">
        <f t="shared" si="7"/>
        <v>0</v>
      </c>
      <c r="S52" s="287">
        <f t="shared" si="12"/>
        <v>0</v>
      </c>
      <c r="T52" s="287">
        <f t="shared" si="8"/>
        <v>0</v>
      </c>
      <c r="U52" s="287">
        <f t="shared" si="11"/>
        <v>0</v>
      </c>
    </row>
    <row r="53" spans="2:21">
      <c r="B53">
        <v>39</v>
      </c>
      <c r="C53" s="280" t="s">
        <v>265</v>
      </c>
      <c r="D53" s="33" t="s">
        <v>291</v>
      </c>
      <c r="E53" s="38"/>
      <c r="F53" s="38"/>
      <c r="G53" s="38"/>
      <c r="H53" s="38"/>
      <c r="I53" s="281">
        <f t="shared" si="9"/>
        <v>0</v>
      </c>
      <c r="J53" s="281">
        <f t="shared" si="10"/>
        <v>0</v>
      </c>
      <c r="K53" s="281">
        <f t="shared" si="2"/>
        <v>0</v>
      </c>
      <c r="L53" s="282">
        <f t="shared" si="3"/>
        <v>0</v>
      </c>
      <c r="M53" s="283">
        <f t="shared" si="4"/>
        <v>0</v>
      </c>
      <c r="N53" s="284">
        <f t="shared" si="5"/>
        <v>0</v>
      </c>
      <c r="P53" s="288"/>
      <c r="Q53" s="286">
        <f t="shared" si="6"/>
        <v>0</v>
      </c>
      <c r="R53" s="281">
        <f t="shared" si="7"/>
        <v>0</v>
      </c>
      <c r="S53" s="287">
        <f t="shared" si="12"/>
        <v>0</v>
      </c>
      <c r="T53" s="287">
        <f t="shared" si="8"/>
        <v>0</v>
      </c>
      <c r="U53" s="287">
        <f t="shared" si="11"/>
        <v>0</v>
      </c>
    </row>
    <row r="54" spans="2:21">
      <c r="B54">
        <v>40</v>
      </c>
      <c r="C54" s="280" t="s">
        <v>265</v>
      </c>
      <c r="D54" s="33" t="s">
        <v>292</v>
      </c>
      <c r="E54" s="38"/>
      <c r="F54" s="38"/>
      <c r="G54" s="38"/>
      <c r="H54" s="38"/>
      <c r="I54" s="281">
        <f t="shared" si="9"/>
        <v>0</v>
      </c>
      <c r="J54" s="281">
        <f t="shared" si="10"/>
        <v>0</v>
      </c>
      <c r="K54" s="281">
        <f t="shared" si="2"/>
        <v>0</v>
      </c>
      <c r="L54" s="282">
        <f t="shared" si="3"/>
        <v>0</v>
      </c>
      <c r="M54" s="283">
        <f t="shared" si="4"/>
        <v>0</v>
      </c>
      <c r="N54" s="284">
        <f t="shared" si="5"/>
        <v>0</v>
      </c>
      <c r="P54" s="288"/>
      <c r="Q54" s="286">
        <f t="shared" si="6"/>
        <v>0</v>
      </c>
      <c r="R54" s="281">
        <f t="shared" si="7"/>
        <v>0</v>
      </c>
      <c r="S54" s="287">
        <f t="shared" si="12"/>
        <v>0</v>
      </c>
      <c r="T54" s="287">
        <f t="shared" si="8"/>
        <v>0</v>
      </c>
      <c r="U54" s="287">
        <f t="shared" si="11"/>
        <v>0</v>
      </c>
    </row>
    <row r="55" spans="2:21">
      <c r="B55">
        <v>41</v>
      </c>
      <c r="C55" s="280" t="s">
        <v>265</v>
      </c>
      <c r="D55" s="33" t="s">
        <v>293</v>
      </c>
      <c r="E55" s="38"/>
      <c r="F55" s="38"/>
      <c r="G55" s="38"/>
      <c r="H55" s="38"/>
      <c r="I55" s="281">
        <f t="shared" si="9"/>
        <v>0</v>
      </c>
      <c r="J55" s="281">
        <f t="shared" si="10"/>
        <v>0</v>
      </c>
      <c r="K55" s="281">
        <f t="shared" si="2"/>
        <v>0</v>
      </c>
      <c r="L55" s="282">
        <f t="shared" si="3"/>
        <v>0</v>
      </c>
      <c r="M55" s="283">
        <f t="shared" si="4"/>
        <v>0</v>
      </c>
      <c r="N55" s="284">
        <f t="shared" si="5"/>
        <v>0</v>
      </c>
      <c r="P55" s="288"/>
      <c r="Q55" s="286">
        <f t="shared" si="6"/>
        <v>0</v>
      </c>
      <c r="R55" s="281">
        <f t="shared" si="7"/>
        <v>0</v>
      </c>
      <c r="S55" s="287">
        <f t="shared" si="12"/>
        <v>0</v>
      </c>
      <c r="T55" s="287">
        <f t="shared" si="8"/>
        <v>0</v>
      </c>
      <c r="U55" s="287">
        <f t="shared" si="11"/>
        <v>0</v>
      </c>
    </row>
    <row r="56" spans="2:21">
      <c r="B56">
        <v>42</v>
      </c>
      <c r="C56" s="280" t="s">
        <v>265</v>
      </c>
      <c r="D56" s="33" t="s">
        <v>294</v>
      </c>
      <c r="E56" s="38"/>
      <c r="F56" s="38"/>
      <c r="G56" s="38"/>
      <c r="H56" s="38"/>
      <c r="I56" s="281">
        <f t="shared" si="9"/>
        <v>0</v>
      </c>
      <c r="J56" s="281">
        <f t="shared" si="10"/>
        <v>0</v>
      </c>
      <c r="K56" s="281">
        <f t="shared" si="2"/>
        <v>0</v>
      </c>
      <c r="L56" s="282">
        <f t="shared" si="3"/>
        <v>0</v>
      </c>
      <c r="M56" s="283">
        <f t="shared" si="4"/>
        <v>0</v>
      </c>
      <c r="N56" s="284">
        <f t="shared" si="5"/>
        <v>0</v>
      </c>
      <c r="P56" s="288"/>
      <c r="Q56" s="286">
        <f t="shared" si="6"/>
        <v>0</v>
      </c>
      <c r="R56" s="281">
        <f t="shared" si="7"/>
        <v>0</v>
      </c>
      <c r="S56" s="287">
        <f t="shared" si="12"/>
        <v>0</v>
      </c>
      <c r="T56" s="287">
        <f t="shared" si="8"/>
        <v>0</v>
      </c>
      <c r="U56" s="287">
        <f t="shared" si="11"/>
        <v>0</v>
      </c>
    </row>
    <row r="57" spans="2:21">
      <c r="B57">
        <v>43</v>
      </c>
      <c r="C57" s="280" t="s">
        <v>265</v>
      </c>
      <c r="D57" s="33" t="s">
        <v>295</v>
      </c>
      <c r="E57" s="38"/>
      <c r="F57" s="38"/>
      <c r="G57" s="38"/>
      <c r="H57" s="38"/>
      <c r="I57" s="281">
        <f t="shared" si="9"/>
        <v>0</v>
      </c>
      <c r="J57" s="281">
        <f t="shared" si="10"/>
        <v>0</v>
      </c>
      <c r="K57" s="281">
        <f t="shared" si="2"/>
        <v>0</v>
      </c>
      <c r="L57" s="282">
        <f t="shared" si="3"/>
        <v>0</v>
      </c>
      <c r="M57" s="283">
        <f t="shared" si="4"/>
        <v>0</v>
      </c>
      <c r="N57" s="284">
        <f t="shared" si="5"/>
        <v>0</v>
      </c>
      <c r="P57" s="288"/>
      <c r="Q57" s="286">
        <f t="shared" si="6"/>
        <v>0</v>
      </c>
      <c r="R57" s="281">
        <f t="shared" si="7"/>
        <v>0</v>
      </c>
      <c r="S57" s="287">
        <f t="shared" si="12"/>
        <v>0</v>
      </c>
      <c r="T57" s="287">
        <f t="shared" si="8"/>
        <v>0</v>
      </c>
      <c r="U57" s="287">
        <f t="shared" si="11"/>
        <v>0</v>
      </c>
    </row>
    <row r="58" spans="2:21">
      <c r="B58">
        <v>44</v>
      </c>
      <c r="C58" s="280" t="s">
        <v>265</v>
      </c>
      <c r="D58" s="33" t="s">
        <v>296</v>
      </c>
      <c r="E58" s="38"/>
      <c r="F58" s="38"/>
      <c r="G58" s="38"/>
      <c r="H58" s="38"/>
      <c r="I58" s="281">
        <f t="shared" si="9"/>
        <v>0</v>
      </c>
      <c r="J58" s="281">
        <f t="shared" si="10"/>
        <v>0</v>
      </c>
      <c r="K58" s="281">
        <f t="shared" si="2"/>
        <v>0</v>
      </c>
      <c r="L58" s="282">
        <f t="shared" si="3"/>
        <v>0</v>
      </c>
      <c r="M58" s="283">
        <f t="shared" si="4"/>
        <v>0</v>
      </c>
      <c r="N58" s="284">
        <f t="shared" si="5"/>
        <v>0</v>
      </c>
      <c r="P58" s="288"/>
      <c r="Q58" s="286">
        <f t="shared" si="6"/>
        <v>0</v>
      </c>
      <c r="R58" s="281">
        <f t="shared" si="7"/>
        <v>0</v>
      </c>
      <c r="S58" s="287">
        <f t="shared" si="12"/>
        <v>0</v>
      </c>
      <c r="T58" s="287">
        <f t="shared" si="8"/>
        <v>0</v>
      </c>
      <c r="U58" s="287">
        <f t="shared" si="11"/>
        <v>0</v>
      </c>
    </row>
    <row r="59" spans="2:21">
      <c r="B59">
        <v>45</v>
      </c>
      <c r="C59" s="280" t="s">
        <v>265</v>
      </c>
      <c r="D59" s="33" t="s">
        <v>297</v>
      </c>
      <c r="E59" s="38"/>
      <c r="F59" s="38"/>
      <c r="G59" s="38"/>
      <c r="H59" s="38"/>
      <c r="I59" s="281">
        <f t="shared" si="9"/>
        <v>0</v>
      </c>
      <c r="J59" s="281">
        <f t="shared" si="10"/>
        <v>0</v>
      </c>
      <c r="K59" s="281">
        <f t="shared" si="2"/>
        <v>0</v>
      </c>
      <c r="L59" s="282">
        <f t="shared" si="3"/>
        <v>0</v>
      </c>
      <c r="M59" s="283">
        <f t="shared" si="4"/>
        <v>0</v>
      </c>
      <c r="N59" s="284">
        <f t="shared" si="5"/>
        <v>0</v>
      </c>
      <c r="P59" s="288"/>
      <c r="Q59" s="286">
        <f t="shared" si="6"/>
        <v>0</v>
      </c>
      <c r="R59" s="281">
        <f t="shared" si="7"/>
        <v>0</v>
      </c>
      <c r="S59" s="287">
        <f t="shared" si="12"/>
        <v>0</v>
      </c>
      <c r="T59" s="287">
        <f t="shared" si="8"/>
        <v>0</v>
      </c>
      <c r="U59" s="287">
        <f t="shared" si="11"/>
        <v>0</v>
      </c>
    </row>
    <row r="60" spans="2:21">
      <c r="B60">
        <v>46</v>
      </c>
      <c r="C60" s="280" t="s">
        <v>265</v>
      </c>
      <c r="D60" s="33" t="s">
        <v>298</v>
      </c>
      <c r="E60" s="38"/>
      <c r="F60" s="38"/>
      <c r="G60" s="38"/>
      <c r="H60" s="38"/>
      <c r="I60" s="281">
        <f t="shared" si="9"/>
        <v>0</v>
      </c>
      <c r="J60" s="281">
        <f t="shared" si="10"/>
        <v>0</v>
      </c>
      <c r="K60" s="281">
        <f t="shared" si="2"/>
        <v>0</v>
      </c>
      <c r="L60" s="282">
        <f t="shared" si="3"/>
        <v>0</v>
      </c>
      <c r="M60" s="283">
        <f t="shared" si="4"/>
        <v>0</v>
      </c>
      <c r="N60" s="284">
        <f t="shared" si="5"/>
        <v>0</v>
      </c>
      <c r="P60" s="288"/>
      <c r="Q60" s="286">
        <f t="shared" si="6"/>
        <v>0</v>
      </c>
      <c r="R60" s="281">
        <f t="shared" si="7"/>
        <v>0</v>
      </c>
      <c r="S60" s="287">
        <f t="shared" si="12"/>
        <v>0</v>
      </c>
      <c r="T60" s="287">
        <f t="shared" si="8"/>
        <v>0</v>
      </c>
      <c r="U60" s="287">
        <f t="shared" si="11"/>
        <v>0</v>
      </c>
    </row>
    <row r="61" spans="2:21">
      <c r="B61">
        <v>47</v>
      </c>
      <c r="C61" s="280" t="s">
        <v>265</v>
      </c>
      <c r="D61" s="33" t="s">
        <v>299</v>
      </c>
      <c r="E61" s="38"/>
      <c r="F61" s="38"/>
      <c r="G61" s="38"/>
      <c r="H61" s="38"/>
      <c r="I61" s="281">
        <f t="shared" si="9"/>
        <v>0</v>
      </c>
      <c r="J61" s="281">
        <f t="shared" si="10"/>
        <v>0</v>
      </c>
      <c r="K61" s="281">
        <f t="shared" si="2"/>
        <v>0</v>
      </c>
      <c r="L61" s="282">
        <f t="shared" si="3"/>
        <v>0</v>
      </c>
      <c r="M61" s="283">
        <f t="shared" si="4"/>
        <v>0</v>
      </c>
      <c r="N61" s="284">
        <f t="shared" si="5"/>
        <v>0</v>
      </c>
      <c r="P61" s="288"/>
      <c r="Q61" s="286">
        <f t="shared" si="6"/>
        <v>0</v>
      </c>
      <c r="R61" s="281">
        <f t="shared" si="7"/>
        <v>0</v>
      </c>
      <c r="S61" s="287">
        <f t="shared" si="12"/>
        <v>0</v>
      </c>
      <c r="T61" s="287">
        <f t="shared" si="8"/>
        <v>0</v>
      </c>
      <c r="U61" s="287">
        <f t="shared" si="11"/>
        <v>0</v>
      </c>
    </row>
    <row r="62" spans="2:21">
      <c r="B62">
        <v>48</v>
      </c>
      <c r="C62" s="280" t="s">
        <v>265</v>
      </c>
      <c r="D62" s="33" t="s">
        <v>300</v>
      </c>
      <c r="E62" s="38"/>
      <c r="F62" s="38"/>
      <c r="G62" s="38"/>
      <c r="H62" s="38"/>
      <c r="I62" s="281">
        <f t="shared" si="9"/>
        <v>0</v>
      </c>
      <c r="J62" s="281">
        <f t="shared" si="10"/>
        <v>0</v>
      </c>
      <c r="K62" s="281">
        <f t="shared" si="2"/>
        <v>0</v>
      </c>
      <c r="L62" s="282">
        <f t="shared" si="3"/>
        <v>0</v>
      </c>
      <c r="M62" s="283">
        <f t="shared" si="4"/>
        <v>0</v>
      </c>
      <c r="N62" s="284">
        <f t="shared" si="5"/>
        <v>0</v>
      </c>
      <c r="P62" s="288"/>
      <c r="Q62" s="286">
        <f t="shared" si="6"/>
        <v>0</v>
      </c>
      <c r="R62" s="281">
        <f t="shared" si="7"/>
        <v>0</v>
      </c>
      <c r="S62" s="287">
        <f t="shared" si="12"/>
        <v>0</v>
      </c>
      <c r="T62" s="287">
        <f t="shared" si="8"/>
        <v>0</v>
      </c>
      <c r="U62" s="287">
        <f t="shared" si="11"/>
        <v>0</v>
      </c>
    </row>
    <row r="63" spans="2:21">
      <c r="B63">
        <v>49</v>
      </c>
      <c r="C63" s="280" t="s">
        <v>265</v>
      </c>
      <c r="D63" s="33" t="s">
        <v>301</v>
      </c>
      <c r="E63" s="38"/>
      <c r="F63" s="38"/>
      <c r="G63" s="38"/>
      <c r="H63" s="38"/>
      <c r="I63" s="281">
        <f t="shared" si="9"/>
        <v>0</v>
      </c>
      <c r="J63" s="281">
        <f t="shared" si="10"/>
        <v>0</v>
      </c>
      <c r="K63" s="281">
        <f t="shared" si="2"/>
        <v>0</v>
      </c>
      <c r="L63" s="282">
        <f t="shared" si="3"/>
        <v>0</v>
      </c>
      <c r="M63" s="283">
        <f t="shared" si="4"/>
        <v>0</v>
      </c>
      <c r="N63" s="284">
        <f t="shared" si="5"/>
        <v>0</v>
      </c>
      <c r="P63" s="288"/>
      <c r="Q63" s="286">
        <f t="shared" si="6"/>
        <v>0</v>
      </c>
      <c r="R63" s="281">
        <f t="shared" si="7"/>
        <v>0</v>
      </c>
      <c r="S63" s="287">
        <f t="shared" si="12"/>
        <v>0</v>
      </c>
      <c r="T63" s="287">
        <f t="shared" si="8"/>
        <v>0</v>
      </c>
      <c r="U63" s="287">
        <f t="shared" si="11"/>
        <v>0</v>
      </c>
    </row>
    <row r="64" spans="2:21">
      <c r="B64">
        <v>50</v>
      </c>
      <c r="C64" s="280" t="s">
        <v>265</v>
      </c>
      <c r="D64" s="33" t="s">
        <v>302</v>
      </c>
      <c r="E64" s="38"/>
      <c r="F64" s="38"/>
      <c r="G64" s="38"/>
      <c r="H64" s="38"/>
      <c r="I64" s="281">
        <f t="shared" si="9"/>
        <v>0</v>
      </c>
      <c r="J64" s="281">
        <f t="shared" si="10"/>
        <v>0</v>
      </c>
      <c r="K64" s="281">
        <f t="shared" si="2"/>
        <v>0</v>
      </c>
      <c r="L64" s="282">
        <f t="shared" si="3"/>
        <v>0</v>
      </c>
      <c r="M64" s="283">
        <f t="shared" si="4"/>
        <v>0</v>
      </c>
      <c r="N64" s="284">
        <f t="shared" si="5"/>
        <v>0</v>
      </c>
      <c r="P64" s="288"/>
      <c r="Q64" s="286">
        <f t="shared" si="6"/>
        <v>0</v>
      </c>
      <c r="R64" s="281">
        <f t="shared" si="7"/>
        <v>0</v>
      </c>
      <c r="S64" s="287">
        <f t="shared" si="12"/>
        <v>0</v>
      </c>
      <c r="T64" s="287">
        <f t="shared" si="8"/>
        <v>0</v>
      </c>
      <c r="U64" s="287">
        <f t="shared" si="11"/>
        <v>0</v>
      </c>
    </row>
    <row r="65" spans="2:21">
      <c r="B65">
        <v>51</v>
      </c>
      <c r="C65" s="280" t="s">
        <v>265</v>
      </c>
      <c r="D65" s="33" t="s">
        <v>303</v>
      </c>
      <c r="E65" s="38"/>
      <c r="F65" s="38"/>
      <c r="G65" s="38"/>
      <c r="H65" s="38"/>
      <c r="I65" s="281">
        <f t="shared" si="9"/>
        <v>0</v>
      </c>
      <c r="J65" s="281">
        <f t="shared" si="10"/>
        <v>0</v>
      </c>
      <c r="K65" s="281">
        <f t="shared" si="2"/>
        <v>0</v>
      </c>
      <c r="L65" s="282">
        <f t="shared" si="3"/>
        <v>0</v>
      </c>
      <c r="M65" s="283">
        <f t="shared" si="4"/>
        <v>0</v>
      </c>
      <c r="N65" s="284">
        <f t="shared" si="5"/>
        <v>0</v>
      </c>
      <c r="P65" s="288"/>
      <c r="Q65" s="286">
        <f t="shared" si="6"/>
        <v>0</v>
      </c>
      <c r="R65" s="281">
        <f t="shared" si="7"/>
        <v>0</v>
      </c>
      <c r="S65" s="287">
        <f t="shared" si="12"/>
        <v>0</v>
      </c>
      <c r="T65" s="287">
        <f t="shared" si="8"/>
        <v>0</v>
      </c>
      <c r="U65" s="287">
        <f t="shared" si="11"/>
        <v>0</v>
      </c>
    </row>
    <row r="66" spans="2:21">
      <c r="B66">
        <v>52</v>
      </c>
      <c r="C66" s="280" t="s">
        <v>265</v>
      </c>
      <c r="D66" s="33" t="s">
        <v>304</v>
      </c>
      <c r="E66" s="38"/>
      <c r="F66" s="38"/>
      <c r="G66" s="38"/>
      <c r="H66" s="38"/>
      <c r="I66" s="281">
        <f t="shared" si="9"/>
        <v>0</v>
      </c>
      <c r="J66" s="281">
        <f t="shared" si="10"/>
        <v>0</v>
      </c>
      <c r="K66" s="281">
        <f t="shared" si="2"/>
        <v>0</v>
      </c>
      <c r="L66" s="282">
        <f t="shared" si="3"/>
        <v>0</v>
      </c>
      <c r="M66" s="283">
        <f t="shared" si="4"/>
        <v>0</v>
      </c>
      <c r="N66" s="284">
        <f t="shared" si="5"/>
        <v>0</v>
      </c>
      <c r="P66" s="288"/>
      <c r="Q66" s="286">
        <f t="shared" si="6"/>
        <v>0</v>
      </c>
      <c r="R66" s="281">
        <f t="shared" si="7"/>
        <v>0</v>
      </c>
      <c r="S66" s="287">
        <f t="shared" si="12"/>
        <v>0</v>
      </c>
      <c r="T66" s="287">
        <f t="shared" si="8"/>
        <v>0</v>
      </c>
      <c r="U66" s="287">
        <f t="shared" si="11"/>
        <v>0</v>
      </c>
    </row>
    <row r="67" spans="2:21">
      <c r="B67">
        <v>53</v>
      </c>
      <c r="C67" s="280" t="s">
        <v>265</v>
      </c>
      <c r="D67" s="33" t="s">
        <v>305</v>
      </c>
      <c r="E67" s="38"/>
      <c r="F67" s="38"/>
      <c r="G67" s="38"/>
      <c r="H67" s="38"/>
      <c r="I67" s="281">
        <f t="shared" si="9"/>
        <v>0</v>
      </c>
      <c r="J67" s="281">
        <f t="shared" si="10"/>
        <v>0</v>
      </c>
      <c r="K67" s="281">
        <f t="shared" si="2"/>
        <v>0</v>
      </c>
      <c r="L67" s="282">
        <f t="shared" si="3"/>
        <v>0</v>
      </c>
      <c r="M67" s="283">
        <f t="shared" si="4"/>
        <v>0</v>
      </c>
      <c r="N67" s="284">
        <f t="shared" si="5"/>
        <v>0</v>
      </c>
      <c r="P67" s="288"/>
      <c r="Q67" s="286">
        <f t="shared" si="6"/>
        <v>0</v>
      </c>
      <c r="R67" s="281">
        <f t="shared" si="7"/>
        <v>0</v>
      </c>
      <c r="S67" s="287">
        <f t="shared" si="12"/>
        <v>0</v>
      </c>
      <c r="T67" s="287">
        <f t="shared" si="8"/>
        <v>0</v>
      </c>
      <c r="U67" s="287">
        <f t="shared" si="11"/>
        <v>0</v>
      </c>
    </row>
    <row r="68" spans="2:21">
      <c r="B68">
        <v>54</v>
      </c>
      <c r="C68" s="280" t="s">
        <v>265</v>
      </c>
      <c r="D68" s="33" t="s">
        <v>306</v>
      </c>
      <c r="E68" s="38"/>
      <c r="F68" s="38"/>
      <c r="G68" s="38"/>
      <c r="H68" s="38"/>
      <c r="I68" s="281">
        <f t="shared" si="9"/>
        <v>0</v>
      </c>
      <c r="J68" s="281">
        <f t="shared" si="10"/>
        <v>0</v>
      </c>
      <c r="K68" s="281">
        <f t="shared" si="2"/>
        <v>0</v>
      </c>
      <c r="L68" s="282">
        <f t="shared" si="3"/>
        <v>0</v>
      </c>
      <c r="M68" s="283">
        <f t="shared" si="4"/>
        <v>0</v>
      </c>
      <c r="N68" s="284">
        <f t="shared" si="5"/>
        <v>0</v>
      </c>
      <c r="P68" s="288"/>
      <c r="Q68" s="286">
        <f t="shared" si="6"/>
        <v>0</v>
      </c>
      <c r="R68" s="281">
        <f t="shared" si="7"/>
        <v>0</v>
      </c>
      <c r="S68" s="287">
        <f t="shared" si="12"/>
        <v>0</v>
      </c>
      <c r="T68" s="287">
        <f t="shared" si="8"/>
        <v>0</v>
      </c>
      <c r="U68" s="287">
        <f t="shared" si="11"/>
        <v>0</v>
      </c>
    </row>
    <row r="69" spans="2:21">
      <c r="B69">
        <v>55</v>
      </c>
      <c r="C69" s="280" t="s">
        <v>265</v>
      </c>
      <c r="D69" s="33" t="s">
        <v>307</v>
      </c>
      <c r="E69" s="38"/>
      <c r="F69" s="38"/>
      <c r="G69" s="38"/>
      <c r="H69" s="38"/>
      <c r="I69" s="281">
        <f t="shared" si="9"/>
        <v>0</v>
      </c>
      <c r="J69" s="281">
        <f t="shared" si="10"/>
        <v>0</v>
      </c>
      <c r="K69" s="281">
        <f t="shared" si="2"/>
        <v>0</v>
      </c>
      <c r="L69" s="282">
        <f t="shared" si="3"/>
        <v>0</v>
      </c>
      <c r="M69" s="283">
        <f t="shared" si="4"/>
        <v>0</v>
      </c>
      <c r="N69" s="284">
        <f t="shared" si="5"/>
        <v>0</v>
      </c>
      <c r="P69" s="288"/>
      <c r="Q69" s="286">
        <f t="shared" si="6"/>
        <v>0</v>
      </c>
      <c r="R69" s="281">
        <f t="shared" si="7"/>
        <v>0</v>
      </c>
      <c r="S69" s="287">
        <f t="shared" si="12"/>
        <v>0</v>
      </c>
      <c r="T69" s="287">
        <f t="shared" si="8"/>
        <v>0</v>
      </c>
      <c r="U69" s="287">
        <f t="shared" si="11"/>
        <v>0</v>
      </c>
    </row>
    <row r="70" spans="2:21">
      <c r="B70">
        <v>56</v>
      </c>
      <c r="C70" s="280" t="s">
        <v>265</v>
      </c>
      <c r="D70" s="33" t="s">
        <v>308</v>
      </c>
      <c r="E70" s="38"/>
      <c r="F70" s="38"/>
      <c r="G70" s="38"/>
      <c r="H70" s="38"/>
      <c r="I70" s="281">
        <f t="shared" si="9"/>
        <v>0</v>
      </c>
      <c r="J70" s="281">
        <f t="shared" si="10"/>
        <v>0</v>
      </c>
      <c r="K70" s="281">
        <f t="shared" si="2"/>
        <v>0</v>
      </c>
      <c r="L70" s="282">
        <f t="shared" si="3"/>
        <v>0</v>
      </c>
      <c r="M70" s="283">
        <f t="shared" si="4"/>
        <v>0</v>
      </c>
      <c r="N70" s="284">
        <f t="shared" si="5"/>
        <v>0</v>
      </c>
      <c r="P70" s="288"/>
      <c r="Q70" s="286">
        <f t="shared" si="6"/>
        <v>0</v>
      </c>
      <c r="R70" s="281">
        <f t="shared" si="7"/>
        <v>0</v>
      </c>
      <c r="S70" s="287">
        <f t="shared" si="12"/>
        <v>0</v>
      </c>
      <c r="T70" s="287">
        <f t="shared" si="8"/>
        <v>0</v>
      </c>
      <c r="U70" s="287">
        <f t="shared" si="11"/>
        <v>0</v>
      </c>
    </row>
    <row r="71" spans="2:21">
      <c r="B71">
        <v>57</v>
      </c>
      <c r="C71" s="280" t="s">
        <v>265</v>
      </c>
      <c r="D71" s="33" t="s">
        <v>309</v>
      </c>
      <c r="E71" s="38"/>
      <c r="F71" s="38"/>
      <c r="G71" s="38"/>
      <c r="H71" s="38"/>
      <c r="I71" s="281">
        <f t="shared" si="9"/>
        <v>0</v>
      </c>
      <c r="J71" s="281">
        <f t="shared" si="10"/>
        <v>0</v>
      </c>
      <c r="K71" s="281">
        <f t="shared" si="2"/>
        <v>0</v>
      </c>
      <c r="L71" s="282">
        <f t="shared" si="3"/>
        <v>0</v>
      </c>
      <c r="M71" s="283">
        <f t="shared" si="4"/>
        <v>0</v>
      </c>
      <c r="N71" s="284">
        <f t="shared" si="5"/>
        <v>0</v>
      </c>
      <c r="P71" s="288"/>
      <c r="Q71" s="286">
        <f t="shared" si="6"/>
        <v>0</v>
      </c>
      <c r="R71" s="281">
        <f t="shared" si="7"/>
        <v>0</v>
      </c>
      <c r="S71" s="287">
        <f t="shared" si="12"/>
        <v>0</v>
      </c>
      <c r="T71" s="287">
        <f t="shared" si="8"/>
        <v>0</v>
      </c>
      <c r="U71" s="287">
        <f t="shared" si="11"/>
        <v>0</v>
      </c>
    </row>
    <row r="72" spans="2:21">
      <c r="B72">
        <v>58</v>
      </c>
      <c r="C72" s="280" t="s">
        <v>265</v>
      </c>
      <c r="D72" s="33" t="s">
        <v>310</v>
      </c>
      <c r="E72" s="38"/>
      <c r="F72" s="38"/>
      <c r="G72" s="38"/>
      <c r="H72" s="38"/>
      <c r="I72" s="281">
        <f t="shared" si="9"/>
        <v>0</v>
      </c>
      <c r="J72" s="281">
        <f t="shared" si="10"/>
        <v>0</v>
      </c>
      <c r="K72" s="281">
        <f t="shared" si="2"/>
        <v>0</v>
      </c>
      <c r="L72" s="282">
        <f t="shared" si="3"/>
        <v>0</v>
      </c>
      <c r="M72" s="283">
        <f t="shared" si="4"/>
        <v>0</v>
      </c>
      <c r="N72" s="284">
        <f t="shared" si="5"/>
        <v>0</v>
      </c>
      <c r="P72" s="288"/>
      <c r="Q72" s="286">
        <f t="shared" si="6"/>
        <v>0</v>
      </c>
      <c r="R72" s="281">
        <f t="shared" si="7"/>
        <v>0</v>
      </c>
      <c r="S72" s="287">
        <f t="shared" si="12"/>
        <v>0</v>
      </c>
      <c r="T72" s="287">
        <f t="shared" si="8"/>
        <v>0</v>
      </c>
      <c r="U72" s="287">
        <f t="shared" si="11"/>
        <v>0</v>
      </c>
    </row>
    <row r="73" spans="2:21">
      <c r="B73">
        <v>59</v>
      </c>
      <c r="C73" s="280" t="s">
        <v>265</v>
      </c>
      <c r="D73" s="33" t="s">
        <v>311</v>
      </c>
      <c r="E73" s="38"/>
      <c r="F73" s="38"/>
      <c r="G73" s="38"/>
      <c r="H73" s="38"/>
      <c r="I73" s="281">
        <f t="shared" si="9"/>
        <v>0</v>
      </c>
      <c r="J73" s="281">
        <f t="shared" si="10"/>
        <v>0</v>
      </c>
      <c r="K73" s="281">
        <f t="shared" si="2"/>
        <v>0</v>
      </c>
      <c r="L73" s="282">
        <f t="shared" si="3"/>
        <v>0</v>
      </c>
      <c r="M73" s="283">
        <f t="shared" si="4"/>
        <v>0</v>
      </c>
      <c r="N73" s="284">
        <f t="shared" si="5"/>
        <v>0</v>
      </c>
      <c r="P73" s="288"/>
      <c r="Q73" s="286">
        <f t="shared" si="6"/>
        <v>0</v>
      </c>
      <c r="R73" s="281">
        <f t="shared" si="7"/>
        <v>0</v>
      </c>
      <c r="S73" s="287">
        <f t="shared" si="12"/>
        <v>0</v>
      </c>
      <c r="T73" s="287">
        <f t="shared" si="8"/>
        <v>0</v>
      </c>
      <c r="U73" s="287">
        <f t="shared" si="11"/>
        <v>0</v>
      </c>
    </row>
    <row r="74" spans="2:21">
      <c r="B74">
        <v>60</v>
      </c>
      <c r="C74" s="280" t="s">
        <v>265</v>
      </c>
      <c r="D74" s="33" t="s">
        <v>312</v>
      </c>
      <c r="E74" s="38"/>
      <c r="F74" s="38"/>
      <c r="G74" s="38"/>
      <c r="H74" s="38"/>
      <c r="I74" s="281">
        <f t="shared" si="9"/>
        <v>0</v>
      </c>
      <c r="J74" s="281">
        <f t="shared" si="10"/>
        <v>0</v>
      </c>
      <c r="K74" s="281">
        <f t="shared" si="2"/>
        <v>0</v>
      </c>
      <c r="L74" s="282">
        <f t="shared" si="3"/>
        <v>0</v>
      </c>
      <c r="M74" s="283">
        <f t="shared" si="4"/>
        <v>0</v>
      </c>
      <c r="N74" s="284">
        <f t="shared" si="5"/>
        <v>0</v>
      </c>
      <c r="P74" s="288"/>
      <c r="Q74" s="286">
        <f t="shared" si="6"/>
        <v>0</v>
      </c>
      <c r="R74" s="281">
        <f t="shared" si="7"/>
        <v>0</v>
      </c>
      <c r="S74" s="287">
        <f t="shared" si="12"/>
        <v>0</v>
      </c>
      <c r="T74" s="287">
        <f t="shared" si="8"/>
        <v>0</v>
      </c>
      <c r="U74" s="287">
        <f t="shared" si="11"/>
        <v>0</v>
      </c>
    </row>
    <row r="75" spans="2:21">
      <c r="B75">
        <v>61</v>
      </c>
      <c r="C75" s="280" t="s">
        <v>265</v>
      </c>
      <c r="D75" s="33" t="s">
        <v>313</v>
      </c>
      <c r="E75" s="38"/>
      <c r="F75" s="38"/>
      <c r="G75" s="38"/>
      <c r="H75" s="38"/>
      <c r="I75" s="281">
        <f t="shared" si="9"/>
        <v>0</v>
      </c>
      <c r="J75" s="281">
        <f t="shared" si="10"/>
        <v>0</v>
      </c>
      <c r="K75" s="281">
        <f t="shared" si="2"/>
        <v>0</v>
      </c>
      <c r="L75" s="282">
        <f t="shared" si="3"/>
        <v>0</v>
      </c>
      <c r="M75" s="283">
        <f t="shared" si="4"/>
        <v>0</v>
      </c>
      <c r="N75" s="284">
        <f t="shared" si="5"/>
        <v>0</v>
      </c>
      <c r="P75" s="288"/>
      <c r="Q75" s="286">
        <f t="shared" si="6"/>
        <v>0</v>
      </c>
      <c r="R75" s="281">
        <f t="shared" si="7"/>
        <v>0</v>
      </c>
      <c r="S75" s="287">
        <f t="shared" si="12"/>
        <v>0</v>
      </c>
      <c r="T75" s="287">
        <f t="shared" si="8"/>
        <v>0</v>
      </c>
      <c r="U75" s="287">
        <f t="shared" si="11"/>
        <v>0</v>
      </c>
    </row>
    <row r="76" spans="2:21">
      <c r="B76">
        <v>62</v>
      </c>
      <c r="C76" s="280" t="s">
        <v>265</v>
      </c>
      <c r="D76" s="33" t="s">
        <v>314</v>
      </c>
      <c r="E76" s="38"/>
      <c r="F76" s="38"/>
      <c r="G76" s="38"/>
      <c r="H76" s="38"/>
      <c r="I76" s="281">
        <f t="shared" si="9"/>
        <v>0</v>
      </c>
      <c r="J76" s="281">
        <f t="shared" si="10"/>
        <v>0</v>
      </c>
      <c r="K76" s="281">
        <f t="shared" si="2"/>
        <v>0</v>
      </c>
      <c r="L76" s="282">
        <f t="shared" si="3"/>
        <v>0</v>
      </c>
      <c r="M76" s="283">
        <f t="shared" si="4"/>
        <v>0</v>
      </c>
      <c r="N76" s="284">
        <f t="shared" si="5"/>
        <v>0</v>
      </c>
      <c r="P76" s="288"/>
      <c r="Q76" s="286">
        <f t="shared" si="6"/>
        <v>0</v>
      </c>
      <c r="R76" s="281">
        <f t="shared" si="7"/>
        <v>0</v>
      </c>
      <c r="S76" s="287">
        <f t="shared" si="12"/>
        <v>0</v>
      </c>
      <c r="T76" s="287">
        <f t="shared" si="8"/>
        <v>0</v>
      </c>
      <c r="U76" s="287">
        <f t="shared" si="11"/>
        <v>0</v>
      </c>
    </row>
    <row r="77" spans="2:21">
      <c r="B77">
        <v>63</v>
      </c>
      <c r="C77" s="280" t="s">
        <v>265</v>
      </c>
      <c r="D77" s="33" t="s">
        <v>315</v>
      </c>
      <c r="E77" s="38"/>
      <c r="F77" s="38"/>
      <c r="G77" s="38"/>
      <c r="H77" s="38"/>
      <c r="I77" s="281">
        <f t="shared" si="9"/>
        <v>0</v>
      </c>
      <c r="J77" s="281">
        <f t="shared" si="10"/>
        <v>0</v>
      </c>
      <c r="K77" s="281">
        <f t="shared" si="2"/>
        <v>0</v>
      </c>
      <c r="L77" s="282">
        <f t="shared" si="3"/>
        <v>0</v>
      </c>
      <c r="M77" s="283">
        <f t="shared" si="4"/>
        <v>0</v>
      </c>
      <c r="N77" s="284">
        <f t="shared" si="5"/>
        <v>0</v>
      </c>
      <c r="P77" s="288"/>
      <c r="Q77" s="286">
        <f t="shared" si="6"/>
        <v>0</v>
      </c>
      <c r="R77" s="281">
        <f t="shared" si="7"/>
        <v>0</v>
      </c>
      <c r="S77" s="287">
        <f t="shared" si="12"/>
        <v>0</v>
      </c>
      <c r="T77" s="287">
        <f t="shared" si="8"/>
        <v>0</v>
      </c>
      <c r="U77" s="287">
        <f t="shared" si="11"/>
        <v>0</v>
      </c>
    </row>
    <row r="78" spans="2:21">
      <c r="B78">
        <v>64</v>
      </c>
      <c r="C78" s="280" t="s">
        <v>265</v>
      </c>
      <c r="D78" s="33" t="s">
        <v>316</v>
      </c>
      <c r="E78" s="38"/>
      <c r="F78" s="38"/>
      <c r="G78" s="38"/>
      <c r="H78" s="38"/>
      <c r="I78" s="281">
        <f t="shared" si="9"/>
        <v>0</v>
      </c>
      <c r="J78" s="281">
        <f t="shared" si="10"/>
        <v>0</v>
      </c>
      <c r="K78" s="281">
        <f t="shared" si="2"/>
        <v>0</v>
      </c>
      <c r="L78" s="282">
        <f t="shared" si="3"/>
        <v>0</v>
      </c>
      <c r="M78" s="283">
        <f t="shared" si="4"/>
        <v>0</v>
      </c>
      <c r="N78" s="284">
        <f t="shared" si="5"/>
        <v>0</v>
      </c>
      <c r="P78" s="288"/>
      <c r="Q78" s="286">
        <f t="shared" si="6"/>
        <v>0</v>
      </c>
      <c r="R78" s="281">
        <f t="shared" si="7"/>
        <v>0</v>
      </c>
      <c r="S78" s="287">
        <f t="shared" si="12"/>
        <v>0</v>
      </c>
      <c r="T78" s="287">
        <f t="shared" si="8"/>
        <v>0</v>
      </c>
      <c r="U78" s="287">
        <f t="shared" si="11"/>
        <v>0</v>
      </c>
    </row>
    <row r="79" spans="2:21">
      <c r="B79">
        <v>65</v>
      </c>
      <c r="C79" s="280" t="s">
        <v>265</v>
      </c>
      <c r="D79" s="33" t="s">
        <v>317</v>
      </c>
      <c r="E79" s="38"/>
      <c r="F79" s="38"/>
      <c r="G79" s="38"/>
      <c r="H79" s="38"/>
      <c r="I79" s="281">
        <f t="shared" si="9"/>
        <v>0</v>
      </c>
      <c r="J79" s="281">
        <f t="shared" si="10"/>
        <v>0</v>
      </c>
      <c r="K79" s="281">
        <f t="shared" ref="K79:K113" si="13">IFERROR(ROUNDDOWN(D$8/E79,0),0)</f>
        <v>0</v>
      </c>
      <c r="L79" s="282">
        <f t="shared" ref="L79:L113" si="14">SUMIF($P$14:$P$115,E79,$U$14:$U$115)*I79</f>
        <v>0</v>
      </c>
      <c r="M79" s="283">
        <f t="shared" ref="M79:M113" si="15">(L79-J79)</f>
        <v>0</v>
      </c>
      <c r="N79" s="284">
        <f t="shared" ref="N79:N113" si="16">IFERROR((L79-J79)/L$115,0)</f>
        <v>0</v>
      </c>
      <c r="P79" s="288"/>
      <c r="Q79" s="286">
        <f t="shared" si="6"/>
        <v>0</v>
      </c>
      <c r="R79" s="281">
        <f t="shared" ref="R79:R113" si="17">SUMIFS($I$14:$I$114,$E$14:$E$114,P79)</f>
        <v>0</v>
      </c>
      <c r="S79" s="287">
        <f t="shared" si="12"/>
        <v>0</v>
      </c>
      <c r="T79" s="287">
        <f t="shared" si="8"/>
        <v>0</v>
      </c>
      <c r="U79" s="287">
        <f t="shared" si="11"/>
        <v>0</v>
      </c>
    </row>
    <row r="80" spans="2:21">
      <c r="B80">
        <v>66</v>
      </c>
      <c r="C80" s="280" t="s">
        <v>265</v>
      </c>
      <c r="D80" s="33" t="s">
        <v>318</v>
      </c>
      <c r="E80" s="38"/>
      <c r="F80" s="38"/>
      <c r="G80" s="38"/>
      <c r="H80" s="38"/>
      <c r="I80" s="281">
        <f t="shared" si="9"/>
        <v>0</v>
      </c>
      <c r="J80" s="281">
        <f t="shared" ref="J80:J113" si="18">D$6*D$7*E80/1000000000*I80</f>
        <v>0</v>
      </c>
      <c r="K80" s="281">
        <f t="shared" si="13"/>
        <v>0</v>
      </c>
      <c r="L80" s="282">
        <f t="shared" si="14"/>
        <v>0</v>
      </c>
      <c r="M80" s="283">
        <f t="shared" si="15"/>
        <v>0</v>
      </c>
      <c r="N80" s="284">
        <f t="shared" si="16"/>
        <v>0</v>
      </c>
      <c r="P80" s="288"/>
      <c r="Q80" s="286">
        <f t="shared" si="6"/>
        <v>0</v>
      </c>
      <c r="R80" s="281">
        <f t="shared" si="17"/>
        <v>0</v>
      </c>
      <c r="S80" s="287">
        <f t="shared" si="12"/>
        <v>0</v>
      </c>
      <c r="T80" s="287">
        <f t="shared" si="8"/>
        <v>0</v>
      </c>
      <c r="U80" s="287">
        <f t="shared" ref="U80:U114" si="19">IFERROR(T80/R80,0)</f>
        <v>0</v>
      </c>
    </row>
    <row r="81" spans="2:21">
      <c r="B81">
        <v>67</v>
      </c>
      <c r="C81" s="280" t="s">
        <v>265</v>
      </c>
      <c r="D81" s="33" t="s">
        <v>319</v>
      </c>
      <c r="E81" s="38"/>
      <c r="F81" s="38"/>
      <c r="G81" s="38"/>
      <c r="H81" s="38"/>
      <c r="I81" s="281">
        <f t="shared" si="9"/>
        <v>0</v>
      </c>
      <c r="J81" s="281">
        <f t="shared" si="18"/>
        <v>0</v>
      </c>
      <c r="K81" s="281">
        <f t="shared" si="13"/>
        <v>0</v>
      </c>
      <c r="L81" s="282">
        <f t="shared" si="14"/>
        <v>0</v>
      </c>
      <c r="M81" s="283">
        <f t="shared" si="15"/>
        <v>0</v>
      </c>
      <c r="N81" s="284">
        <f t="shared" si="16"/>
        <v>0</v>
      </c>
      <c r="P81" s="288"/>
      <c r="Q81" s="286">
        <f t="shared" si="6"/>
        <v>0</v>
      </c>
      <c r="R81" s="281">
        <f t="shared" si="17"/>
        <v>0</v>
      </c>
      <c r="S81" s="287">
        <f t="shared" ref="S81:S114" si="20">IFERROR(ROUNDUP(R81/Q81,0),0)</f>
        <v>0</v>
      </c>
      <c r="T81" s="287">
        <f t="shared" si="8"/>
        <v>0</v>
      </c>
      <c r="U81" s="287">
        <f t="shared" si="19"/>
        <v>0</v>
      </c>
    </row>
    <row r="82" spans="2:21">
      <c r="B82">
        <v>68</v>
      </c>
      <c r="C82" s="280" t="s">
        <v>265</v>
      </c>
      <c r="D82" s="33" t="s">
        <v>320</v>
      </c>
      <c r="E82" s="38"/>
      <c r="F82" s="38"/>
      <c r="G82" s="38"/>
      <c r="H82" s="38"/>
      <c r="I82" s="281">
        <f t="shared" si="9"/>
        <v>0</v>
      </c>
      <c r="J82" s="281">
        <f t="shared" si="18"/>
        <v>0</v>
      </c>
      <c r="K82" s="281">
        <f t="shared" si="13"/>
        <v>0</v>
      </c>
      <c r="L82" s="282">
        <f t="shared" si="14"/>
        <v>0</v>
      </c>
      <c r="M82" s="283">
        <f t="shared" si="15"/>
        <v>0</v>
      </c>
      <c r="N82" s="284">
        <f t="shared" si="16"/>
        <v>0</v>
      </c>
      <c r="P82" s="288"/>
      <c r="Q82" s="286">
        <f t="shared" si="6"/>
        <v>0</v>
      </c>
      <c r="R82" s="281">
        <f t="shared" si="17"/>
        <v>0</v>
      </c>
      <c r="S82" s="287">
        <f t="shared" si="20"/>
        <v>0</v>
      </c>
      <c r="T82" s="287">
        <f t="shared" si="8"/>
        <v>0</v>
      </c>
      <c r="U82" s="287">
        <f t="shared" si="19"/>
        <v>0</v>
      </c>
    </row>
    <row r="83" spans="2:21">
      <c r="B83">
        <v>69</v>
      </c>
      <c r="C83" s="280" t="s">
        <v>265</v>
      </c>
      <c r="D83" s="33" t="s">
        <v>321</v>
      </c>
      <c r="E83" s="38"/>
      <c r="F83" s="38"/>
      <c r="G83" s="38"/>
      <c r="H83" s="38"/>
      <c r="I83" s="281">
        <f t="shared" si="9"/>
        <v>0</v>
      </c>
      <c r="J83" s="281">
        <f t="shared" si="18"/>
        <v>0</v>
      </c>
      <c r="K83" s="281">
        <f t="shared" si="13"/>
        <v>0</v>
      </c>
      <c r="L83" s="282">
        <f t="shared" si="14"/>
        <v>0</v>
      </c>
      <c r="M83" s="283">
        <f t="shared" si="15"/>
        <v>0</v>
      </c>
      <c r="N83" s="284">
        <f t="shared" si="16"/>
        <v>0</v>
      </c>
      <c r="P83" s="288"/>
      <c r="Q83" s="286">
        <f t="shared" si="6"/>
        <v>0</v>
      </c>
      <c r="R83" s="281">
        <f t="shared" si="17"/>
        <v>0</v>
      </c>
      <c r="S83" s="287">
        <f t="shared" si="20"/>
        <v>0</v>
      </c>
      <c r="T83" s="287">
        <f t="shared" si="8"/>
        <v>0</v>
      </c>
      <c r="U83" s="287">
        <f t="shared" si="19"/>
        <v>0</v>
      </c>
    </row>
    <row r="84" spans="2:21">
      <c r="B84">
        <v>70</v>
      </c>
      <c r="C84" s="280" t="s">
        <v>265</v>
      </c>
      <c r="D84" s="33" t="s">
        <v>322</v>
      </c>
      <c r="E84" s="38"/>
      <c r="F84" s="38"/>
      <c r="G84" s="38"/>
      <c r="H84" s="38"/>
      <c r="I84" s="281">
        <f t="shared" si="9"/>
        <v>0</v>
      </c>
      <c r="J84" s="281">
        <f t="shared" si="18"/>
        <v>0</v>
      </c>
      <c r="K84" s="281">
        <f t="shared" si="13"/>
        <v>0</v>
      </c>
      <c r="L84" s="282">
        <f t="shared" si="14"/>
        <v>0</v>
      </c>
      <c r="M84" s="283">
        <f t="shared" si="15"/>
        <v>0</v>
      </c>
      <c r="N84" s="284">
        <f t="shared" si="16"/>
        <v>0</v>
      </c>
      <c r="P84" s="288"/>
      <c r="Q84" s="286">
        <f t="shared" si="6"/>
        <v>0</v>
      </c>
      <c r="R84" s="281">
        <f t="shared" si="17"/>
        <v>0</v>
      </c>
      <c r="S84" s="287">
        <f t="shared" si="20"/>
        <v>0</v>
      </c>
      <c r="T84" s="287">
        <f t="shared" si="8"/>
        <v>0</v>
      </c>
      <c r="U84" s="287">
        <f t="shared" si="19"/>
        <v>0</v>
      </c>
    </row>
    <row r="85" spans="2:21">
      <c r="B85">
        <v>71</v>
      </c>
      <c r="C85" s="280" t="s">
        <v>265</v>
      </c>
      <c r="D85" s="33" t="s">
        <v>323</v>
      </c>
      <c r="E85" s="38"/>
      <c r="F85" s="38"/>
      <c r="G85" s="38"/>
      <c r="H85" s="38"/>
      <c r="I85" s="281">
        <f t="shared" si="9"/>
        <v>0</v>
      </c>
      <c r="J85" s="281">
        <f t="shared" si="18"/>
        <v>0</v>
      </c>
      <c r="K85" s="281">
        <f t="shared" si="13"/>
        <v>0</v>
      </c>
      <c r="L85" s="282">
        <f t="shared" si="14"/>
        <v>0</v>
      </c>
      <c r="M85" s="283">
        <f t="shared" si="15"/>
        <v>0</v>
      </c>
      <c r="N85" s="284">
        <f t="shared" si="16"/>
        <v>0</v>
      </c>
      <c r="P85" s="288"/>
      <c r="Q85" s="286">
        <f t="shared" si="6"/>
        <v>0</v>
      </c>
      <c r="R85" s="281">
        <f t="shared" si="17"/>
        <v>0</v>
      </c>
      <c r="S85" s="287">
        <f t="shared" si="20"/>
        <v>0</v>
      </c>
      <c r="T85" s="287">
        <f t="shared" si="8"/>
        <v>0</v>
      </c>
      <c r="U85" s="287">
        <f t="shared" si="19"/>
        <v>0</v>
      </c>
    </row>
    <row r="86" spans="2:21">
      <c r="B86">
        <v>72</v>
      </c>
      <c r="C86" s="280" t="s">
        <v>265</v>
      </c>
      <c r="D86" s="33" t="s">
        <v>324</v>
      </c>
      <c r="E86" s="38"/>
      <c r="F86" s="38"/>
      <c r="G86" s="38"/>
      <c r="H86" s="38"/>
      <c r="I86" s="281">
        <f t="shared" si="9"/>
        <v>0</v>
      </c>
      <c r="J86" s="281">
        <f t="shared" si="18"/>
        <v>0</v>
      </c>
      <c r="K86" s="281">
        <f t="shared" si="13"/>
        <v>0</v>
      </c>
      <c r="L86" s="282">
        <f t="shared" si="14"/>
        <v>0</v>
      </c>
      <c r="M86" s="283">
        <f t="shared" si="15"/>
        <v>0</v>
      </c>
      <c r="N86" s="284">
        <f t="shared" si="16"/>
        <v>0</v>
      </c>
      <c r="P86" s="288"/>
      <c r="Q86" s="286">
        <f t="shared" si="6"/>
        <v>0</v>
      </c>
      <c r="R86" s="281">
        <f t="shared" si="17"/>
        <v>0</v>
      </c>
      <c r="S86" s="287">
        <f t="shared" si="20"/>
        <v>0</v>
      </c>
      <c r="T86" s="287">
        <f t="shared" si="8"/>
        <v>0</v>
      </c>
      <c r="U86" s="287">
        <f t="shared" si="19"/>
        <v>0</v>
      </c>
    </row>
    <row r="87" spans="2:21">
      <c r="B87">
        <v>73</v>
      </c>
      <c r="C87" s="280" t="s">
        <v>265</v>
      </c>
      <c r="D87" s="33" t="s">
        <v>325</v>
      </c>
      <c r="E87" s="38"/>
      <c r="F87" s="38"/>
      <c r="G87" s="38"/>
      <c r="H87" s="38"/>
      <c r="I87" s="281">
        <f t="shared" si="9"/>
        <v>0</v>
      </c>
      <c r="J87" s="281">
        <f t="shared" si="18"/>
        <v>0</v>
      </c>
      <c r="K87" s="281">
        <f t="shared" si="13"/>
        <v>0</v>
      </c>
      <c r="L87" s="282">
        <f t="shared" si="14"/>
        <v>0</v>
      </c>
      <c r="M87" s="283">
        <f t="shared" si="15"/>
        <v>0</v>
      </c>
      <c r="N87" s="284">
        <f t="shared" si="16"/>
        <v>0</v>
      </c>
      <c r="P87" s="288"/>
      <c r="Q87" s="286">
        <f t="shared" si="6"/>
        <v>0</v>
      </c>
      <c r="R87" s="281">
        <f t="shared" si="17"/>
        <v>0</v>
      </c>
      <c r="S87" s="287">
        <f t="shared" si="20"/>
        <v>0</v>
      </c>
      <c r="T87" s="287">
        <f t="shared" si="8"/>
        <v>0</v>
      </c>
      <c r="U87" s="287">
        <f t="shared" si="19"/>
        <v>0</v>
      </c>
    </row>
    <row r="88" spans="2:21">
      <c r="B88">
        <v>74</v>
      </c>
      <c r="C88" s="280" t="s">
        <v>265</v>
      </c>
      <c r="D88" s="33" t="s">
        <v>326</v>
      </c>
      <c r="E88" s="38"/>
      <c r="F88" s="38"/>
      <c r="G88" s="38"/>
      <c r="H88" s="38"/>
      <c r="I88" s="281">
        <f t="shared" si="9"/>
        <v>0</v>
      </c>
      <c r="J88" s="281">
        <f t="shared" si="18"/>
        <v>0</v>
      </c>
      <c r="K88" s="281">
        <f t="shared" si="13"/>
        <v>0</v>
      </c>
      <c r="L88" s="282">
        <f t="shared" si="14"/>
        <v>0</v>
      </c>
      <c r="M88" s="283">
        <f t="shared" si="15"/>
        <v>0</v>
      </c>
      <c r="N88" s="284">
        <f t="shared" si="16"/>
        <v>0</v>
      </c>
      <c r="P88" s="288"/>
      <c r="Q88" s="286">
        <f t="shared" si="6"/>
        <v>0</v>
      </c>
      <c r="R88" s="281">
        <f t="shared" si="17"/>
        <v>0</v>
      </c>
      <c r="S88" s="287">
        <f t="shared" si="20"/>
        <v>0</v>
      </c>
      <c r="T88" s="287">
        <f t="shared" si="8"/>
        <v>0</v>
      </c>
      <c r="U88" s="287">
        <f t="shared" si="19"/>
        <v>0</v>
      </c>
    </row>
    <row r="89" spans="2:21">
      <c r="B89">
        <v>75</v>
      </c>
      <c r="C89" s="280" t="s">
        <v>265</v>
      </c>
      <c r="D89" s="33" t="s">
        <v>327</v>
      </c>
      <c r="E89" s="38"/>
      <c r="F89" s="38"/>
      <c r="G89" s="38"/>
      <c r="H89" s="38"/>
      <c r="I89" s="281">
        <f t="shared" si="9"/>
        <v>0</v>
      </c>
      <c r="J89" s="281">
        <f t="shared" si="18"/>
        <v>0</v>
      </c>
      <c r="K89" s="281">
        <f t="shared" si="13"/>
        <v>0</v>
      </c>
      <c r="L89" s="282">
        <f t="shared" si="14"/>
        <v>0</v>
      </c>
      <c r="M89" s="283">
        <f t="shared" si="15"/>
        <v>0</v>
      </c>
      <c r="N89" s="284">
        <f t="shared" si="16"/>
        <v>0</v>
      </c>
      <c r="P89" s="288"/>
      <c r="Q89" s="286">
        <f t="shared" si="6"/>
        <v>0</v>
      </c>
      <c r="R89" s="281">
        <f t="shared" si="17"/>
        <v>0</v>
      </c>
      <c r="S89" s="287">
        <f t="shared" si="20"/>
        <v>0</v>
      </c>
      <c r="T89" s="287">
        <f t="shared" si="8"/>
        <v>0</v>
      </c>
      <c r="U89" s="287">
        <f t="shared" si="19"/>
        <v>0</v>
      </c>
    </row>
    <row r="90" spans="2:21">
      <c r="B90">
        <v>76</v>
      </c>
      <c r="C90" s="280" t="s">
        <v>265</v>
      </c>
      <c r="D90" s="33" t="s">
        <v>328</v>
      </c>
      <c r="E90" s="38"/>
      <c r="F90" s="38"/>
      <c r="G90" s="38"/>
      <c r="H90" s="38"/>
      <c r="I90" s="281">
        <f t="shared" si="9"/>
        <v>0</v>
      </c>
      <c r="J90" s="281">
        <f t="shared" si="18"/>
        <v>0</v>
      </c>
      <c r="K90" s="281">
        <f t="shared" si="13"/>
        <v>0</v>
      </c>
      <c r="L90" s="282">
        <f t="shared" si="14"/>
        <v>0</v>
      </c>
      <c r="M90" s="283">
        <f t="shared" si="15"/>
        <v>0</v>
      </c>
      <c r="N90" s="284">
        <f t="shared" si="16"/>
        <v>0</v>
      </c>
      <c r="P90" s="288"/>
      <c r="Q90" s="286">
        <f t="shared" si="6"/>
        <v>0</v>
      </c>
      <c r="R90" s="281">
        <f t="shared" si="17"/>
        <v>0</v>
      </c>
      <c r="S90" s="287">
        <f t="shared" si="20"/>
        <v>0</v>
      </c>
      <c r="T90" s="287">
        <f t="shared" si="8"/>
        <v>0</v>
      </c>
      <c r="U90" s="287">
        <f t="shared" si="19"/>
        <v>0</v>
      </c>
    </row>
    <row r="91" spans="2:21">
      <c r="B91">
        <v>77</v>
      </c>
      <c r="C91" s="280" t="s">
        <v>265</v>
      </c>
      <c r="D91" s="33" t="s">
        <v>329</v>
      </c>
      <c r="E91" s="38"/>
      <c r="F91" s="38"/>
      <c r="G91" s="38"/>
      <c r="H91" s="38"/>
      <c r="I91" s="281">
        <f t="shared" si="9"/>
        <v>0</v>
      </c>
      <c r="J91" s="281">
        <f t="shared" si="18"/>
        <v>0</v>
      </c>
      <c r="K91" s="281">
        <f t="shared" si="13"/>
        <v>0</v>
      </c>
      <c r="L91" s="282">
        <f t="shared" si="14"/>
        <v>0</v>
      </c>
      <c r="M91" s="283">
        <f t="shared" si="15"/>
        <v>0</v>
      </c>
      <c r="N91" s="284">
        <f t="shared" si="16"/>
        <v>0</v>
      </c>
      <c r="P91" s="288"/>
      <c r="Q91" s="286">
        <f t="shared" si="6"/>
        <v>0</v>
      </c>
      <c r="R91" s="281">
        <f t="shared" si="17"/>
        <v>0</v>
      </c>
      <c r="S91" s="287">
        <f t="shared" si="20"/>
        <v>0</v>
      </c>
      <c r="T91" s="287">
        <f t="shared" si="8"/>
        <v>0</v>
      </c>
      <c r="U91" s="287">
        <f t="shared" si="19"/>
        <v>0</v>
      </c>
    </row>
    <row r="92" spans="2:21">
      <c r="B92">
        <v>78</v>
      </c>
      <c r="C92" s="280" t="s">
        <v>265</v>
      </c>
      <c r="D92" s="33" t="s">
        <v>330</v>
      </c>
      <c r="E92" s="38"/>
      <c r="F92" s="38"/>
      <c r="G92" s="38"/>
      <c r="H92" s="38"/>
      <c r="I92" s="281">
        <f t="shared" si="9"/>
        <v>0</v>
      </c>
      <c r="J92" s="281">
        <f t="shared" si="18"/>
        <v>0</v>
      </c>
      <c r="K92" s="281">
        <f t="shared" si="13"/>
        <v>0</v>
      </c>
      <c r="L92" s="282">
        <f t="shared" si="14"/>
        <v>0</v>
      </c>
      <c r="M92" s="283">
        <f t="shared" si="15"/>
        <v>0</v>
      </c>
      <c r="N92" s="284">
        <f t="shared" si="16"/>
        <v>0</v>
      </c>
      <c r="P92" s="288"/>
      <c r="Q92" s="286">
        <f t="shared" si="6"/>
        <v>0</v>
      </c>
      <c r="R92" s="281">
        <f t="shared" si="17"/>
        <v>0</v>
      </c>
      <c r="S92" s="287">
        <f t="shared" si="20"/>
        <v>0</v>
      </c>
      <c r="T92" s="287">
        <f t="shared" si="8"/>
        <v>0</v>
      </c>
      <c r="U92" s="287">
        <f t="shared" si="19"/>
        <v>0</v>
      </c>
    </row>
    <row r="93" spans="2:21">
      <c r="B93">
        <v>79</v>
      </c>
      <c r="C93" s="280" t="s">
        <v>265</v>
      </c>
      <c r="D93" s="33" t="s">
        <v>331</v>
      </c>
      <c r="E93" s="38"/>
      <c r="F93" s="38"/>
      <c r="G93" s="38"/>
      <c r="H93" s="38"/>
      <c r="I93" s="281">
        <f t="shared" si="9"/>
        <v>0</v>
      </c>
      <c r="J93" s="281">
        <f t="shared" si="18"/>
        <v>0</v>
      </c>
      <c r="K93" s="281">
        <f t="shared" si="13"/>
        <v>0</v>
      </c>
      <c r="L93" s="282">
        <f t="shared" si="14"/>
        <v>0</v>
      </c>
      <c r="M93" s="283">
        <f t="shared" si="15"/>
        <v>0</v>
      </c>
      <c r="N93" s="284">
        <f t="shared" si="16"/>
        <v>0</v>
      </c>
      <c r="P93" s="288"/>
      <c r="Q93" s="286">
        <f t="shared" si="6"/>
        <v>0</v>
      </c>
      <c r="R93" s="281">
        <f t="shared" si="17"/>
        <v>0</v>
      </c>
      <c r="S93" s="287">
        <f t="shared" si="20"/>
        <v>0</v>
      </c>
      <c r="T93" s="287">
        <f t="shared" si="8"/>
        <v>0</v>
      </c>
      <c r="U93" s="287">
        <f t="shared" si="19"/>
        <v>0</v>
      </c>
    </row>
    <row r="94" spans="2:21">
      <c r="B94">
        <v>80</v>
      </c>
      <c r="C94" s="280" t="s">
        <v>265</v>
      </c>
      <c r="D94" s="33" t="s">
        <v>332</v>
      </c>
      <c r="E94" s="38"/>
      <c r="F94" s="38"/>
      <c r="G94" s="38"/>
      <c r="H94" s="38"/>
      <c r="I94" s="281">
        <f t="shared" si="9"/>
        <v>0</v>
      </c>
      <c r="J94" s="281">
        <f t="shared" si="18"/>
        <v>0</v>
      </c>
      <c r="K94" s="281">
        <f t="shared" si="13"/>
        <v>0</v>
      </c>
      <c r="L94" s="282">
        <f t="shared" si="14"/>
        <v>0</v>
      </c>
      <c r="M94" s="283">
        <f t="shared" si="15"/>
        <v>0</v>
      </c>
      <c r="N94" s="284">
        <f t="shared" si="16"/>
        <v>0</v>
      </c>
      <c r="P94" s="288"/>
      <c r="Q94" s="286">
        <f t="shared" si="6"/>
        <v>0</v>
      </c>
      <c r="R94" s="281">
        <f t="shared" si="17"/>
        <v>0</v>
      </c>
      <c r="S94" s="287">
        <f t="shared" si="20"/>
        <v>0</v>
      </c>
      <c r="T94" s="287">
        <f t="shared" si="8"/>
        <v>0</v>
      </c>
      <c r="U94" s="287">
        <f t="shared" si="19"/>
        <v>0</v>
      </c>
    </row>
    <row r="95" spans="2:21">
      <c r="B95">
        <v>81</v>
      </c>
      <c r="C95" s="280" t="s">
        <v>265</v>
      </c>
      <c r="D95" s="33" t="s">
        <v>333</v>
      </c>
      <c r="E95" s="38"/>
      <c r="F95" s="38"/>
      <c r="G95" s="38"/>
      <c r="H95" s="38"/>
      <c r="I95" s="281">
        <f t="shared" si="9"/>
        <v>0</v>
      </c>
      <c r="J95" s="281">
        <f t="shared" si="18"/>
        <v>0</v>
      </c>
      <c r="K95" s="281">
        <f t="shared" si="13"/>
        <v>0</v>
      </c>
      <c r="L95" s="282">
        <f t="shared" si="14"/>
        <v>0</v>
      </c>
      <c r="M95" s="283">
        <f t="shared" si="15"/>
        <v>0</v>
      </c>
      <c r="N95" s="284">
        <f t="shared" si="16"/>
        <v>0</v>
      </c>
      <c r="P95" s="288"/>
      <c r="Q95" s="286">
        <f t="shared" si="6"/>
        <v>0</v>
      </c>
      <c r="R95" s="281">
        <f t="shared" si="17"/>
        <v>0</v>
      </c>
      <c r="S95" s="287">
        <f t="shared" si="20"/>
        <v>0</v>
      </c>
      <c r="T95" s="287">
        <f t="shared" si="8"/>
        <v>0</v>
      </c>
      <c r="U95" s="287">
        <f t="shared" si="19"/>
        <v>0</v>
      </c>
    </row>
    <row r="96" spans="2:21">
      <c r="B96">
        <v>82</v>
      </c>
      <c r="C96" s="280" t="s">
        <v>265</v>
      </c>
      <c r="D96" s="33" t="s">
        <v>334</v>
      </c>
      <c r="E96" s="38"/>
      <c r="F96" s="38"/>
      <c r="G96" s="38"/>
      <c r="H96" s="38"/>
      <c r="I96" s="281">
        <f t="shared" si="9"/>
        <v>0</v>
      </c>
      <c r="J96" s="281">
        <f t="shared" si="18"/>
        <v>0</v>
      </c>
      <c r="K96" s="281">
        <f t="shared" si="13"/>
        <v>0</v>
      </c>
      <c r="L96" s="282">
        <f t="shared" si="14"/>
        <v>0</v>
      </c>
      <c r="M96" s="283">
        <f t="shared" si="15"/>
        <v>0</v>
      </c>
      <c r="N96" s="284">
        <f t="shared" si="16"/>
        <v>0</v>
      </c>
      <c r="P96" s="288"/>
      <c r="Q96" s="286">
        <f t="shared" si="6"/>
        <v>0</v>
      </c>
      <c r="R96" s="281">
        <f t="shared" si="17"/>
        <v>0</v>
      </c>
      <c r="S96" s="287">
        <f t="shared" si="20"/>
        <v>0</v>
      </c>
      <c r="T96" s="287">
        <f t="shared" si="8"/>
        <v>0</v>
      </c>
      <c r="U96" s="287">
        <f t="shared" si="19"/>
        <v>0</v>
      </c>
    </row>
    <row r="97" spans="2:21">
      <c r="B97">
        <v>83</v>
      </c>
      <c r="C97" s="280" t="s">
        <v>265</v>
      </c>
      <c r="D97" s="33" t="s">
        <v>335</v>
      </c>
      <c r="E97" s="38"/>
      <c r="F97" s="38"/>
      <c r="G97" s="38"/>
      <c r="H97" s="38"/>
      <c r="I97" s="281">
        <f t="shared" si="9"/>
        <v>0</v>
      </c>
      <c r="J97" s="281">
        <f t="shared" si="18"/>
        <v>0</v>
      </c>
      <c r="K97" s="281">
        <f t="shared" si="13"/>
        <v>0</v>
      </c>
      <c r="L97" s="282">
        <f t="shared" si="14"/>
        <v>0</v>
      </c>
      <c r="M97" s="283">
        <f t="shared" si="15"/>
        <v>0</v>
      </c>
      <c r="N97" s="284">
        <f t="shared" si="16"/>
        <v>0</v>
      </c>
      <c r="P97" s="288"/>
      <c r="Q97" s="286">
        <f t="shared" si="6"/>
        <v>0</v>
      </c>
      <c r="R97" s="281">
        <f t="shared" si="17"/>
        <v>0</v>
      </c>
      <c r="S97" s="287">
        <f t="shared" si="20"/>
        <v>0</v>
      </c>
      <c r="T97" s="287">
        <f t="shared" si="8"/>
        <v>0</v>
      </c>
      <c r="U97" s="287">
        <f t="shared" si="19"/>
        <v>0</v>
      </c>
    </row>
    <row r="98" spans="2:21">
      <c r="B98">
        <v>84</v>
      </c>
      <c r="C98" s="280" t="s">
        <v>265</v>
      </c>
      <c r="D98" s="33" t="s">
        <v>336</v>
      </c>
      <c r="E98" s="38"/>
      <c r="F98" s="38"/>
      <c r="G98" s="38"/>
      <c r="H98" s="38"/>
      <c r="I98" s="281">
        <f t="shared" si="9"/>
        <v>0</v>
      </c>
      <c r="J98" s="281">
        <f t="shared" si="18"/>
        <v>0</v>
      </c>
      <c r="K98" s="281">
        <f t="shared" si="13"/>
        <v>0</v>
      </c>
      <c r="L98" s="282">
        <f t="shared" si="14"/>
        <v>0</v>
      </c>
      <c r="M98" s="283">
        <f t="shared" si="15"/>
        <v>0</v>
      </c>
      <c r="N98" s="284">
        <f t="shared" si="16"/>
        <v>0</v>
      </c>
      <c r="P98" s="288"/>
      <c r="Q98" s="286">
        <f t="shared" si="6"/>
        <v>0</v>
      </c>
      <c r="R98" s="281">
        <f t="shared" si="17"/>
        <v>0</v>
      </c>
      <c r="S98" s="287">
        <f t="shared" si="20"/>
        <v>0</v>
      </c>
      <c r="T98" s="287">
        <f t="shared" si="8"/>
        <v>0</v>
      </c>
      <c r="U98" s="287">
        <f t="shared" si="19"/>
        <v>0</v>
      </c>
    </row>
    <row r="99" spans="2:21">
      <c r="B99">
        <v>85</v>
      </c>
      <c r="C99" s="280" t="s">
        <v>265</v>
      </c>
      <c r="D99" s="33" t="s">
        <v>337</v>
      </c>
      <c r="E99" s="38"/>
      <c r="F99" s="38"/>
      <c r="G99" s="38"/>
      <c r="H99" s="38"/>
      <c r="I99" s="281">
        <f t="shared" si="9"/>
        <v>0</v>
      </c>
      <c r="J99" s="281">
        <f t="shared" si="18"/>
        <v>0</v>
      </c>
      <c r="K99" s="281">
        <f t="shared" si="13"/>
        <v>0</v>
      </c>
      <c r="L99" s="282">
        <f t="shared" si="14"/>
        <v>0</v>
      </c>
      <c r="M99" s="283">
        <f t="shared" si="15"/>
        <v>0</v>
      </c>
      <c r="N99" s="284">
        <f t="shared" si="16"/>
        <v>0</v>
      </c>
      <c r="P99" s="288"/>
      <c r="Q99" s="286">
        <f t="shared" si="6"/>
        <v>0</v>
      </c>
      <c r="R99" s="281">
        <f t="shared" si="17"/>
        <v>0</v>
      </c>
      <c r="S99" s="287">
        <f t="shared" si="20"/>
        <v>0</v>
      </c>
      <c r="T99" s="287">
        <f t="shared" si="8"/>
        <v>0</v>
      </c>
      <c r="U99" s="287">
        <f t="shared" si="19"/>
        <v>0</v>
      </c>
    </row>
    <row r="100" spans="2:21">
      <c r="B100">
        <v>86</v>
      </c>
      <c r="C100" s="280" t="s">
        <v>265</v>
      </c>
      <c r="D100" s="33" t="s">
        <v>338</v>
      </c>
      <c r="E100" s="38"/>
      <c r="F100" s="38"/>
      <c r="G100" s="38"/>
      <c r="H100" s="38"/>
      <c r="I100" s="281">
        <f t="shared" si="9"/>
        <v>0</v>
      </c>
      <c r="J100" s="281">
        <f t="shared" si="18"/>
        <v>0</v>
      </c>
      <c r="K100" s="281">
        <f t="shared" si="13"/>
        <v>0</v>
      </c>
      <c r="L100" s="282">
        <f t="shared" si="14"/>
        <v>0</v>
      </c>
      <c r="M100" s="283">
        <f t="shared" si="15"/>
        <v>0</v>
      </c>
      <c r="N100" s="284">
        <f t="shared" si="16"/>
        <v>0</v>
      </c>
      <c r="P100" s="288"/>
      <c r="Q100" s="286">
        <f t="shared" si="6"/>
        <v>0</v>
      </c>
      <c r="R100" s="281">
        <f t="shared" si="17"/>
        <v>0</v>
      </c>
      <c r="S100" s="287">
        <f t="shared" si="20"/>
        <v>0</v>
      </c>
      <c r="T100" s="287">
        <f t="shared" si="8"/>
        <v>0</v>
      </c>
      <c r="U100" s="287">
        <f t="shared" si="19"/>
        <v>0</v>
      </c>
    </row>
    <row r="101" spans="2:21">
      <c r="B101">
        <v>87</v>
      </c>
      <c r="C101" s="280" t="s">
        <v>265</v>
      </c>
      <c r="D101" s="33" t="s">
        <v>339</v>
      </c>
      <c r="E101" s="38"/>
      <c r="F101" s="38"/>
      <c r="G101" s="38"/>
      <c r="H101" s="38"/>
      <c r="I101" s="281">
        <f t="shared" si="9"/>
        <v>0</v>
      </c>
      <c r="J101" s="281">
        <f t="shared" si="18"/>
        <v>0</v>
      </c>
      <c r="K101" s="281">
        <f t="shared" si="13"/>
        <v>0</v>
      </c>
      <c r="L101" s="282">
        <f t="shared" si="14"/>
        <v>0</v>
      </c>
      <c r="M101" s="283">
        <f t="shared" si="15"/>
        <v>0</v>
      </c>
      <c r="N101" s="284">
        <f t="shared" si="16"/>
        <v>0</v>
      </c>
      <c r="P101" s="288"/>
      <c r="Q101" s="286">
        <f t="shared" si="6"/>
        <v>0</v>
      </c>
      <c r="R101" s="281">
        <f t="shared" si="17"/>
        <v>0</v>
      </c>
      <c r="S101" s="287">
        <f t="shared" si="20"/>
        <v>0</v>
      </c>
      <c r="T101" s="287">
        <f t="shared" si="8"/>
        <v>0</v>
      </c>
      <c r="U101" s="287">
        <f t="shared" si="19"/>
        <v>0</v>
      </c>
    </row>
    <row r="102" spans="2:21">
      <c r="B102">
        <v>88</v>
      </c>
      <c r="C102" s="280" t="s">
        <v>265</v>
      </c>
      <c r="D102" s="33" t="s">
        <v>340</v>
      </c>
      <c r="E102" s="38"/>
      <c r="F102" s="38"/>
      <c r="G102" s="38"/>
      <c r="H102" s="38"/>
      <c r="I102" s="281">
        <f t="shared" si="9"/>
        <v>0</v>
      </c>
      <c r="J102" s="281">
        <f t="shared" si="18"/>
        <v>0</v>
      </c>
      <c r="K102" s="281">
        <f t="shared" si="13"/>
        <v>0</v>
      </c>
      <c r="L102" s="282">
        <f t="shared" si="14"/>
        <v>0</v>
      </c>
      <c r="M102" s="283">
        <f t="shared" si="15"/>
        <v>0</v>
      </c>
      <c r="N102" s="284">
        <f t="shared" si="16"/>
        <v>0</v>
      </c>
      <c r="P102" s="288"/>
      <c r="Q102" s="286">
        <f t="shared" si="6"/>
        <v>0</v>
      </c>
      <c r="R102" s="281">
        <f t="shared" si="17"/>
        <v>0</v>
      </c>
      <c r="S102" s="287">
        <f t="shared" si="20"/>
        <v>0</v>
      </c>
      <c r="T102" s="287">
        <f t="shared" si="8"/>
        <v>0</v>
      </c>
      <c r="U102" s="287">
        <f t="shared" si="19"/>
        <v>0</v>
      </c>
    </row>
    <row r="103" spans="2:21">
      <c r="B103">
        <v>89</v>
      </c>
      <c r="C103" s="280" t="s">
        <v>265</v>
      </c>
      <c r="D103" s="33" t="s">
        <v>341</v>
      </c>
      <c r="E103" s="38"/>
      <c r="F103" s="38"/>
      <c r="G103" s="38"/>
      <c r="H103" s="38"/>
      <c r="I103" s="281">
        <f t="shared" si="9"/>
        <v>0</v>
      </c>
      <c r="J103" s="281">
        <f t="shared" si="18"/>
        <v>0</v>
      </c>
      <c r="K103" s="281">
        <f t="shared" si="13"/>
        <v>0</v>
      </c>
      <c r="L103" s="282">
        <f t="shared" si="14"/>
        <v>0</v>
      </c>
      <c r="M103" s="283">
        <f t="shared" si="15"/>
        <v>0</v>
      </c>
      <c r="N103" s="284">
        <f t="shared" si="16"/>
        <v>0</v>
      </c>
      <c r="P103" s="288"/>
      <c r="Q103" s="286">
        <f t="shared" si="6"/>
        <v>0</v>
      </c>
      <c r="R103" s="281">
        <f t="shared" si="17"/>
        <v>0</v>
      </c>
      <c r="S103" s="287">
        <f t="shared" si="20"/>
        <v>0</v>
      </c>
      <c r="T103" s="287">
        <f t="shared" si="8"/>
        <v>0</v>
      </c>
      <c r="U103" s="287">
        <f t="shared" si="19"/>
        <v>0</v>
      </c>
    </row>
    <row r="104" spans="2:21">
      <c r="B104">
        <v>90</v>
      </c>
      <c r="C104" s="280" t="s">
        <v>265</v>
      </c>
      <c r="D104" s="33" t="s">
        <v>342</v>
      </c>
      <c r="E104" s="38"/>
      <c r="F104" s="38"/>
      <c r="G104" s="38"/>
      <c r="H104" s="38"/>
      <c r="I104" s="281">
        <f t="shared" si="9"/>
        <v>0</v>
      </c>
      <c r="J104" s="281">
        <f t="shared" si="18"/>
        <v>0</v>
      </c>
      <c r="K104" s="281">
        <f t="shared" si="13"/>
        <v>0</v>
      </c>
      <c r="L104" s="282">
        <f t="shared" si="14"/>
        <v>0</v>
      </c>
      <c r="M104" s="283">
        <f t="shared" si="15"/>
        <v>0</v>
      </c>
      <c r="N104" s="284">
        <f t="shared" si="16"/>
        <v>0</v>
      </c>
      <c r="P104" s="288"/>
      <c r="Q104" s="286">
        <f t="shared" si="6"/>
        <v>0</v>
      </c>
      <c r="R104" s="281">
        <f t="shared" si="17"/>
        <v>0</v>
      </c>
      <c r="S104" s="287">
        <f t="shared" si="20"/>
        <v>0</v>
      </c>
      <c r="T104" s="287">
        <f t="shared" si="8"/>
        <v>0</v>
      </c>
      <c r="U104" s="287">
        <f t="shared" si="19"/>
        <v>0</v>
      </c>
    </row>
    <row r="105" spans="2:21">
      <c r="B105">
        <v>91</v>
      </c>
      <c r="C105" s="280" t="s">
        <v>265</v>
      </c>
      <c r="D105" s="33" t="s">
        <v>343</v>
      </c>
      <c r="E105" s="38"/>
      <c r="F105" s="38"/>
      <c r="G105" s="38"/>
      <c r="H105" s="38"/>
      <c r="I105" s="281">
        <f t="shared" si="9"/>
        <v>0</v>
      </c>
      <c r="J105" s="281">
        <f t="shared" si="18"/>
        <v>0</v>
      </c>
      <c r="K105" s="281">
        <f t="shared" si="13"/>
        <v>0</v>
      </c>
      <c r="L105" s="282">
        <f t="shared" si="14"/>
        <v>0</v>
      </c>
      <c r="M105" s="283">
        <f t="shared" si="15"/>
        <v>0</v>
      </c>
      <c r="N105" s="284">
        <f t="shared" si="16"/>
        <v>0</v>
      </c>
      <c r="P105" s="288"/>
      <c r="Q105" s="286">
        <f t="shared" si="6"/>
        <v>0</v>
      </c>
      <c r="R105" s="281">
        <f t="shared" si="17"/>
        <v>0</v>
      </c>
      <c r="S105" s="287">
        <f t="shared" si="20"/>
        <v>0</v>
      </c>
      <c r="T105" s="287">
        <f t="shared" si="8"/>
        <v>0</v>
      </c>
      <c r="U105" s="287">
        <f t="shared" si="19"/>
        <v>0</v>
      </c>
    </row>
    <row r="106" spans="2:21">
      <c r="B106">
        <v>92</v>
      </c>
      <c r="C106" s="280" t="s">
        <v>265</v>
      </c>
      <c r="D106" s="33" t="s">
        <v>344</v>
      </c>
      <c r="E106" s="38"/>
      <c r="F106" s="38"/>
      <c r="G106" s="38"/>
      <c r="H106" s="38"/>
      <c r="I106" s="281">
        <f t="shared" si="9"/>
        <v>0</v>
      </c>
      <c r="J106" s="281">
        <f t="shared" si="18"/>
        <v>0</v>
      </c>
      <c r="K106" s="281">
        <f t="shared" si="13"/>
        <v>0</v>
      </c>
      <c r="L106" s="282">
        <f t="shared" si="14"/>
        <v>0</v>
      </c>
      <c r="M106" s="283">
        <f t="shared" si="15"/>
        <v>0</v>
      </c>
      <c r="N106" s="284">
        <f t="shared" si="16"/>
        <v>0</v>
      </c>
      <c r="P106" s="288"/>
      <c r="Q106" s="286">
        <f t="shared" si="6"/>
        <v>0</v>
      </c>
      <c r="R106" s="281">
        <f t="shared" si="17"/>
        <v>0</v>
      </c>
      <c r="S106" s="287">
        <f t="shared" si="20"/>
        <v>0</v>
      </c>
      <c r="T106" s="287">
        <f t="shared" si="8"/>
        <v>0</v>
      </c>
      <c r="U106" s="287">
        <f t="shared" si="19"/>
        <v>0</v>
      </c>
    </row>
    <row r="107" spans="2:21">
      <c r="B107">
        <v>93</v>
      </c>
      <c r="C107" s="280" t="s">
        <v>265</v>
      </c>
      <c r="D107" s="33" t="s">
        <v>345</v>
      </c>
      <c r="E107" s="38"/>
      <c r="F107" s="38"/>
      <c r="G107" s="38"/>
      <c r="H107" s="38"/>
      <c r="I107" s="281">
        <f t="shared" si="9"/>
        <v>0</v>
      </c>
      <c r="J107" s="281">
        <f t="shared" si="18"/>
        <v>0</v>
      </c>
      <c r="K107" s="281">
        <f t="shared" si="13"/>
        <v>0</v>
      </c>
      <c r="L107" s="282">
        <f t="shared" si="14"/>
        <v>0</v>
      </c>
      <c r="M107" s="283">
        <f t="shared" si="15"/>
        <v>0</v>
      </c>
      <c r="N107" s="284">
        <f t="shared" si="16"/>
        <v>0</v>
      </c>
      <c r="P107" s="288"/>
      <c r="Q107" s="286">
        <f t="shared" si="6"/>
        <v>0</v>
      </c>
      <c r="R107" s="281">
        <f t="shared" si="17"/>
        <v>0</v>
      </c>
      <c r="S107" s="287">
        <f t="shared" si="20"/>
        <v>0</v>
      </c>
      <c r="T107" s="287">
        <f t="shared" si="8"/>
        <v>0</v>
      </c>
      <c r="U107" s="287">
        <f t="shared" si="19"/>
        <v>0</v>
      </c>
    </row>
    <row r="108" spans="2:21">
      <c r="B108">
        <v>94</v>
      </c>
      <c r="C108" s="280" t="s">
        <v>265</v>
      </c>
      <c r="D108" s="33" t="s">
        <v>346</v>
      </c>
      <c r="E108" s="38"/>
      <c r="F108" s="38"/>
      <c r="G108" s="38"/>
      <c r="H108" s="38"/>
      <c r="I108" s="281">
        <f t="shared" si="9"/>
        <v>0</v>
      </c>
      <c r="J108" s="281">
        <f t="shared" si="18"/>
        <v>0</v>
      </c>
      <c r="K108" s="281">
        <f t="shared" si="13"/>
        <v>0</v>
      </c>
      <c r="L108" s="282">
        <f t="shared" si="14"/>
        <v>0</v>
      </c>
      <c r="M108" s="283">
        <f t="shared" si="15"/>
        <v>0</v>
      </c>
      <c r="N108" s="284">
        <f t="shared" si="16"/>
        <v>0</v>
      </c>
      <c r="P108" s="288"/>
      <c r="Q108" s="286">
        <f t="shared" si="6"/>
        <v>0</v>
      </c>
      <c r="R108" s="281">
        <f t="shared" si="17"/>
        <v>0</v>
      </c>
      <c r="S108" s="287">
        <f t="shared" si="20"/>
        <v>0</v>
      </c>
      <c r="T108" s="287">
        <f t="shared" si="8"/>
        <v>0</v>
      </c>
      <c r="U108" s="287">
        <f t="shared" si="19"/>
        <v>0</v>
      </c>
    </row>
    <row r="109" spans="2:21">
      <c r="B109">
        <v>95</v>
      </c>
      <c r="C109" s="280" t="s">
        <v>265</v>
      </c>
      <c r="D109" s="33" t="s">
        <v>347</v>
      </c>
      <c r="E109" s="38"/>
      <c r="F109" s="38"/>
      <c r="G109" s="38"/>
      <c r="H109" s="38"/>
      <c r="I109" s="281">
        <f t="shared" si="9"/>
        <v>0</v>
      </c>
      <c r="J109" s="281">
        <f t="shared" si="18"/>
        <v>0</v>
      </c>
      <c r="K109" s="281">
        <f t="shared" si="13"/>
        <v>0</v>
      </c>
      <c r="L109" s="282">
        <f t="shared" si="14"/>
        <v>0</v>
      </c>
      <c r="M109" s="283">
        <f t="shared" si="15"/>
        <v>0</v>
      </c>
      <c r="N109" s="284">
        <f t="shared" si="16"/>
        <v>0</v>
      </c>
      <c r="P109" s="288"/>
      <c r="Q109" s="286">
        <f t="shared" si="6"/>
        <v>0</v>
      </c>
      <c r="R109" s="281">
        <f t="shared" si="17"/>
        <v>0</v>
      </c>
      <c r="S109" s="287">
        <f t="shared" si="20"/>
        <v>0</v>
      </c>
      <c r="T109" s="287">
        <f t="shared" si="8"/>
        <v>0</v>
      </c>
      <c r="U109" s="287">
        <f t="shared" si="19"/>
        <v>0</v>
      </c>
    </row>
    <row r="110" spans="2:21">
      <c r="B110">
        <v>96</v>
      </c>
      <c r="C110" s="280" t="s">
        <v>265</v>
      </c>
      <c r="D110" s="33" t="s">
        <v>348</v>
      </c>
      <c r="E110" s="38"/>
      <c r="F110" s="38"/>
      <c r="G110" s="38"/>
      <c r="H110" s="38"/>
      <c r="I110" s="281">
        <f t="shared" si="9"/>
        <v>0</v>
      </c>
      <c r="J110" s="281">
        <f t="shared" si="18"/>
        <v>0</v>
      </c>
      <c r="K110" s="281">
        <f t="shared" si="13"/>
        <v>0</v>
      </c>
      <c r="L110" s="282">
        <f t="shared" si="14"/>
        <v>0</v>
      </c>
      <c r="M110" s="283">
        <f t="shared" si="15"/>
        <v>0</v>
      </c>
      <c r="N110" s="284">
        <f t="shared" si="16"/>
        <v>0</v>
      </c>
      <c r="P110" s="288"/>
      <c r="Q110" s="286">
        <f t="shared" si="6"/>
        <v>0</v>
      </c>
      <c r="R110" s="281">
        <f t="shared" si="17"/>
        <v>0</v>
      </c>
      <c r="S110" s="287">
        <f t="shared" si="20"/>
        <v>0</v>
      </c>
      <c r="T110" s="287">
        <f t="shared" si="8"/>
        <v>0</v>
      </c>
      <c r="U110" s="287">
        <f t="shared" si="19"/>
        <v>0</v>
      </c>
    </row>
    <row r="111" spans="2:21">
      <c r="B111">
        <v>97</v>
      </c>
      <c r="C111" s="280" t="s">
        <v>265</v>
      </c>
      <c r="D111" s="33" t="s">
        <v>349</v>
      </c>
      <c r="E111" s="38"/>
      <c r="F111" s="38"/>
      <c r="G111" s="38"/>
      <c r="H111" s="38"/>
      <c r="I111" s="281">
        <f t="shared" si="9"/>
        <v>0</v>
      </c>
      <c r="J111" s="281">
        <f t="shared" si="18"/>
        <v>0</v>
      </c>
      <c r="K111" s="281">
        <f t="shared" si="13"/>
        <v>0</v>
      </c>
      <c r="L111" s="282">
        <f t="shared" si="14"/>
        <v>0</v>
      </c>
      <c r="M111" s="283">
        <f t="shared" si="15"/>
        <v>0</v>
      </c>
      <c r="N111" s="284">
        <f t="shared" si="16"/>
        <v>0</v>
      </c>
      <c r="P111" s="288"/>
      <c r="Q111" s="286">
        <f t="shared" si="6"/>
        <v>0</v>
      </c>
      <c r="R111" s="281">
        <f t="shared" si="17"/>
        <v>0</v>
      </c>
      <c r="S111" s="287">
        <f t="shared" si="20"/>
        <v>0</v>
      </c>
      <c r="T111" s="287">
        <f t="shared" si="8"/>
        <v>0</v>
      </c>
      <c r="U111" s="287">
        <f t="shared" si="19"/>
        <v>0</v>
      </c>
    </row>
    <row r="112" spans="2:21">
      <c r="B112">
        <v>98</v>
      </c>
      <c r="C112" s="280" t="s">
        <v>265</v>
      </c>
      <c r="D112" s="33" t="s">
        <v>350</v>
      </c>
      <c r="E112" s="38"/>
      <c r="F112" s="38"/>
      <c r="G112" s="38"/>
      <c r="H112" s="38"/>
      <c r="I112" s="281">
        <f t="shared" si="9"/>
        <v>0</v>
      </c>
      <c r="J112" s="281">
        <f t="shared" si="18"/>
        <v>0</v>
      </c>
      <c r="K112" s="281">
        <f t="shared" si="13"/>
        <v>0</v>
      </c>
      <c r="L112" s="282">
        <f t="shared" si="14"/>
        <v>0</v>
      </c>
      <c r="M112" s="283">
        <f t="shared" si="15"/>
        <v>0</v>
      </c>
      <c r="N112" s="284">
        <f t="shared" si="16"/>
        <v>0</v>
      </c>
      <c r="P112" s="288"/>
      <c r="Q112" s="286">
        <f t="shared" si="6"/>
        <v>0</v>
      </c>
      <c r="R112" s="281">
        <f t="shared" si="17"/>
        <v>0</v>
      </c>
      <c r="S112" s="287">
        <f t="shared" si="20"/>
        <v>0</v>
      </c>
      <c r="T112" s="287">
        <f t="shared" si="8"/>
        <v>0</v>
      </c>
      <c r="U112" s="287">
        <f t="shared" si="19"/>
        <v>0</v>
      </c>
    </row>
    <row r="113" spans="2:21">
      <c r="B113">
        <v>99</v>
      </c>
      <c r="C113" s="280" t="s">
        <v>265</v>
      </c>
      <c r="D113" s="33" t="s">
        <v>351</v>
      </c>
      <c r="E113" s="38"/>
      <c r="F113" s="38"/>
      <c r="G113" s="38"/>
      <c r="H113" s="38"/>
      <c r="I113" s="281">
        <f t="shared" si="9"/>
        <v>0</v>
      </c>
      <c r="J113" s="281">
        <f t="shared" si="18"/>
        <v>0</v>
      </c>
      <c r="K113" s="281">
        <f t="shared" si="13"/>
        <v>0</v>
      </c>
      <c r="L113" s="282">
        <f t="shared" si="14"/>
        <v>0</v>
      </c>
      <c r="M113" s="283">
        <f t="shared" si="15"/>
        <v>0</v>
      </c>
      <c r="N113" s="284">
        <f t="shared" si="16"/>
        <v>0</v>
      </c>
      <c r="P113" s="288"/>
      <c r="Q113" s="286">
        <f t="shared" si="6"/>
        <v>0</v>
      </c>
      <c r="R113" s="281">
        <f t="shared" si="17"/>
        <v>0</v>
      </c>
      <c r="S113" s="287">
        <f t="shared" si="20"/>
        <v>0</v>
      </c>
      <c r="T113" s="287">
        <f t="shared" si="8"/>
        <v>0</v>
      </c>
      <c r="U113" s="287">
        <f t="shared" si="19"/>
        <v>0</v>
      </c>
    </row>
    <row r="114" spans="2:21" ht="18.5" customHeight="1">
      <c r="C114" s="281"/>
      <c r="D114" s="289" t="s">
        <v>352</v>
      </c>
      <c r="E114" s="289"/>
      <c r="F114" s="289" t="s">
        <v>353</v>
      </c>
      <c r="G114" s="289"/>
      <c r="H114" s="289"/>
      <c r="I114" s="281">
        <f t="shared" si="9"/>
        <v>0</v>
      </c>
      <c r="J114" s="281">
        <f>IFERROR(D$6*D$7*E114/1000000000*I114,0)</f>
        <v>0</v>
      </c>
      <c r="K114" s="281">
        <f>IFERROR(ROUNDDOWN(D$8/E114,0),0)</f>
        <v>0</v>
      </c>
      <c r="L114" s="282">
        <f>SUMIF($P$14:$P$115,E114,$U$14:$U$115)*I114</f>
        <v>0</v>
      </c>
      <c r="M114" s="283">
        <f>(L114-J114)</f>
        <v>0</v>
      </c>
      <c r="N114" s="284">
        <f>IFERROR((L114-J114)/L$115,0)</f>
        <v>0</v>
      </c>
      <c r="P114" s="288"/>
      <c r="Q114" s="286">
        <f t="shared" si="6"/>
        <v>0</v>
      </c>
      <c r="R114" s="281">
        <f>SUMIFS($I$14:$I$114,$E$14:$E$114,P114)</f>
        <v>0</v>
      </c>
      <c r="S114" s="287">
        <f t="shared" si="20"/>
        <v>0</v>
      </c>
      <c r="T114" s="287">
        <f t="shared" si="8"/>
        <v>0</v>
      </c>
      <c r="U114" s="287">
        <f t="shared" si="19"/>
        <v>0</v>
      </c>
    </row>
    <row r="115" spans="2:21" ht="19.25" customHeight="1">
      <c r="C115" s="289"/>
      <c r="D115" s="290" t="s">
        <v>80</v>
      </c>
      <c r="E115" s="289"/>
      <c r="F115" s="289"/>
      <c r="G115" s="289"/>
      <c r="H115" s="289"/>
      <c r="I115" s="289"/>
      <c r="J115" s="291">
        <f>SUM(J14:J114)</f>
        <v>3.0770000000000008</v>
      </c>
      <c r="K115" s="291"/>
      <c r="L115" s="291">
        <f>SUM(L14:L114)</f>
        <v>4.8000000000000007</v>
      </c>
      <c r="M115" s="291">
        <f>SUM(M14:M114)</f>
        <v>1.7229999999999996</v>
      </c>
      <c r="N115" s="292">
        <f>SUM(N14:N114)</f>
        <v>0.35895833333333316</v>
      </c>
      <c r="P115" s="293"/>
      <c r="Q115" s="289"/>
      <c r="R115" s="291">
        <f t="shared" ref="R115:T115" si="21">SUM(R14:R114)</f>
        <v>93</v>
      </c>
      <c r="S115" s="294">
        <f t="shared" si="21"/>
        <v>80</v>
      </c>
      <c r="T115" s="291">
        <f t="shared" si="21"/>
        <v>4.8000000000000007</v>
      </c>
      <c r="U115" s="289"/>
    </row>
    <row r="116" spans="2:21" ht="12.5" customHeight="1"/>
  </sheetData>
  <customSheetViews>
    <customSheetView guid="{3274156B-1D2A-4448-883E-F1EEF1AAE0AF}">
      <selection activeCell="J2" sqref="J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9F08-1E7B-4CCC-9B7E-71104E4C6D6D}">
  <sheetPr codeName="Sheet2">
    <tabColor rgb="FFFFFF00"/>
  </sheetPr>
  <dimension ref="A1:AW430"/>
  <sheetViews>
    <sheetView tabSelected="1" topLeftCell="A249" workbookViewId="0">
      <selection activeCell="G271" sqref="G271"/>
    </sheetView>
  </sheetViews>
  <sheetFormatPr baseColWidth="10" defaultColWidth="8.83203125" defaultRowHeight="15"/>
  <cols>
    <col min="2" max="2" width="35" customWidth="1"/>
    <col min="4" max="4" width="9.83203125" bestFit="1" customWidth="1"/>
    <col min="5" max="5" width="10.83203125" customWidth="1"/>
    <col min="6" max="6" width="12.5" customWidth="1"/>
    <col min="7" max="7" width="55.5" customWidth="1"/>
    <col min="8" max="8" width="12" customWidth="1"/>
    <col min="9" max="9" width="12.33203125" customWidth="1"/>
    <col min="10" max="10" width="29.6640625" customWidth="1"/>
    <col min="11" max="11" width="13.33203125" customWidth="1"/>
    <col min="12" max="12" width="13.5" customWidth="1"/>
    <col min="13" max="13" width="26" customWidth="1"/>
    <col min="14" max="14" width="16.1640625" customWidth="1"/>
    <col min="15" max="15" width="11.1640625" customWidth="1"/>
    <col min="16" max="16" width="11.5" customWidth="1"/>
  </cols>
  <sheetData>
    <row r="1" spans="1:17" ht="14.5" customHeight="1">
      <c r="A1" s="877"/>
      <c r="B1" s="877"/>
      <c r="C1" s="877"/>
      <c r="D1" s="878">
        <v>0</v>
      </c>
      <c r="E1" s="877" t="s">
        <v>813</v>
      </c>
      <c r="F1" s="1182" t="s">
        <v>814</v>
      </c>
      <c r="G1" s="1182"/>
      <c r="H1" s="1182"/>
      <c r="I1" s="1182"/>
      <c r="J1" s="1182"/>
      <c r="K1" s="1182"/>
      <c r="L1" s="1182"/>
      <c r="M1" s="1182"/>
      <c r="N1" s="1182"/>
      <c r="O1" s="877"/>
      <c r="P1" s="877"/>
      <c r="Q1" s="877"/>
    </row>
    <row r="2" spans="1:17" ht="14.5" customHeight="1">
      <c r="A2" s="879"/>
      <c r="B2" s="879"/>
      <c r="C2" s="877"/>
      <c r="D2" s="877"/>
      <c r="E2" s="877"/>
      <c r="F2" s="1182"/>
      <c r="G2" s="1182"/>
      <c r="H2" s="1182"/>
      <c r="I2" s="1182"/>
      <c r="J2" s="1182"/>
      <c r="K2" s="1182"/>
      <c r="L2" s="1182"/>
      <c r="M2" s="1182"/>
      <c r="N2" s="1182"/>
      <c r="O2" s="877"/>
      <c r="P2" s="877"/>
      <c r="Q2" s="877"/>
    </row>
    <row r="3" spans="1:17" ht="18" customHeight="1">
      <c r="A3" s="880"/>
      <c r="B3" s="881"/>
      <c r="C3" s="882" t="s">
        <v>139</v>
      </c>
      <c r="D3" s="882"/>
      <c r="E3" s="883"/>
      <c r="F3" s="883"/>
      <c r="G3" s="884" t="s">
        <v>465</v>
      </c>
      <c r="H3" s="885"/>
      <c r="I3" s="886" t="s">
        <v>63</v>
      </c>
      <c r="J3" s="887"/>
      <c r="K3" s="883"/>
      <c r="L3" s="888"/>
      <c r="M3" s="883"/>
      <c r="N3" s="889" t="s">
        <v>494</v>
      </c>
      <c r="O3" s="889" t="s">
        <v>815</v>
      </c>
      <c r="P3" s="889" t="s">
        <v>815</v>
      </c>
      <c r="Q3" s="883"/>
    </row>
    <row r="4" spans="1:17" ht="30">
      <c r="A4" s="888"/>
      <c r="B4" s="890" t="s">
        <v>396</v>
      </c>
      <c r="C4" s="891" t="s">
        <v>397</v>
      </c>
      <c r="D4" s="892"/>
      <c r="E4" s="883"/>
      <c r="F4" s="883"/>
      <c r="G4" s="893" t="s">
        <v>466</v>
      </c>
      <c r="H4" s="894">
        <v>1500</v>
      </c>
      <c r="I4" s="888" t="s">
        <v>160</v>
      </c>
      <c r="J4" s="887"/>
      <c r="K4" s="883"/>
      <c r="L4" s="888"/>
      <c r="M4" s="883"/>
      <c r="N4" s="895" t="s">
        <v>524</v>
      </c>
      <c r="O4" s="896" t="s">
        <v>150</v>
      </c>
      <c r="P4" s="243"/>
      <c r="Q4" s="883"/>
    </row>
    <row r="5" spans="1:17" ht="25.25" customHeight="1">
      <c r="A5" s="888"/>
      <c r="B5" s="890" t="s">
        <v>398</v>
      </c>
      <c r="C5" s="891" t="s">
        <v>397</v>
      </c>
      <c r="D5" s="897"/>
      <c r="E5" s="883"/>
      <c r="F5" s="883"/>
      <c r="G5" s="893" t="s">
        <v>466</v>
      </c>
      <c r="H5" s="898">
        <v>2000</v>
      </c>
      <c r="I5" s="888" t="s">
        <v>160</v>
      </c>
      <c r="J5" s="887"/>
      <c r="K5" s="883"/>
      <c r="L5" s="888"/>
      <c r="M5" s="883"/>
      <c r="N5" s="899" t="s">
        <v>495</v>
      </c>
      <c r="O5" s="896" t="s">
        <v>160</v>
      </c>
      <c r="P5" s="900"/>
      <c r="Q5" s="883"/>
    </row>
    <row r="6" spans="1:17" ht="15.5" customHeight="1">
      <c r="A6" s="888"/>
      <c r="B6" s="890"/>
      <c r="C6" s="891"/>
      <c r="D6" s="891"/>
      <c r="E6" s="883"/>
      <c r="F6" s="883"/>
      <c r="G6" s="901" t="s">
        <v>467</v>
      </c>
      <c r="H6" s="902"/>
      <c r="I6" s="886" t="s">
        <v>63</v>
      </c>
      <c r="J6" s="887"/>
      <c r="K6" s="883"/>
      <c r="L6" s="888"/>
      <c r="M6" s="883"/>
      <c r="N6" s="899" t="s">
        <v>496</v>
      </c>
      <c r="O6" s="896" t="s">
        <v>63</v>
      </c>
      <c r="P6" s="900"/>
      <c r="Q6" s="883"/>
    </row>
    <row r="7" spans="1:17" ht="51">
      <c r="A7" s="888"/>
      <c r="B7" s="890"/>
      <c r="C7" s="891"/>
      <c r="D7" s="891"/>
      <c r="E7" s="883"/>
      <c r="F7" s="883"/>
      <c r="G7" s="901" t="s">
        <v>816</v>
      </c>
      <c r="H7" s="902"/>
      <c r="I7" s="886" t="s">
        <v>85</v>
      </c>
      <c r="J7" s="887"/>
      <c r="K7" s="883"/>
      <c r="L7" s="903">
        <f>J8/33</f>
        <v>0</v>
      </c>
      <c r="M7" s="883"/>
      <c r="N7" s="899" t="s">
        <v>497</v>
      </c>
      <c r="O7" s="896" t="s">
        <v>160</v>
      </c>
      <c r="P7" s="900"/>
      <c r="Q7" s="883"/>
    </row>
    <row r="8" spans="1:17" ht="21" customHeight="1">
      <c r="A8" s="888"/>
      <c r="B8" s="904" t="s">
        <v>399</v>
      </c>
      <c r="C8" s="891" t="s">
        <v>397</v>
      </c>
      <c r="D8" s="897"/>
      <c r="E8" s="883"/>
      <c r="F8" s="883"/>
      <c r="G8" s="905" t="s">
        <v>468</v>
      </c>
      <c r="H8" s="906"/>
      <c r="I8" s="886" t="s">
        <v>63</v>
      </c>
      <c r="J8" s="887"/>
      <c r="K8" s="883"/>
      <c r="L8" s="888"/>
      <c r="M8" s="883"/>
      <c r="N8" s="899" t="s">
        <v>498</v>
      </c>
      <c r="O8" s="896" t="s">
        <v>63</v>
      </c>
      <c r="P8" s="900"/>
      <c r="Q8" s="883"/>
    </row>
    <row r="9" spans="1:17" ht="34">
      <c r="A9" s="888"/>
      <c r="B9" s="890" t="s">
        <v>400</v>
      </c>
      <c r="C9" s="891" t="s">
        <v>85</v>
      </c>
      <c r="D9" s="897"/>
      <c r="E9" s="883"/>
      <c r="F9" s="883"/>
      <c r="G9" s="905" t="s">
        <v>469</v>
      </c>
      <c r="H9" s="906"/>
      <c r="I9" s="886" t="s">
        <v>85</v>
      </c>
      <c r="J9" s="887"/>
      <c r="K9" s="883"/>
      <c r="L9" s="888"/>
      <c r="M9" s="883"/>
      <c r="N9" s="899" t="s">
        <v>499</v>
      </c>
      <c r="O9" s="896" t="s">
        <v>160</v>
      </c>
      <c r="P9" s="900"/>
      <c r="Q9" s="883"/>
    </row>
    <row r="10" spans="1:17" ht="16.25" customHeight="1">
      <c r="A10" s="888"/>
      <c r="B10" s="890" t="s">
        <v>402</v>
      </c>
      <c r="C10" s="891" t="s">
        <v>85</v>
      </c>
      <c r="D10" s="897"/>
      <c r="E10" s="883"/>
      <c r="F10" s="883"/>
      <c r="G10" s="905" t="s">
        <v>470</v>
      </c>
      <c r="H10" s="906"/>
      <c r="I10" s="886" t="s">
        <v>156</v>
      </c>
      <c r="J10" s="887"/>
      <c r="K10" s="883"/>
      <c r="L10" s="888"/>
      <c r="M10" s="883"/>
      <c r="N10" s="899" t="s">
        <v>500</v>
      </c>
      <c r="O10" s="896" t="s">
        <v>63</v>
      </c>
      <c r="P10" s="900"/>
      <c r="Q10" s="883"/>
    </row>
    <row r="11" spans="1:17" ht="34">
      <c r="A11" s="888"/>
      <c r="B11" s="890" t="s">
        <v>403</v>
      </c>
      <c r="C11" s="891" t="s">
        <v>85</v>
      </c>
      <c r="D11" s="897"/>
      <c r="E11" s="883"/>
      <c r="F11" s="883"/>
      <c r="G11" s="905" t="s">
        <v>471</v>
      </c>
      <c r="H11" s="906"/>
      <c r="I11" s="886" t="s">
        <v>156</v>
      </c>
      <c r="J11" s="887"/>
      <c r="K11" s="883"/>
      <c r="L11" s="888"/>
      <c r="M11" s="883"/>
      <c r="N11" s="899" t="s">
        <v>501</v>
      </c>
      <c r="O11" s="896" t="s">
        <v>160</v>
      </c>
      <c r="P11" s="900"/>
      <c r="Q11" s="883"/>
    </row>
    <row r="12" spans="1:17" ht="16.75" customHeight="1">
      <c r="A12" s="888"/>
      <c r="B12" s="890" t="s">
        <v>404</v>
      </c>
      <c r="C12" s="891" t="s">
        <v>85</v>
      </c>
      <c r="D12" s="897"/>
      <c r="E12" s="883"/>
      <c r="F12" s="883"/>
      <c r="G12" s="905" t="s">
        <v>472</v>
      </c>
      <c r="H12" s="906"/>
      <c r="I12" s="886" t="s">
        <v>148</v>
      </c>
      <c r="J12" s="887"/>
      <c r="K12" s="883"/>
      <c r="L12" s="888"/>
      <c r="M12" s="883"/>
      <c r="N12" s="899" t="s">
        <v>502</v>
      </c>
      <c r="O12" s="896" t="s">
        <v>423</v>
      </c>
      <c r="P12" s="900"/>
      <c r="Q12" s="883"/>
    </row>
    <row r="13" spans="1:17" ht="34">
      <c r="A13" s="888"/>
      <c r="B13" s="890"/>
      <c r="C13" s="891"/>
      <c r="D13" s="891"/>
      <c r="E13" s="883"/>
      <c r="F13" s="883"/>
      <c r="G13" s="907" t="s">
        <v>473</v>
      </c>
      <c r="H13" s="908"/>
      <c r="I13" s="886" t="s">
        <v>156</v>
      </c>
      <c r="J13" s="887"/>
      <c r="K13" s="883"/>
      <c r="L13" s="888"/>
      <c r="M13" s="883"/>
      <c r="N13" s="899" t="s">
        <v>503</v>
      </c>
      <c r="O13" s="896" t="s">
        <v>85</v>
      </c>
      <c r="P13" s="900"/>
      <c r="Q13" s="883"/>
    </row>
    <row r="14" spans="1:17" ht="34">
      <c r="A14" s="888"/>
      <c r="B14" s="890" t="s">
        <v>405</v>
      </c>
      <c r="C14" s="891" t="s">
        <v>397</v>
      </c>
      <c r="D14" s="897"/>
      <c r="E14" s="883"/>
      <c r="F14" s="883"/>
      <c r="G14" s="909" t="s">
        <v>474</v>
      </c>
      <c r="H14" s="906"/>
      <c r="I14" s="886" t="s">
        <v>156</v>
      </c>
      <c r="J14" s="887"/>
      <c r="K14" s="883"/>
      <c r="L14" s="903"/>
      <c r="M14" s="883"/>
      <c r="N14" s="899" t="s">
        <v>504</v>
      </c>
      <c r="O14" s="896" t="s">
        <v>85</v>
      </c>
      <c r="P14" s="900"/>
      <c r="Q14" s="883"/>
    </row>
    <row r="15" spans="1:17" ht="34">
      <c r="A15" s="888"/>
      <c r="B15" s="890" t="s">
        <v>406</v>
      </c>
      <c r="C15" s="891" t="s">
        <v>397</v>
      </c>
      <c r="D15" s="897"/>
      <c r="E15" s="883"/>
      <c r="F15" s="883"/>
      <c r="G15" s="905" t="s">
        <v>475</v>
      </c>
      <c r="H15" s="906"/>
      <c r="I15" s="886" t="s">
        <v>160</v>
      </c>
      <c r="J15" s="910"/>
      <c r="K15" s="883"/>
      <c r="L15" s="903">
        <v>56</v>
      </c>
      <c r="M15" s="883"/>
      <c r="N15" s="899" t="s">
        <v>505</v>
      </c>
      <c r="O15" s="896" t="s">
        <v>85</v>
      </c>
      <c r="P15" s="900"/>
      <c r="Q15" s="883"/>
    </row>
    <row r="16" spans="1:17" ht="34">
      <c r="A16" s="888"/>
      <c r="B16" s="890" t="s">
        <v>407</v>
      </c>
      <c r="C16" s="891" t="s">
        <v>160</v>
      </c>
      <c r="D16" s="897"/>
      <c r="E16" s="883"/>
      <c r="F16" s="883"/>
      <c r="G16" s="1191" t="s">
        <v>476</v>
      </c>
      <c r="H16" s="1192"/>
      <c r="I16" s="886" t="s">
        <v>423</v>
      </c>
      <c r="J16" s="913"/>
      <c r="K16" s="883"/>
      <c r="L16" s="903">
        <v>28</v>
      </c>
      <c r="M16" s="883"/>
      <c r="N16" s="899" t="s">
        <v>506</v>
      </c>
      <c r="O16" s="896" t="s">
        <v>85</v>
      </c>
      <c r="P16" s="900"/>
      <c r="Q16" s="883"/>
    </row>
    <row r="17" spans="1:17" ht="34">
      <c r="A17" s="888"/>
      <c r="B17" s="890"/>
      <c r="C17" s="891"/>
      <c r="D17" s="891"/>
      <c r="E17" s="883"/>
      <c r="F17" s="883"/>
      <c r="G17" s="911" t="s">
        <v>477</v>
      </c>
      <c r="H17" s="912"/>
      <c r="I17" s="886" t="s">
        <v>423</v>
      </c>
      <c r="J17" s="913"/>
      <c r="K17" s="883"/>
      <c r="L17" s="903">
        <v>130</v>
      </c>
      <c r="M17" s="883"/>
      <c r="N17" s="899" t="s">
        <v>507</v>
      </c>
      <c r="O17" s="896" t="s">
        <v>85</v>
      </c>
      <c r="P17" s="900"/>
      <c r="Q17" s="883"/>
    </row>
    <row r="18" spans="1:17" ht="34">
      <c r="A18" s="883"/>
      <c r="B18" s="890" t="s">
        <v>817</v>
      </c>
      <c r="C18" s="891" t="s">
        <v>85</v>
      </c>
      <c r="D18" s="897"/>
      <c r="E18" s="883"/>
      <c r="F18" s="883"/>
      <c r="G18" s="914" t="s">
        <v>478</v>
      </c>
      <c r="H18" s="915"/>
      <c r="I18" s="886" t="s">
        <v>423</v>
      </c>
      <c r="J18" s="910"/>
      <c r="K18" s="883"/>
      <c r="L18" s="903"/>
      <c r="M18" s="883"/>
      <c r="N18" s="899" t="s">
        <v>508</v>
      </c>
      <c r="O18" s="896" t="s">
        <v>85</v>
      </c>
      <c r="P18" s="900"/>
      <c r="Q18" s="883"/>
    </row>
    <row r="19" spans="1:17" ht="34">
      <c r="A19" s="883"/>
      <c r="B19" s="883"/>
      <c r="C19" s="883"/>
      <c r="D19" s="883"/>
      <c r="E19" s="883"/>
      <c r="F19" s="883"/>
      <c r="G19" s="916" t="s">
        <v>479</v>
      </c>
      <c r="H19" s="917"/>
      <c r="I19" s="886" t="s">
        <v>63</v>
      </c>
      <c r="J19" s="910"/>
      <c r="K19" s="883"/>
      <c r="L19" s="888"/>
      <c r="M19" s="883"/>
      <c r="N19" s="899" t="s">
        <v>509</v>
      </c>
      <c r="O19" s="896" t="s">
        <v>85</v>
      </c>
      <c r="P19" s="900"/>
      <c r="Q19" s="883"/>
    </row>
    <row r="20" spans="1:17" ht="51">
      <c r="A20" s="918"/>
      <c r="B20" s="919" t="s">
        <v>818</v>
      </c>
      <c r="C20" s="883"/>
      <c r="D20" s="883"/>
      <c r="E20" s="883"/>
      <c r="F20" s="883"/>
      <c r="G20" s="916" t="s">
        <v>480</v>
      </c>
      <c r="H20" s="917"/>
      <c r="I20" s="886" t="s">
        <v>85</v>
      </c>
      <c r="J20" s="910"/>
      <c r="K20" s="883"/>
      <c r="L20" s="888"/>
      <c r="M20" s="883"/>
      <c r="N20" s="899" t="s">
        <v>510</v>
      </c>
      <c r="O20" s="896" t="s">
        <v>63</v>
      </c>
      <c r="P20" s="900"/>
      <c r="Q20" s="883"/>
    </row>
    <row r="21" spans="1:17" ht="68">
      <c r="A21" s="315"/>
      <c r="B21" s="919" t="s">
        <v>819</v>
      </c>
      <c r="C21" s="883"/>
      <c r="D21" s="883"/>
      <c r="E21" s="883"/>
      <c r="F21" s="883"/>
      <c r="G21" s="1193" t="s">
        <v>481</v>
      </c>
      <c r="H21" s="1194"/>
      <c r="I21" s="886" t="s">
        <v>85</v>
      </c>
      <c r="J21" s="887"/>
      <c r="K21" s="883"/>
      <c r="L21" s="888"/>
      <c r="M21" s="883"/>
      <c r="N21" s="899" t="s">
        <v>820</v>
      </c>
      <c r="O21" s="896" t="s">
        <v>160</v>
      </c>
      <c r="P21" s="900"/>
      <c r="Q21" s="883"/>
    </row>
    <row r="22" spans="1:17" ht="51">
      <c r="A22" s="920"/>
      <c r="B22" s="921" t="s">
        <v>821</v>
      </c>
      <c r="C22" s="883"/>
      <c r="D22" s="883"/>
      <c r="E22" s="883"/>
      <c r="F22" s="883"/>
      <c r="G22" s="1193" t="s">
        <v>482</v>
      </c>
      <c r="H22" s="1194"/>
      <c r="I22" s="886" t="s">
        <v>184</v>
      </c>
      <c r="J22" s="887"/>
      <c r="K22" s="883"/>
      <c r="L22" s="888"/>
      <c r="M22" s="883"/>
      <c r="N22" s="899" t="s">
        <v>512</v>
      </c>
      <c r="O22" s="896" t="s">
        <v>423</v>
      </c>
      <c r="P22" s="900"/>
      <c r="Q22" s="883"/>
    </row>
    <row r="23" spans="1:17" ht="51">
      <c r="A23" s="883"/>
      <c r="B23" s="883"/>
      <c r="C23" s="883"/>
      <c r="D23" s="883"/>
      <c r="E23" s="883"/>
      <c r="F23" s="883"/>
      <c r="G23" s="1193" t="s">
        <v>483</v>
      </c>
      <c r="H23" s="1194"/>
      <c r="I23" s="886" t="s">
        <v>484</v>
      </c>
      <c r="J23" s="887"/>
      <c r="K23" s="883"/>
      <c r="L23" s="888"/>
      <c r="M23" s="883"/>
      <c r="N23" s="899" t="s">
        <v>822</v>
      </c>
      <c r="O23" s="896" t="s">
        <v>85</v>
      </c>
      <c r="P23" s="900"/>
      <c r="Q23" s="883"/>
    </row>
    <row r="24" spans="1:17" ht="34">
      <c r="A24" s="883"/>
      <c r="B24" s="883"/>
      <c r="C24" s="883"/>
      <c r="D24" s="883"/>
      <c r="E24" s="883"/>
      <c r="F24" s="883"/>
      <c r="G24" s="916" t="s">
        <v>823</v>
      </c>
      <c r="H24" s="917"/>
      <c r="I24" s="886" t="s">
        <v>150</v>
      </c>
      <c r="J24" s="922" t="e">
        <f>#REF!</f>
        <v>#REF!</v>
      </c>
      <c r="K24" s="883"/>
      <c r="L24" s="888"/>
      <c r="M24" s="883"/>
      <c r="N24" s="899" t="s">
        <v>824</v>
      </c>
      <c r="O24" s="896" t="s">
        <v>85</v>
      </c>
      <c r="P24" s="900"/>
      <c r="Q24" s="883"/>
    </row>
    <row r="25" spans="1:17" ht="51">
      <c r="A25" s="883"/>
      <c r="B25" s="883"/>
      <c r="C25" s="883"/>
      <c r="D25" s="883"/>
      <c r="E25" s="883"/>
      <c r="F25" s="883"/>
      <c r="G25" s="883" t="s">
        <v>825</v>
      </c>
      <c r="H25" s="883"/>
      <c r="I25" s="886"/>
      <c r="J25" s="887"/>
      <c r="K25" s="923"/>
      <c r="L25" s="888"/>
      <c r="M25" s="883"/>
      <c r="N25" s="899" t="s">
        <v>826</v>
      </c>
      <c r="O25" s="896" t="s">
        <v>423</v>
      </c>
      <c r="P25" s="900"/>
      <c r="Q25" s="883"/>
    </row>
    <row r="26" spans="1:17" ht="51">
      <c r="A26" s="883"/>
      <c r="B26" s="1195" t="s">
        <v>171</v>
      </c>
      <c r="C26" s="1195"/>
      <c r="D26" s="140">
        <v>3</v>
      </c>
      <c r="E26" s="883"/>
      <c r="F26" s="883"/>
      <c r="G26" s="924" t="s">
        <v>486</v>
      </c>
      <c r="H26" s="924"/>
      <c r="I26" s="886" t="s">
        <v>85</v>
      </c>
      <c r="J26" s="887"/>
      <c r="K26" s="925"/>
      <c r="L26" s="888"/>
      <c r="M26" s="883"/>
      <c r="N26" s="899" t="s">
        <v>827</v>
      </c>
      <c r="O26" s="896" t="s">
        <v>63</v>
      </c>
      <c r="P26" s="900"/>
      <c r="Q26" s="883"/>
    </row>
    <row r="27" spans="1:17">
      <c r="A27" s="883"/>
      <c r="B27" s="1195" t="s">
        <v>172</v>
      </c>
      <c r="C27" s="1195"/>
      <c r="D27" s="140">
        <v>16</v>
      </c>
      <c r="E27" s="883"/>
      <c r="F27" s="883"/>
      <c r="G27" s="924" t="s">
        <v>487</v>
      </c>
      <c r="H27" s="924"/>
      <c r="I27" s="886" t="s">
        <v>488</v>
      </c>
      <c r="J27" s="887"/>
      <c r="K27" s="926"/>
      <c r="L27" s="888"/>
      <c r="M27" s="883"/>
      <c r="N27" s="895"/>
      <c r="O27" s="883"/>
      <c r="P27" s="886"/>
      <c r="Q27" s="883"/>
    </row>
    <row r="28" spans="1:17">
      <c r="A28" s="883"/>
      <c r="B28" s="1196" t="s">
        <v>828</v>
      </c>
      <c r="C28" s="1197"/>
      <c r="D28" s="140">
        <v>3.5</v>
      </c>
      <c r="E28" s="927"/>
      <c r="F28" s="883"/>
      <c r="G28" s="924" t="s">
        <v>489</v>
      </c>
      <c r="H28" s="924"/>
      <c r="I28" s="886" t="s">
        <v>490</v>
      </c>
      <c r="J28" s="887"/>
      <c r="K28" s="883"/>
      <c r="L28" s="888"/>
      <c r="M28" s="883"/>
      <c r="N28" s="895"/>
      <c r="O28" s="883"/>
      <c r="P28" s="886"/>
      <c r="Q28" s="883"/>
    </row>
    <row r="29" spans="1:17" ht="16" thickBot="1">
      <c r="A29" s="883"/>
      <c r="B29" s="1198" t="s">
        <v>176</v>
      </c>
      <c r="C29" s="1199"/>
      <c r="D29" s="223">
        <v>3</v>
      </c>
      <c r="E29" s="883"/>
      <c r="F29" s="883"/>
      <c r="G29" s="883"/>
      <c r="H29" s="883"/>
      <c r="I29" s="886"/>
      <c r="J29" s="888"/>
      <c r="K29" s="883"/>
      <c r="L29" s="888"/>
      <c r="M29" s="883"/>
      <c r="N29" s="895"/>
      <c r="O29" s="883"/>
      <c r="P29" s="886"/>
      <c r="Q29" s="883"/>
    </row>
    <row r="30" spans="1:17">
      <c r="A30" s="883"/>
      <c r="B30" s="883"/>
      <c r="C30" s="883"/>
      <c r="D30" s="883"/>
      <c r="E30" s="883"/>
      <c r="F30" s="883"/>
      <c r="G30" s="928" t="s">
        <v>163</v>
      </c>
      <c r="H30" s="929"/>
      <c r="I30" s="930" t="s">
        <v>167</v>
      </c>
      <c r="J30" s="931">
        <v>120</v>
      </c>
      <c r="K30" s="1200" t="s">
        <v>813</v>
      </c>
      <c r="L30" s="1201"/>
      <c r="M30" s="883"/>
      <c r="N30" s="895"/>
      <c r="O30" s="883"/>
      <c r="P30" s="886"/>
      <c r="Q30" s="883"/>
    </row>
    <row r="31" spans="1:17">
      <c r="A31" s="883"/>
      <c r="B31" s="883"/>
      <c r="C31" s="883"/>
      <c r="D31" s="883"/>
      <c r="E31" s="883"/>
      <c r="F31" s="883"/>
      <c r="G31" s="928" t="s">
        <v>491</v>
      </c>
      <c r="H31" s="932"/>
      <c r="I31" s="930" t="s">
        <v>167</v>
      </c>
      <c r="J31" s="931">
        <v>120</v>
      </c>
      <c r="K31" s="1200" t="s">
        <v>813</v>
      </c>
      <c r="L31" s="1201"/>
      <c r="M31" s="883"/>
      <c r="N31" s="895"/>
      <c r="O31" s="883"/>
      <c r="P31" s="886"/>
      <c r="Q31" s="883"/>
    </row>
    <row r="32" spans="1:17">
      <c r="A32" s="883"/>
      <c r="B32" s="883"/>
      <c r="C32" s="883"/>
      <c r="D32" s="883"/>
      <c r="E32" s="883"/>
      <c r="F32" s="883"/>
      <c r="G32" s="928" t="s">
        <v>492</v>
      </c>
      <c r="H32" s="929"/>
      <c r="I32" s="930" t="s">
        <v>167</v>
      </c>
      <c r="J32" s="933"/>
      <c r="K32" s="883"/>
      <c r="L32" s="888"/>
      <c r="M32" s="883"/>
      <c r="N32" s="883"/>
      <c r="O32" s="883"/>
      <c r="P32" s="883"/>
      <c r="Q32" s="883"/>
    </row>
    <row r="33" spans="1:17">
      <c r="A33" s="883"/>
      <c r="B33" s="883"/>
      <c r="C33" s="883"/>
      <c r="D33" s="883"/>
      <c r="E33" s="883"/>
      <c r="F33" s="883"/>
      <c r="G33" s="895" t="s">
        <v>493</v>
      </c>
      <c r="H33" s="934"/>
      <c r="I33" s="935" t="s">
        <v>167</v>
      </c>
      <c r="J33" s="935"/>
      <c r="K33" s="883"/>
      <c r="L33" s="888"/>
      <c r="M33" s="883"/>
      <c r="N33" s="883"/>
      <c r="O33" s="883"/>
      <c r="P33" s="883"/>
      <c r="Q33" s="883"/>
    </row>
    <row r="34" spans="1:17">
      <c r="A34" s="883"/>
      <c r="B34" s="883"/>
      <c r="C34" s="883"/>
      <c r="D34" s="883"/>
      <c r="E34" s="883"/>
      <c r="F34" s="883"/>
      <c r="G34" s="883"/>
      <c r="H34" s="883"/>
      <c r="I34" s="886"/>
      <c r="J34" s="888"/>
      <c r="K34" s="883"/>
      <c r="L34" s="883"/>
      <c r="M34" s="883"/>
      <c r="N34" s="883"/>
      <c r="O34" s="883"/>
      <c r="P34" s="883"/>
      <c r="Q34" s="883"/>
    </row>
    <row r="35" spans="1:17">
      <c r="A35" s="883"/>
      <c r="B35" s="883"/>
      <c r="C35" s="883"/>
      <c r="D35" s="883"/>
      <c r="E35" s="883"/>
      <c r="F35" s="883"/>
      <c r="G35" s="883"/>
      <c r="H35" s="883"/>
      <c r="I35" s="883"/>
      <c r="J35" s="883"/>
      <c r="K35" s="883"/>
      <c r="L35" s="883"/>
      <c r="M35" s="883"/>
      <c r="N35" s="883"/>
      <c r="O35" s="883"/>
      <c r="P35" s="883"/>
      <c r="Q35" s="883"/>
    </row>
    <row r="36" spans="1:17">
      <c r="A36" s="883"/>
      <c r="B36" s="883"/>
      <c r="C36" s="883"/>
      <c r="D36" s="883"/>
      <c r="E36" s="883"/>
      <c r="F36" s="883"/>
      <c r="G36" s="883"/>
      <c r="H36" s="883"/>
      <c r="I36" s="883"/>
      <c r="J36" s="883"/>
      <c r="K36" s="883"/>
      <c r="L36" s="883"/>
      <c r="M36" s="883"/>
      <c r="N36" s="883"/>
      <c r="O36" s="883"/>
      <c r="P36" s="883"/>
      <c r="Q36" s="883"/>
    </row>
    <row r="37" spans="1:17">
      <c r="A37" s="877"/>
      <c r="B37" s="877"/>
      <c r="C37" s="877"/>
      <c r="D37" s="877"/>
      <c r="E37" s="877"/>
      <c r="F37" s="1182" t="s">
        <v>829</v>
      </c>
      <c r="G37" s="1182"/>
      <c r="H37" s="1182"/>
      <c r="I37" s="1182"/>
      <c r="J37" s="1182"/>
      <c r="K37" s="1182"/>
      <c r="L37" s="1182"/>
      <c r="M37" s="1182"/>
      <c r="N37" s="1182"/>
      <c r="O37" s="877"/>
      <c r="P37" s="877"/>
      <c r="Q37" s="877"/>
    </row>
    <row r="38" spans="1:17">
      <c r="A38" s="877"/>
      <c r="B38" s="877"/>
      <c r="C38" s="877"/>
      <c r="D38" s="877"/>
      <c r="E38" s="877"/>
      <c r="F38" s="1182"/>
      <c r="G38" s="1182"/>
      <c r="H38" s="1182"/>
      <c r="I38" s="1182"/>
      <c r="J38" s="1182"/>
      <c r="K38" s="1182"/>
      <c r="L38" s="1182"/>
      <c r="M38" s="1182"/>
      <c r="N38" s="1182"/>
      <c r="O38" s="877"/>
      <c r="P38" s="877"/>
      <c r="Q38" s="877"/>
    </row>
    <row r="39" spans="1:17">
      <c r="A39" s="883"/>
      <c r="B39" s="883"/>
      <c r="C39" s="883"/>
      <c r="D39" s="883"/>
      <c r="E39" s="883"/>
      <c r="F39" s="883"/>
      <c r="G39" s="883"/>
      <c r="H39" s="883"/>
      <c r="I39" s="883"/>
      <c r="J39" s="883"/>
      <c r="K39" s="883"/>
      <c r="L39" s="883"/>
      <c r="M39" s="883"/>
      <c r="N39" s="883"/>
      <c r="O39" s="883"/>
      <c r="P39" s="883"/>
      <c r="Q39" s="883"/>
    </row>
    <row r="40" spans="1:17" ht="19">
      <c r="A40" s="883"/>
      <c r="B40" s="1185" t="s">
        <v>830</v>
      </c>
      <c r="C40" s="1186"/>
      <c r="D40" s="1186"/>
      <c r="E40" s="883"/>
      <c r="F40" s="883"/>
      <c r="G40" s="1187" t="s">
        <v>831</v>
      </c>
      <c r="H40" s="1186"/>
      <c r="I40" s="1186"/>
      <c r="J40" s="883"/>
      <c r="K40" s="883"/>
      <c r="L40" s="883"/>
      <c r="M40" s="883"/>
      <c r="N40" s="883"/>
      <c r="O40" s="883"/>
      <c r="P40" s="883"/>
      <c r="Q40" s="883"/>
    </row>
    <row r="41" spans="1:17" ht="16">
      <c r="A41" s="883"/>
      <c r="B41" s="936" t="s">
        <v>832</v>
      </c>
      <c r="C41" s="891" t="s">
        <v>160</v>
      </c>
      <c r="D41" s="937">
        <f>D16</f>
        <v>0</v>
      </c>
      <c r="E41" s="938" t="s">
        <v>813</v>
      </c>
      <c r="F41" s="883"/>
      <c r="G41" s="936" t="s">
        <v>832</v>
      </c>
      <c r="H41" s="891" t="s">
        <v>160</v>
      </c>
      <c r="I41" s="937">
        <f>D41</f>
        <v>0</v>
      </c>
      <c r="J41" s="938" t="s">
        <v>813</v>
      </c>
      <c r="K41" s="883"/>
      <c r="L41" s="883"/>
      <c r="M41" s="883"/>
      <c r="N41" s="883"/>
      <c r="O41" s="883"/>
      <c r="P41" s="883"/>
      <c r="Q41" s="883"/>
    </row>
    <row r="42" spans="1:17">
      <c r="A42" s="883"/>
      <c r="B42" s="939" t="s">
        <v>833</v>
      </c>
      <c r="C42" s="891" t="s">
        <v>86</v>
      </c>
      <c r="D42" s="940">
        <f>D4</f>
        <v>0</v>
      </c>
      <c r="E42" s="938" t="s">
        <v>813</v>
      </c>
      <c r="F42" s="883"/>
      <c r="G42" s="939" t="s">
        <v>833</v>
      </c>
      <c r="H42" s="891" t="s">
        <v>86</v>
      </c>
      <c r="I42" s="940">
        <f>D42</f>
        <v>0</v>
      </c>
      <c r="J42" s="938" t="s">
        <v>813</v>
      </c>
      <c r="K42" s="883"/>
      <c r="L42" s="883"/>
      <c r="M42" s="883"/>
      <c r="N42" s="883"/>
      <c r="O42" s="883"/>
      <c r="P42" s="883"/>
      <c r="Q42" s="883"/>
    </row>
    <row r="43" spans="1:17">
      <c r="A43" s="883"/>
      <c r="B43" s="939"/>
      <c r="C43" s="891"/>
      <c r="D43" s="891"/>
      <c r="E43" s="883"/>
      <c r="F43" s="883"/>
      <c r="G43" s="939"/>
      <c r="H43" s="891"/>
      <c r="I43" s="891"/>
      <c r="J43" s="883"/>
      <c r="K43" s="883"/>
      <c r="L43" s="883"/>
      <c r="M43" s="883"/>
      <c r="N43" s="883"/>
      <c r="O43" s="883"/>
      <c r="P43" s="883"/>
      <c r="Q43" s="883"/>
    </row>
    <row r="44" spans="1:17">
      <c r="A44" s="883"/>
      <c r="B44" s="939" t="s">
        <v>817</v>
      </c>
      <c r="C44" s="891" t="s">
        <v>85</v>
      </c>
      <c r="D44" s="897"/>
      <c r="E44" s="920" t="s">
        <v>834</v>
      </c>
      <c r="F44" s="883"/>
      <c r="G44" s="939" t="s">
        <v>817</v>
      </c>
      <c r="H44" s="891" t="s">
        <v>85</v>
      </c>
      <c r="I44" s="937">
        <f>D44</f>
        <v>0</v>
      </c>
      <c r="J44" s="938" t="s">
        <v>813</v>
      </c>
      <c r="K44" s="883"/>
      <c r="L44" s="883"/>
      <c r="M44" s="883"/>
      <c r="N44" s="883"/>
      <c r="O44" s="883"/>
      <c r="P44" s="883"/>
      <c r="Q44" s="883"/>
    </row>
    <row r="45" spans="1:17" ht="16">
      <c r="A45" s="883"/>
      <c r="B45" s="941" t="s">
        <v>835</v>
      </c>
      <c r="C45" s="891" t="s">
        <v>63</v>
      </c>
      <c r="D45" s="942"/>
      <c r="E45" s="920" t="s">
        <v>834</v>
      </c>
      <c r="F45" s="883"/>
      <c r="G45" s="941" t="s">
        <v>835</v>
      </c>
      <c r="H45" s="891" t="s">
        <v>63</v>
      </c>
      <c r="I45" s="943">
        <f>D45</f>
        <v>0</v>
      </c>
      <c r="J45" s="938" t="s">
        <v>813</v>
      </c>
      <c r="K45" s="883"/>
      <c r="L45" s="883"/>
      <c r="M45" s="883"/>
      <c r="N45" s="883"/>
      <c r="O45" s="883"/>
      <c r="P45" s="883"/>
      <c r="Q45" s="883"/>
    </row>
    <row r="46" spans="1:17" ht="16">
      <c r="A46" s="883"/>
      <c r="B46" s="941" t="s">
        <v>836</v>
      </c>
      <c r="C46" s="891" t="s">
        <v>63</v>
      </c>
      <c r="D46" s="937" t="e">
        <f>#REF!</f>
        <v>#REF!</v>
      </c>
      <c r="E46" s="944" t="s">
        <v>837</v>
      </c>
      <c r="F46" s="920"/>
      <c r="G46" s="891"/>
      <c r="H46" s="891"/>
      <c r="I46" s="891"/>
      <c r="J46" s="883"/>
      <c r="K46" s="883"/>
      <c r="L46" s="883"/>
      <c r="M46" s="883"/>
      <c r="N46" s="883"/>
      <c r="O46" s="883"/>
      <c r="P46" s="883"/>
      <c r="Q46" s="883"/>
    </row>
    <row r="47" spans="1:17">
      <c r="A47" s="883"/>
      <c r="B47" s="1188" t="s">
        <v>838</v>
      </c>
      <c r="C47" s="1189"/>
      <c r="D47" s="1190"/>
      <c r="E47" s="896" t="s">
        <v>463</v>
      </c>
      <c r="F47" s="883"/>
      <c r="G47" s="1188" t="s">
        <v>838</v>
      </c>
      <c r="H47" s="1189"/>
      <c r="I47" s="1190"/>
      <c r="J47" s="896" t="s">
        <v>463</v>
      </c>
      <c r="K47" s="883"/>
      <c r="L47" s="883"/>
      <c r="M47" s="883"/>
      <c r="N47" s="883"/>
      <c r="O47" s="883"/>
      <c r="P47" s="883"/>
      <c r="Q47" s="883"/>
    </row>
    <row r="48" spans="1:17">
      <c r="A48" s="883"/>
      <c r="B48" s="945" t="s">
        <v>524</v>
      </c>
      <c r="C48" s="891" t="s">
        <v>150</v>
      </c>
      <c r="D48" s="946" t="e">
        <f>J24</f>
        <v>#REF!</v>
      </c>
      <c r="E48" s="946">
        <f>P4</f>
        <v>0</v>
      </c>
      <c r="F48" s="883"/>
      <c r="G48" s="945" t="s">
        <v>823</v>
      </c>
      <c r="H48" s="891" t="s">
        <v>150</v>
      </c>
      <c r="I48" s="946" t="e">
        <f>D48</f>
        <v>#REF!</v>
      </c>
      <c r="J48" s="946">
        <f>E48</f>
        <v>0</v>
      </c>
      <c r="K48" s="883"/>
      <c r="L48" s="883"/>
      <c r="M48" s="883"/>
      <c r="N48" s="883"/>
      <c r="O48" s="883"/>
      <c r="P48" s="883"/>
      <c r="Q48" s="883"/>
    </row>
    <row r="49" spans="1:17">
      <c r="A49" s="883"/>
      <c r="B49" s="939" t="s">
        <v>839</v>
      </c>
      <c r="C49" s="891" t="s">
        <v>85</v>
      </c>
      <c r="D49" s="946">
        <f>D44</f>
        <v>0</v>
      </c>
      <c r="E49" s="947">
        <v>2110</v>
      </c>
      <c r="F49" s="944" t="s">
        <v>840</v>
      </c>
      <c r="G49" s="939" t="s">
        <v>841</v>
      </c>
      <c r="H49" s="891" t="s">
        <v>85</v>
      </c>
      <c r="I49" s="937">
        <f>D44</f>
        <v>0</v>
      </c>
      <c r="J49" s="320">
        <v>2220</v>
      </c>
      <c r="K49" s="883"/>
      <c r="L49" s="883"/>
      <c r="M49" s="883"/>
      <c r="N49" s="883"/>
      <c r="O49" s="883"/>
      <c r="P49" s="883"/>
      <c r="Q49" s="883"/>
    </row>
    <row r="50" spans="1:17">
      <c r="A50" s="883"/>
      <c r="B50" s="939" t="s">
        <v>842</v>
      </c>
      <c r="C50" s="891" t="s">
        <v>85</v>
      </c>
      <c r="D50" s="946">
        <f>D44</f>
        <v>0</v>
      </c>
      <c r="E50" s="947">
        <v>2440</v>
      </c>
      <c r="F50" s="944" t="s">
        <v>840</v>
      </c>
      <c r="G50" s="939" t="s">
        <v>843</v>
      </c>
      <c r="H50" s="891" t="s">
        <v>85</v>
      </c>
      <c r="I50" s="937">
        <f>D44</f>
        <v>0</v>
      </c>
      <c r="J50" s="320">
        <v>3060</v>
      </c>
      <c r="K50" s="883"/>
      <c r="L50" s="883"/>
      <c r="M50" s="883"/>
      <c r="N50" s="883"/>
      <c r="O50" s="883"/>
      <c r="P50" s="883"/>
      <c r="Q50" s="883"/>
    </row>
    <row r="51" spans="1:17">
      <c r="A51" s="883"/>
      <c r="B51" s="939" t="s">
        <v>844</v>
      </c>
      <c r="C51" s="891" t="s">
        <v>85</v>
      </c>
      <c r="D51" s="937">
        <f>D44</f>
        <v>0</v>
      </c>
      <c r="E51" s="320">
        <v>2440</v>
      </c>
      <c r="F51" s="883"/>
      <c r="G51" s="939" t="s">
        <v>845</v>
      </c>
      <c r="H51" s="891" t="s">
        <v>85</v>
      </c>
      <c r="I51" s="937">
        <f>D44</f>
        <v>0</v>
      </c>
      <c r="J51" s="320">
        <v>2870</v>
      </c>
      <c r="K51" s="883"/>
      <c r="L51" s="883"/>
      <c r="M51" s="883"/>
      <c r="N51" s="883"/>
      <c r="O51" s="883"/>
      <c r="P51" s="883"/>
      <c r="Q51" s="883"/>
    </row>
    <row r="52" spans="1:17">
      <c r="A52" s="883"/>
      <c r="B52" s="939" t="s">
        <v>846</v>
      </c>
      <c r="C52" s="891" t="s">
        <v>85</v>
      </c>
      <c r="D52" s="937">
        <f>D44</f>
        <v>0</v>
      </c>
      <c r="E52" s="320">
        <v>2830</v>
      </c>
      <c r="F52" s="883"/>
      <c r="G52" s="939" t="s">
        <v>847</v>
      </c>
      <c r="H52" s="891" t="s">
        <v>85</v>
      </c>
      <c r="I52" s="937">
        <f>D44</f>
        <v>0</v>
      </c>
      <c r="J52" s="320">
        <v>3990</v>
      </c>
      <c r="K52" s="883"/>
      <c r="L52" s="883"/>
      <c r="M52" s="883"/>
      <c r="N52" s="883"/>
      <c r="O52" s="883"/>
      <c r="P52" s="883"/>
      <c r="Q52" s="883"/>
    </row>
    <row r="53" spans="1:17">
      <c r="A53" s="883"/>
      <c r="B53" s="939" t="s">
        <v>848</v>
      </c>
      <c r="C53" s="891" t="s">
        <v>85</v>
      </c>
      <c r="D53" s="937">
        <f>D44</f>
        <v>0</v>
      </c>
      <c r="E53" s="320">
        <v>300</v>
      </c>
      <c r="F53" s="883"/>
      <c r="G53" s="939" t="s">
        <v>848</v>
      </c>
      <c r="H53" s="891" t="s">
        <v>85</v>
      </c>
      <c r="I53" s="937">
        <f>D44</f>
        <v>0</v>
      </c>
      <c r="J53" s="320">
        <v>300</v>
      </c>
      <c r="K53" s="883"/>
      <c r="L53" s="883"/>
      <c r="M53" s="883"/>
      <c r="N53" s="883"/>
      <c r="O53" s="883"/>
      <c r="P53" s="883"/>
      <c r="Q53" s="883"/>
    </row>
    <row r="54" spans="1:17">
      <c r="A54" s="883"/>
      <c r="B54" s="939" t="s">
        <v>849</v>
      </c>
      <c r="C54" s="891" t="s">
        <v>85</v>
      </c>
      <c r="D54" s="937" t="e">
        <f>#REF!</f>
        <v>#REF!</v>
      </c>
      <c r="E54" s="320">
        <v>16</v>
      </c>
      <c r="F54" s="883"/>
      <c r="G54" s="939" t="s">
        <v>849</v>
      </c>
      <c r="H54" s="891" t="s">
        <v>85</v>
      </c>
      <c r="I54" s="937" t="e">
        <f>#REF!</f>
        <v>#REF!</v>
      </c>
      <c r="J54" s="937">
        <f>E54</f>
        <v>16</v>
      </c>
      <c r="K54" s="883"/>
      <c r="L54" s="883"/>
      <c r="M54" s="883"/>
      <c r="N54" s="883"/>
      <c r="O54" s="883"/>
      <c r="P54" s="883"/>
      <c r="Q54" s="883"/>
    </row>
    <row r="55" spans="1:17">
      <c r="A55" s="883"/>
      <c r="B55" s="939" t="s">
        <v>850</v>
      </c>
      <c r="C55" s="891" t="s">
        <v>85</v>
      </c>
      <c r="D55" s="937" t="e">
        <f>#REF!</f>
        <v>#REF!</v>
      </c>
      <c r="E55" s="320">
        <v>324</v>
      </c>
      <c r="F55" s="883"/>
      <c r="G55" s="890" t="s">
        <v>851</v>
      </c>
      <c r="H55" s="891" t="s">
        <v>63</v>
      </c>
      <c r="I55" s="891"/>
      <c r="J55" s="937">
        <f>E59</f>
        <v>17000</v>
      </c>
      <c r="K55" s="883"/>
      <c r="L55" s="883"/>
      <c r="M55" s="883"/>
      <c r="N55" s="883"/>
      <c r="O55" s="883"/>
      <c r="P55" s="883"/>
      <c r="Q55" s="883"/>
    </row>
    <row r="56" spans="1:17">
      <c r="A56" s="883"/>
      <c r="B56" s="939" t="s">
        <v>850</v>
      </c>
      <c r="C56" s="891" t="s">
        <v>85</v>
      </c>
      <c r="D56" s="937" t="e">
        <f>#REF!</f>
        <v>#REF!</v>
      </c>
      <c r="E56" s="937">
        <f>E55</f>
        <v>324</v>
      </c>
      <c r="F56" s="883"/>
      <c r="G56" s="890" t="s">
        <v>852</v>
      </c>
      <c r="H56" s="891" t="s">
        <v>167</v>
      </c>
      <c r="I56" s="937" t="e">
        <f>#REF!</f>
        <v>#REF!</v>
      </c>
      <c r="J56" s="320">
        <v>15000</v>
      </c>
      <c r="K56" s="883"/>
      <c r="L56" s="883"/>
      <c r="M56" s="883"/>
      <c r="N56" s="883"/>
      <c r="O56" s="883"/>
      <c r="P56" s="883"/>
      <c r="Q56" s="883"/>
    </row>
    <row r="57" spans="1:17">
      <c r="A57" s="883"/>
      <c r="B57" s="939" t="s">
        <v>850</v>
      </c>
      <c r="C57" s="891" t="s">
        <v>85</v>
      </c>
      <c r="D57" s="937" t="e">
        <f>#REF!</f>
        <v>#REF!</v>
      </c>
      <c r="E57" s="937">
        <f>E55</f>
        <v>324</v>
      </c>
      <c r="F57" s="883"/>
      <c r="G57" s="890" t="s">
        <v>853</v>
      </c>
      <c r="H57" s="891" t="s">
        <v>167</v>
      </c>
      <c r="I57" s="937" t="e">
        <f>#REF!</f>
        <v>#REF!</v>
      </c>
      <c r="J57" s="320">
        <v>15000</v>
      </c>
      <c r="K57" s="883"/>
      <c r="L57" s="883"/>
      <c r="M57" s="883"/>
      <c r="N57" s="883"/>
      <c r="O57" s="883"/>
      <c r="P57" s="883"/>
      <c r="Q57" s="883"/>
    </row>
    <row r="58" spans="1:17">
      <c r="A58" s="883"/>
      <c r="B58" s="939" t="s">
        <v>850</v>
      </c>
      <c r="C58" s="891" t="s">
        <v>85</v>
      </c>
      <c r="D58" s="937" t="e">
        <f>#REF!</f>
        <v>#REF!</v>
      </c>
      <c r="E58" s="937">
        <f>E55</f>
        <v>324</v>
      </c>
      <c r="F58" s="948" t="s">
        <v>854</v>
      </c>
      <c r="G58" s="890" t="s">
        <v>855</v>
      </c>
      <c r="H58" s="891" t="s">
        <v>167</v>
      </c>
      <c r="I58" s="937" t="e">
        <f>#REF!</f>
        <v>#REF!</v>
      </c>
      <c r="J58" s="320">
        <v>15000</v>
      </c>
      <c r="K58" s="883"/>
      <c r="L58" s="883"/>
      <c r="M58" s="883"/>
      <c r="N58" s="883"/>
      <c r="O58" s="883"/>
      <c r="P58" s="883"/>
      <c r="Q58" s="883"/>
    </row>
    <row r="59" spans="1:17">
      <c r="A59" s="883"/>
      <c r="B59" s="890" t="s">
        <v>856</v>
      </c>
      <c r="C59" s="891" t="s">
        <v>63</v>
      </c>
      <c r="D59" s="891"/>
      <c r="E59" s="320">
        <v>17000</v>
      </c>
      <c r="F59" s="949">
        <v>150</v>
      </c>
      <c r="G59" s="890" t="s">
        <v>857</v>
      </c>
      <c r="H59" s="891" t="s">
        <v>167</v>
      </c>
      <c r="I59" s="937" t="e">
        <f>#REF!</f>
        <v>#REF!</v>
      </c>
      <c r="J59" s="320">
        <v>15000</v>
      </c>
      <c r="K59" s="883"/>
      <c r="L59" s="883"/>
      <c r="M59" s="883"/>
      <c r="N59" s="883"/>
      <c r="O59" s="883"/>
      <c r="P59" s="883"/>
      <c r="Q59" s="883"/>
    </row>
    <row r="60" spans="1:17">
      <c r="A60" s="883"/>
      <c r="B60" s="890" t="s">
        <v>858</v>
      </c>
      <c r="C60" s="891" t="s">
        <v>167</v>
      </c>
      <c r="D60" s="937" t="e">
        <f>#REF!</f>
        <v>#REF!</v>
      </c>
      <c r="E60" s="320">
        <v>15000</v>
      </c>
      <c r="F60" s="883"/>
      <c r="G60" s="883"/>
      <c r="H60" s="883"/>
      <c r="I60" s="883"/>
      <c r="J60" s="883"/>
      <c r="K60" s="883"/>
      <c r="L60" s="883"/>
      <c r="M60" s="883"/>
      <c r="N60" s="883"/>
      <c r="O60" s="883"/>
      <c r="P60" s="883"/>
      <c r="Q60" s="883"/>
    </row>
    <row r="61" spans="1:17">
      <c r="A61" s="883"/>
      <c r="B61" s="890" t="s">
        <v>859</v>
      </c>
      <c r="C61" s="891" t="s">
        <v>167</v>
      </c>
      <c r="D61" s="937" t="e">
        <f>#REF!</f>
        <v>#REF!</v>
      </c>
      <c r="E61" s="320">
        <v>15000</v>
      </c>
      <c r="F61" s="883"/>
      <c r="G61" s="1150" t="s">
        <v>494</v>
      </c>
      <c r="H61" s="1150"/>
      <c r="I61" s="1150"/>
      <c r="J61" s="883"/>
      <c r="K61" s="883"/>
      <c r="L61" s="883"/>
      <c r="M61" s="883"/>
      <c r="N61" s="883"/>
      <c r="O61" s="883"/>
      <c r="P61" s="883"/>
      <c r="Q61" s="883"/>
    </row>
    <row r="62" spans="1:17">
      <c r="A62" s="883"/>
      <c r="B62" s="890" t="s">
        <v>860</v>
      </c>
      <c r="C62" s="891" t="s">
        <v>167</v>
      </c>
      <c r="D62" s="937" t="e">
        <f>#REF!</f>
        <v>#REF!</v>
      </c>
      <c r="E62" s="320">
        <v>15000</v>
      </c>
      <c r="F62" s="883"/>
      <c r="G62" s="939" t="s">
        <v>495</v>
      </c>
      <c r="H62" s="891"/>
      <c r="I62" s="937">
        <f>D68</f>
        <v>100</v>
      </c>
      <c r="J62" s="891"/>
      <c r="K62" s="883"/>
      <c r="L62" s="883"/>
      <c r="M62" s="883"/>
      <c r="N62" s="883"/>
      <c r="O62" s="883"/>
      <c r="P62" s="883"/>
      <c r="Q62" s="883"/>
    </row>
    <row r="63" spans="1:17">
      <c r="A63" s="883"/>
      <c r="B63" s="890" t="s">
        <v>861</v>
      </c>
      <c r="C63" s="891" t="s">
        <v>167</v>
      </c>
      <c r="D63" s="937" t="e">
        <f>#REF!</f>
        <v>#REF!</v>
      </c>
      <c r="E63" s="320">
        <v>15000</v>
      </c>
      <c r="F63" s="883"/>
      <c r="G63" s="939" t="s">
        <v>524</v>
      </c>
      <c r="H63" s="891" t="s">
        <v>150</v>
      </c>
      <c r="I63" s="937" t="e">
        <f>D48</f>
        <v>#REF!</v>
      </c>
      <c r="J63" s="891"/>
      <c r="K63" s="883"/>
      <c r="L63" s="883"/>
      <c r="M63" s="883"/>
      <c r="N63" s="883"/>
      <c r="O63" s="883"/>
      <c r="P63" s="883"/>
      <c r="Q63" s="883"/>
    </row>
    <row r="64" spans="1:17">
      <c r="A64" s="883"/>
      <c r="B64" s="890" t="s">
        <v>482</v>
      </c>
      <c r="C64" s="951" t="s">
        <v>85</v>
      </c>
      <c r="D64" s="952" t="e">
        <f>#REF!</f>
        <v>#REF!</v>
      </c>
      <c r="E64" s="890"/>
      <c r="F64" s="883"/>
      <c r="G64" s="939" t="s">
        <v>862</v>
      </c>
      <c r="H64" s="891" t="s">
        <v>85</v>
      </c>
      <c r="I64" s="320">
        <v>1900</v>
      </c>
      <c r="J64" s="891"/>
      <c r="K64" s="883"/>
      <c r="L64" s="883"/>
      <c r="M64" s="883"/>
      <c r="N64" s="883"/>
      <c r="O64" s="883"/>
      <c r="P64" s="883"/>
      <c r="Q64" s="883"/>
    </row>
    <row r="65" spans="1:17">
      <c r="A65" s="883"/>
      <c r="B65" s="890" t="s">
        <v>863</v>
      </c>
      <c r="C65" s="953" t="s">
        <v>156</v>
      </c>
      <c r="D65" s="952"/>
      <c r="E65" s="949">
        <v>380</v>
      </c>
      <c r="F65" s="883"/>
      <c r="G65" s="939"/>
      <c r="H65" s="891"/>
      <c r="I65" s="320"/>
      <c r="J65" s="891"/>
      <c r="K65" s="883"/>
      <c r="L65" s="883"/>
      <c r="M65" s="883"/>
      <c r="N65" s="883"/>
      <c r="O65" s="883"/>
      <c r="P65" s="883"/>
      <c r="Q65" s="883"/>
    </row>
    <row r="66" spans="1:17">
      <c r="A66" s="883"/>
      <c r="B66" s="890" t="s">
        <v>864</v>
      </c>
      <c r="C66" s="953" t="s">
        <v>85</v>
      </c>
      <c r="D66" s="952"/>
      <c r="E66" s="949">
        <v>47</v>
      </c>
      <c r="F66" s="883"/>
      <c r="G66" s="939"/>
      <c r="H66" s="891"/>
      <c r="I66" s="320"/>
      <c r="J66" s="891"/>
      <c r="K66" s="883"/>
      <c r="L66" s="883"/>
      <c r="M66" s="883"/>
      <c r="N66" s="883"/>
      <c r="O66" s="883"/>
      <c r="P66" s="883"/>
      <c r="Q66" s="883"/>
    </row>
    <row r="67" spans="1:17">
      <c r="A67" s="883"/>
      <c r="B67" s="1150" t="s">
        <v>494</v>
      </c>
      <c r="C67" s="1150"/>
      <c r="D67" s="1150"/>
      <c r="E67" s="883"/>
      <c r="F67" s="883"/>
      <c r="G67" s="939" t="s">
        <v>865</v>
      </c>
      <c r="H67" s="891" t="s">
        <v>85</v>
      </c>
      <c r="I67" s="320">
        <v>2100</v>
      </c>
      <c r="J67" s="891"/>
      <c r="K67" s="883"/>
      <c r="L67" s="883"/>
      <c r="M67" s="883"/>
      <c r="N67" s="883"/>
      <c r="O67" s="883"/>
      <c r="P67" s="883"/>
      <c r="Q67" s="883"/>
    </row>
    <row r="68" spans="1:17">
      <c r="A68" s="883"/>
      <c r="B68" s="1181" t="s">
        <v>495</v>
      </c>
      <c r="C68" s="1181"/>
      <c r="D68" s="320">
        <v>100</v>
      </c>
      <c r="E68" s="891"/>
      <c r="F68" s="883"/>
      <c r="G68" s="939" t="s">
        <v>845</v>
      </c>
      <c r="H68" s="891" t="s">
        <v>85</v>
      </c>
      <c r="I68" s="320">
        <v>2260</v>
      </c>
      <c r="J68" s="891"/>
      <c r="K68" s="883"/>
      <c r="L68" s="883"/>
      <c r="M68" s="883"/>
      <c r="N68" s="883"/>
      <c r="O68" s="883"/>
      <c r="P68" s="883"/>
      <c r="Q68" s="883"/>
    </row>
    <row r="69" spans="1:17">
      <c r="A69" s="883"/>
      <c r="B69" s="954" t="s">
        <v>524</v>
      </c>
      <c r="C69" s="955" t="s">
        <v>150</v>
      </c>
      <c r="D69" s="937" t="e">
        <f>D48</f>
        <v>#REF!</v>
      </c>
      <c r="E69" s="891"/>
      <c r="F69" s="883"/>
      <c r="G69" s="939" t="s">
        <v>847</v>
      </c>
      <c r="H69" s="891" t="s">
        <v>85</v>
      </c>
      <c r="I69" s="320">
        <v>2100</v>
      </c>
      <c r="J69" s="891"/>
      <c r="K69" s="883"/>
      <c r="L69" s="883"/>
      <c r="M69" s="883"/>
      <c r="N69" s="883"/>
      <c r="O69" s="883"/>
      <c r="P69" s="883"/>
      <c r="Q69" s="883"/>
    </row>
    <row r="70" spans="1:17">
      <c r="A70" s="883"/>
      <c r="B70" s="939" t="s">
        <v>866</v>
      </c>
      <c r="C70" s="956" t="s">
        <v>85</v>
      </c>
      <c r="D70" s="320">
        <v>1200</v>
      </c>
      <c r="E70" s="891"/>
      <c r="F70" s="883"/>
      <c r="G70" s="939" t="s">
        <v>867</v>
      </c>
      <c r="H70" s="891" t="s">
        <v>85</v>
      </c>
      <c r="I70" s="937">
        <f>D74</f>
        <v>250</v>
      </c>
      <c r="J70" s="891"/>
      <c r="K70" s="883"/>
      <c r="L70" s="883"/>
      <c r="M70" s="883"/>
      <c r="N70" s="883"/>
      <c r="O70" s="883"/>
      <c r="P70" s="883"/>
      <c r="Q70" s="883"/>
    </row>
    <row r="71" spans="1:17">
      <c r="A71" s="883"/>
      <c r="B71" s="939" t="s">
        <v>868</v>
      </c>
      <c r="C71" s="956" t="s">
        <v>85</v>
      </c>
      <c r="D71" s="320">
        <v>1200</v>
      </c>
      <c r="E71" s="891"/>
      <c r="F71" s="883"/>
      <c r="G71" s="939" t="s">
        <v>869</v>
      </c>
      <c r="H71" s="891" t="s">
        <v>86</v>
      </c>
      <c r="I71" s="937">
        <f>D75</f>
        <v>450</v>
      </c>
      <c r="J71" s="891"/>
      <c r="K71" s="883"/>
      <c r="L71" s="883"/>
      <c r="M71" s="883"/>
      <c r="N71" s="883"/>
      <c r="O71" s="883"/>
      <c r="P71" s="883"/>
      <c r="Q71" s="883"/>
    </row>
    <row r="72" spans="1:17">
      <c r="A72" s="883"/>
      <c r="B72" s="939" t="s">
        <v>870</v>
      </c>
      <c r="C72" s="956" t="s">
        <v>85</v>
      </c>
      <c r="D72" s="320">
        <v>1200</v>
      </c>
      <c r="E72" s="891"/>
      <c r="F72" s="883"/>
      <c r="G72" s="890" t="s">
        <v>871</v>
      </c>
      <c r="H72" s="891" t="s">
        <v>63</v>
      </c>
      <c r="I72" s="937">
        <f>D76</f>
        <v>500</v>
      </c>
      <c r="J72" s="891"/>
      <c r="K72" s="883"/>
      <c r="L72" s="883"/>
      <c r="M72" s="883"/>
      <c r="N72" s="883"/>
      <c r="O72" s="883"/>
      <c r="P72" s="883"/>
      <c r="Q72" s="883"/>
    </row>
    <row r="73" spans="1:17">
      <c r="A73" s="883"/>
      <c r="B73" s="939" t="s">
        <v>872</v>
      </c>
      <c r="C73" s="956" t="s">
        <v>85</v>
      </c>
      <c r="D73" s="320">
        <v>1200</v>
      </c>
      <c r="E73" s="891"/>
      <c r="F73" s="883"/>
      <c r="G73" s="890"/>
      <c r="H73" s="891"/>
      <c r="I73" s="891"/>
      <c r="J73" s="891"/>
      <c r="K73" s="883"/>
      <c r="L73" s="883"/>
      <c r="M73" s="883"/>
      <c r="N73" s="883"/>
      <c r="O73" s="883"/>
      <c r="P73" s="883"/>
      <c r="Q73" s="883"/>
    </row>
    <row r="74" spans="1:17">
      <c r="A74" s="883"/>
      <c r="B74" s="939" t="s">
        <v>867</v>
      </c>
      <c r="C74" s="956" t="s">
        <v>85</v>
      </c>
      <c r="D74" s="320">
        <v>250</v>
      </c>
      <c r="E74" s="891"/>
      <c r="F74" s="883"/>
      <c r="G74" s="939"/>
      <c r="H74" s="891"/>
      <c r="I74" s="891"/>
      <c r="J74" s="891"/>
      <c r="K74" s="883"/>
      <c r="L74" s="883"/>
      <c r="M74" s="883"/>
      <c r="N74" s="883"/>
      <c r="O74" s="883"/>
      <c r="P74" s="883"/>
      <c r="Q74" s="883"/>
    </row>
    <row r="75" spans="1:17">
      <c r="A75" s="883"/>
      <c r="B75" s="939" t="s">
        <v>869</v>
      </c>
      <c r="C75" s="891" t="s">
        <v>86</v>
      </c>
      <c r="D75" s="320">
        <v>450</v>
      </c>
      <c r="E75" s="891"/>
      <c r="F75" s="883"/>
      <c r="G75" s="883"/>
      <c r="H75" s="883"/>
      <c r="I75" s="883"/>
      <c r="J75" s="883"/>
      <c r="K75" s="883"/>
      <c r="L75" s="883"/>
      <c r="M75" s="883"/>
      <c r="N75" s="883"/>
      <c r="O75" s="883"/>
      <c r="P75" s="883"/>
      <c r="Q75" s="883"/>
    </row>
    <row r="76" spans="1:17">
      <c r="A76" s="883"/>
      <c r="B76" s="890" t="s">
        <v>871</v>
      </c>
      <c r="C76" s="891" t="s">
        <v>63</v>
      </c>
      <c r="D76" s="320">
        <v>500</v>
      </c>
      <c r="E76" s="891"/>
      <c r="F76" s="883"/>
      <c r="G76" s="883"/>
      <c r="H76" s="883"/>
      <c r="I76" s="883"/>
      <c r="J76" s="883"/>
      <c r="K76" s="883"/>
      <c r="L76" s="883"/>
      <c r="M76" s="883"/>
      <c r="N76" s="883"/>
      <c r="O76" s="883"/>
      <c r="P76" s="883"/>
      <c r="Q76" s="883"/>
    </row>
    <row r="77" spans="1:17">
      <c r="A77" s="883"/>
      <c r="B77" s="890" t="s">
        <v>873</v>
      </c>
      <c r="C77" s="891" t="s">
        <v>423</v>
      </c>
      <c r="D77" s="320">
        <v>5000</v>
      </c>
      <c r="E77" s="891"/>
      <c r="F77" s="883"/>
      <c r="G77" s="883"/>
      <c r="H77" s="883"/>
      <c r="I77" s="883"/>
      <c r="J77" s="883"/>
      <c r="K77" s="883"/>
      <c r="L77" s="883"/>
      <c r="M77" s="883"/>
      <c r="N77" s="883"/>
      <c r="O77" s="883"/>
      <c r="P77" s="883"/>
      <c r="Q77" s="883"/>
    </row>
    <row r="78" spans="1:17">
      <c r="A78" s="883"/>
      <c r="B78" s="957"/>
      <c r="C78" s="958"/>
      <c r="D78" s="958"/>
      <c r="E78" s="958"/>
      <c r="F78" s="883"/>
      <c r="G78" s="883"/>
      <c r="H78" s="883"/>
      <c r="I78" s="883"/>
      <c r="J78" s="883"/>
      <c r="K78" s="883"/>
      <c r="L78" s="883"/>
      <c r="M78" s="883"/>
      <c r="N78" s="883"/>
      <c r="O78" s="883"/>
      <c r="P78" s="883"/>
      <c r="Q78" s="883"/>
    </row>
    <row r="79" spans="1:17">
      <c r="A79" s="877"/>
      <c r="B79" s="877"/>
      <c r="C79" s="959"/>
      <c r="D79" s="959"/>
      <c r="E79" s="959"/>
      <c r="F79" s="1182" t="s">
        <v>874</v>
      </c>
      <c r="G79" s="1182"/>
      <c r="H79" s="1182"/>
      <c r="I79" s="1182"/>
      <c r="J79" s="1182"/>
      <c r="K79" s="1182"/>
      <c r="L79" s="1182"/>
      <c r="M79" s="1182"/>
      <c r="N79" s="1182"/>
      <c r="O79" s="877"/>
      <c r="P79" s="877"/>
      <c r="Q79" s="877"/>
    </row>
    <row r="80" spans="1:17">
      <c r="A80" s="877"/>
      <c r="B80" s="877"/>
      <c r="C80" s="959"/>
      <c r="D80" s="959"/>
      <c r="E80" s="959"/>
      <c r="F80" s="1182"/>
      <c r="G80" s="1182"/>
      <c r="H80" s="1182"/>
      <c r="I80" s="1182"/>
      <c r="J80" s="1182"/>
      <c r="K80" s="1182"/>
      <c r="L80" s="1182"/>
      <c r="M80" s="1182"/>
      <c r="N80" s="1182"/>
      <c r="O80" s="877"/>
      <c r="P80" s="877"/>
      <c r="Q80" s="877"/>
    </row>
    <row r="81" spans="1:17" ht="16" thickBot="1">
      <c r="A81" s="883"/>
      <c r="B81" s="883"/>
      <c r="C81" s="883"/>
      <c r="D81" s="883"/>
      <c r="E81" s="883"/>
      <c r="F81" s="883"/>
      <c r="G81" s="960"/>
      <c r="H81" s="961" t="s">
        <v>462</v>
      </c>
      <c r="I81" s="962" t="s">
        <v>463</v>
      </c>
      <c r="J81" s="962"/>
      <c r="K81" s="962"/>
      <c r="L81" s="960"/>
      <c r="M81" s="883"/>
      <c r="N81" s="883"/>
      <c r="O81" s="883"/>
      <c r="P81" s="883"/>
      <c r="Q81" s="883"/>
    </row>
    <row r="82" spans="1:17" ht="52" thickBot="1">
      <c r="A82" s="963" t="s">
        <v>875</v>
      </c>
      <c r="B82" s="964" t="s">
        <v>876</v>
      </c>
      <c r="C82" s="965" t="s">
        <v>139</v>
      </c>
      <c r="D82" s="966" t="s">
        <v>877</v>
      </c>
      <c r="E82" s="883"/>
      <c r="F82" s="883"/>
      <c r="G82" s="967" t="s">
        <v>878</v>
      </c>
      <c r="H82" s="968" t="s">
        <v>156</v>
      </c>
      <c r="I82" s="969">
        <v>390</v>
      </c>
      <c r="J82" s="962"/>
      <c r="K82" s="962"/>
      <c r="L82" s="960"/>
      <c r="M82" s="883"/>
      <c r="N82" s="899" t="s">
        <v>879</v>
      </c>
      <c r="O82" s="896" t="s">
        <v>63</v>
      </c>
      <c r="P82" s="900">
        <v>350</v>
      </c>
      <c r="Q82" s="883"/>
    </row>
    <row r="83" spans="1:17" ht="69" thickBot="1">
      <c r="A83" s="964">
        <v>1</v>
      </c>
      <c r="B83" s="1183" t="s">
        <v>880</v>
      </c>
      <c r="C83" s="1184"/>
      <c r="D83" s="970">
        <v>1</v>
      </c>
      <c r="E83" s="971" t="s">
        <v>813</v>
      </c>
      <c r="F83" s="883"/>
      <c r="G83" s="972" t="s">
        <v>881</v>
      </c>
      <c r="H83" s="968" t="s">
        <v>423</v>
      </c>
      <c r="I83" s="973">
        <v>62780</v>
      </c>
      <c r="J83" s="962"/>
      <c r="K83" s="960"/>
      <c r="L83" s="883"/>
      <c r="M83" s="883"/>
      <c r="N83" s="899" t="s">
        <v>882</v>
      </c>
      <c r="O83" s="896" t="s">
        <v>160</v>
      </c>
      <c r="P83" s="900">
        <v>1250</v>
      </c>
      <c r="Q83" s="883"/>
    </row>
    <row r="84" spans="1:17" ht="42" customHeight="1" thickBot="1">
      <c r="A84" s="964">
        <v>2</v>
      </c>
      <c r="B84" s="974" t="s">
        <v>883</v>
      </c>
      <c r="C84" s="975" t="s">
        <v>397</v>
      </c>
      <c r="D84" s="976">
        <v>0.9</v>
      </c>
      <c r="E84" s="1170" t="s">
        <v>884</v>
      </c>
      <c r="F84" s="1171"/>
      <c r="G84" s="972" t="s">
        <v>885</v>
      </c>
      <c r="H84" s="968" t="s">
        <v>423</v>
      </c>
      <c r="I84" s="973">
        <v>63980</v>
      </c>
      <c r="J84" s="962"/>
      <c r="K84" s="960"/>
      <c r="L84" s="883"/>
      <c r="M84" s="883"/>
      <c r="N84" s="899" t="s">
        <v>886</v>
      </c>
      <c r="O84" s="977" t="s">
        <v>63</v>
      </c>
      <c r="P84" s="978">
        <v>650</v>
      </c>
      <c r="Q84" s="883"/>
    </row>
    <row r="85" spans="1:17" ht="68">
      <c r="A85" s="1172" t="s">
        <v>887</v>
      </c>
      <c r="B85" s="979" t="s">
        <v>888</v>
      </c>
      <c r="C85" s="980" t="s">
        <v>160</v>
      </c>
      <c r="D85" s="981">
        <v>100</v>
      </c>
      <c r="E85" s="938" t="s">
        <v>813</v>
      </c>
      <c r="F85" s="883"/>
      <c r="G85" s="972" t="s">
        <v>889</v>
      </c>
      <c r="H85" s="968" t="s">
        <v>63</v>
      </c>
      <c r="I85" s="982">
        <v>6300</v>
      </c>
      <c r="J85" s="962"/>
      <c r="K85" s="960"/>
      <c r="L85" s="883"/>
      <c r="M85" s="883"/>
      <c r="N85" s="899" t="s">
        <v>890</v>
      </c>
      <c r="O85" s="896" t="s">
        <v>148</v>
      </c>
      <c r="P85" s="978">
        <v>450</v>
      </c>
      <c r="Q85" s="883"/>
    </row>
    <row r="86" spans="1:17" ht="68">
      <c r="A86" s="1173"/>
      <c r="B86" s="983" t="s">
        <v>891</v>
      </c>
      <c r="C86" s="888" t="s">
        <v>148</v>
      </c>
      <c r="D86" s="984">
        <v>40</v>
      </c>
      <c r="E86" s="920" t="s">
        <v>892</v>
      </c>
      <c r="F86" s="883"/>
      <c r="G86" s="985" t="s">
        <v>893</v>
      </c>
      <c r="H86" s="968" t="s">
        <v>85</v>
      </c>
      <c r="I86" s="969">
        <v>500</v>
      </c>
      <c r="J86" s="962"/>
      <c r="K86" s="962"/>
      <c r="L86" s="960"/>
      <c r="M86" s="883"/>
      <c r="N86" s="899" t="s">
        <v>894</v>
      </c>
      <c r="O86" s="896" t="s">
        <v>63</v>
      </c>
      <c r="P86" s="978">
        <v>800</v>
      </c>
      <c r="Q86" s="883"/>
    </row>
    <row r="87" spans="1:17" ht="34">
      <c r="A87" s="1173"/>
      <c r="B87" s="983" t="s">
        <v>895</v>
      </c>
      <c r="C87" s="888" t="s">
        <v>397</v>
      </c>
      <c r="D87" s="984">
        <v>0.35</v>
      </c>
      <c r="E87" s="1174" t="s">
        <v>896</v>
      </c>
      <c r="F87" s="1175"/>
      <c r="G87" s="985" t="s">
        <v>897</v>
      </c>
      <c r="H87" s="968" t="s">
        <v>85</v>
      </c>
      <c r="I87" s="969">
        <v>290</v>
      </c>
      <c r="J87" s="962"/>
      <c r="K87" s="962"/>
      <c r="L87" s="960"/>
      <c r="M87" s="883"/>
      <c r="N87" s="899" t="s">
        <v>898</v>
      </c>
      <c r="O87" s="896" t="s">
        <v>148</v>
      </c>
      <c r="P87" s="978">
        <v>100</v>
      </c>
      <c r="Q87" s="883"/>
    </row>
    <row r="88" spans="1:17" ht="34">
      <c r="A88" s="1173"/>
      <c r="B88" s="983" t="s">
        <v>899</v>
      </c>
      <c r="C88" s="888"/>
      <c r="D88" s="986">
        <v>1</v>
      </c>
      <c r="E88" s="938" t="s">
        <v>813</v>
      </c>
      <c r="F88" s="883"/>
      <c r="G88" s="987" t="s">
        <v>900</v>
      </c>
      <c r="H88" s="968" t="s">
        <v>85</v>
      </c>
      <c r="I88" s="969">
        <v>100</v>
      </c>
      <c r="J88" s="962"/>
      <c r="K88" s="962"/>
      <c r="L88" s="960"/>
      <c r="M88" s="883"/>
      <c r="N88" s="899" t="s">
        <v>901</v>
      </c>
      <c r="O88" s="896" t="s">
        <v>148</v>
      </c>
      <c r="P88" s="978">
        <v>100</v>
      </c>
      <c r="Q88" s="883"/>
    </row>
    <row r="89" spans="1:17" ht="51">
      <c r="A89" s="1173"/>
      <c r="B89" s="983" t="s">
        <v>902</v>
      </c>
      <c r="C89" s="888" t="s">
        <v>85</v>
      </c>
      <c r="D89" s="986">
        <v>4</v>
      </c>
      <c r="E89" s="938" t="s">
        <v>813</v>
      </c>
      <c r="F89" s="883"/>
      <c r="G89" s="988" t="s">
        <v>903</v>
      </c>
      <c r="H89" s="968" t="s">
        <v>85</v>
      </c>
      <c r="I89" s="969">
        <v>100</v>
      </c>
      <c r="J89" s="962"/>
      <c r="K89" s="962"/>
      <c r="L89" s="960"/>
      <c r="M89" s="883"/>
      <c r="N89" s="899" t="s">
        <v>904</v>
      </c>
      <c r="O89" s="896" t="s">
        <v>148</v>
      </c>
      <c r="P89" s="978">
        <v>250</v>
      </c>
      <c r="Q89" s="883"/>
    </row>
    <row r="90" spans="1:17" ht="51">
      <c r="A90" s="1173"/>
      <c r="B90" s="983" t="s">
        <v>404</v>
      </c>
      <c r="C90" s="888" t="s">
        <v>85</v>
      </c>
      <c r="D90" s="986">
        <f>D12</f>
        <v>0</v>
      </c>
      <c r="E90" s="938" t="s">
        <v>813</v>
      </c>
      <c r="F90" s="883"/>
      <c r="G90" s="988" t="s">
        <v>905</v>
      </c>
      <c r="H90" s="968" t="s">
        <v>85</v>
      </c>
      <c r="I90" s="969">
        <v>100</v>
      </c>
      <c r="J90" s="962"/>
      <c r="K90" s="962"/>
      <c r="L90" s="960"/>
      <c r="M90" s="883"/>
      <c r="N90" s="899" t="s">
        <v>906</v>
      </c>
      <c r="O90" s="896" t="s">
        <v>63</v>
      </c>
      <c r="P90" s="978">
        <v>650</v>
      </c>
      <c r="Q90" s="883"/>
    </row>
    <row r="91" spans="1:17" ht="69" thickBot="1">
      <c r="A91" s="1173"/>
      <c r="B91" s="989" t="s">
        <v>907</v>
      </c>
      <c r="C91" s="888" t="s">
        <v>397</v>
      </c>
      <c r="D91" s="986">
        <v>0.05</v>
      </c>
      <c r="E91" s="990"/>
      <c r="F91" s="883"/>
      <c r="G91" s="988" t="s">
        <v>908</v>
      </c>
      <c r="H91" s="991" t="s">
        <v>85</v>
      </c>
      <c r="I91" s="992">
        <v>100</v>
      </c>
      <c r="J91" s="962"/>
      <c r="K91" s="962"/>
      <c r="L91" s="960"/>
      <c r="M91" s="883"/>
      <c r="N91" s="899" t="s">
        <v>909</v>
      </c>
      <c r="O91" s="977" t="s">
        <v>160</v>
      </c>
      <c r="P91" s="978">
        <v>120</v>
      </c>
      <c r="Q91" s="883"/>
    </row>
    <row r="92" spans="1:17" ht="85">
      <c r="A92" s="1176" t="s">
        <v>910</v>
      </c>
      <c r="B92" s="993" t="s">
        <v>405</v>
      </c>
      <c r="C92" s="994" t="s">
        <v>397</v>
      </c>
      <c r="D92" s="995">
        <v>0.2</v>
      </c>
      <c r="E92" s="971" t="s">
        <v>813</v>
      </c>
      <c r="F92" s="883"/>
      <c r="G92" s="988" t="s">
        <v>911</v>
      </c>
      <c r="H92" s="968" t="s">
        <v>85</v>
      </c>
      <c r="I92" s="969">
        <v>265</v>
      </c>
      <c r="J92" s="962"/>
      <c r="K92" s="962"/>
      <c r="L92" s="960"/>
      <c r="M92" s="883"/>
      <c r="N92" s="899" t="s">
        <v>912</v>
      </c>
      <c r="O92" s="977" t="s">
        <v>63</v>
      </c>
      <c r="P92" s="978">
        <v>6500</v>
      </c>
      <c r="Q92" s="883"/>
    </row>
    <row r="93" spans="1:17" ht="51">
      <c r="A93" s="1177"/>
      <c r="B93" s="890" t="s">
        <v>406</v>
      </c>
      <c r="C93" s="891" t="s">
        <v>397</v>
      </c>
      <c r="D93" s="996">
        <v>0.2</v>
      </c>
      <c r="E93" s="971" t="s">
        <v>813</v>
      </c>
      <c r="F93" s="883"/>
      <c r="G93" s="988" t="s">
        <v>913</v>
      </c>
      <c r="H93" s="968" t="s">
        <v>85</v>
      </c>
      <c r="I93" s="969">
        <v>120</v>
      </c>
      <c r="J93" s="962"/>
      <c r="K93" s="962"/>
      <c r="L93" s="960"/>
      <c r="M93" s="883"/>
      <c r="N93" s="899" t="s">
        <v>914</v>
      </c>
      <c r="O93" s="896" t="s">
        <v>160</v>
      </c>
      <c r="P93" s="978">
        <v>450</v>
      </c>
      <c r="Q93" s="883"/>
    </row>
    <row r="94" spans="1:17" ht="68">
      <c r="A94" s="1177"/>
      <c r="B94" s="890" t="s">
        <v>915</v>
      </c>
      <c r="C94" s="891" t="s">
        <v>397</v>
      </c>
      <c r="D94" s="996">
        <v>0.1</v>
      </c>
      <c r="E94" s="971" t="s">
        <v>813</v>
      </c>
      <c r="F94" s="883"/>
      <c r="G94" s="988" t="s">
        <v>916</v>
      </c>
      <c r="H94" s="968" t="s">
        <v>85</v>
      </c>
      <c r="I94" s="969">
        <v>72</v>
      </c>
      <c r="J94" s="962"/>
      <c r="K94" s="962"/>
      <c r="L94" s="960"/>
      <c r="M94" s="883"/>
      <c r="N94" s="899" t="s">
        <v>917</v>
      </c>
      <c r="O94" s="896" t="s">
        <v>423</v>
      </c>
      <c r="P94" s="997">
        <f>P12</f>
        <v>0</v>
      </c>
      <c r="Q94" s="883"/>
    </row>
    <row r="95" spans="1:17" ht="34">
      <c r="A95" s="1177"/>
      <c r="B95" s="998" t="s">
        <v>918</v>
      </c>
      <c r="C95" s="891" t="s">
        <v>397</v>
      </c>
      <c r="D95" s="996">
        <v>0.05</v>
      </c>
      <c r="E95" s="971" t="s">
        <v>813</v>
      </c>
      <c r="F95" s="883"/>
      <c r="G95" s="999" t="s">
        <v>919</v>
      </c>
      <c r="H95" s="1000" t="s">
        <v>85</v>
      </c>
      <c r="I95" s="969">
        <v>96</v>
      </c>
      <c r="J95" s="962"/>
      <c r="K95" s="962"/>
      <c r="L95" s="960"/>
      <c r="M95" s="883"/>
      <c r="N95" s="899" t="s">
        <v>920</v>
      </c>
      <c r="O95" s="977" t="s">
        <v>85</v>
      </c>
      <c r="P95" s="978">
        <v>12</v>
      </c>
      <c r="Q95" s="883"/>
    </row>
    <row r="96" spans="1:17" ht="35" thickBot="1">
      <c r="A96" s="1178"/>
      <c r="B96" s="1179" t="s">
        <v>921</v>
      </c>
      <c r="C96" s="1180"/>
      <c r="D96" s="1001">
        <v>1</v>
      </c>
      <c r="E96" s="1002" t="s">
        <v>813</v>
      </c>
      <c r="F96" s="883"/>
      <c r="G96" s="1003" t="s">
        <v>922</v>
      </c>
      <c r="H96" s="1000" t="s">
        <v>923</v>
      </c>
      <c r="I96" s="969">
        <v>350</v>
      </c>
      <c r="J96" s="962"/>
      <c r="K96" s="962"/>
      <c r="L96" s="960"/>
      <c r="M96" s="883"/>
      <c r="N96" s="899" t="s">
        <v>924</v>
      </c>
      <c r="O96" s="977" t="s">
        <v>85</v>
      </c>
      <c r="P96" s="978">
        <v>12</v>
      </c>
      <c r="Q96" s="883"/>
    </row>
    <row r="97" spans="1:17" ht="68">
      <c r="A97" s="1157" t="s">
        <v>925</v>
      </c>
      <c r="B97" s="1004" t="s">
        <v>926</v>
      </c>
      <c r="C97" s="1005" t="s">
        <v>148</v>
      </c>
      <c r="D97" s="1006">
        <v>5</v>
      </c>
      <c r="E97" s="1002" t="s">
        <v>813</v>
      </c>
      <c r="F97" s="883"/>
      <c r="G97" s="1007" t="s">
        <v>927</v>
      </c>
      <c r="H97" s="968" t="s">
        <v>182</v>
      </c>
      <c r="I97" s="969">
        <v>2250</v>
      </c>
      <c r="J97" s="962"/>
      <c r="K97" s="962"/>
      <c r="L97" s="960"/>
      <c r="M97" s="883"/>
      <c r="N97" s="899" t="s">
        <v>928</v>
      </c>
      <c r="O97" s="896" t="s">
        <v>63</v>
      </c>
      <c r="P97" s="978">
        <v>5850</v>
      </c>
      <c r="Q97" s="883"/>
    </row>
    <row r="98" spans="1:17" ht="51">
      <c r="A98" s="1158"/>
      <c r="B98" s="890" t="s">
        <v>929</v>
      </c>
      <c r="C98" s="891" t="s">
        <v>148</v>
      </c>
      <c r="D98" s="996">
        <v>5</v>
      </c>
      <c r="E98" s="1002" t="s">
        <v>813</v>
      </c>
      <c r="F98" s="883"/>
      <c r="G98" s="1007" t="s">
        <v>930</v>
      </c>
      <c r="H98" s="968" t="s">
        <v>182</v>
      </c>
      <c r="I98" s="969">
        <v>2680</v>
      </c>
      <c r="J98" s="962"/>
      <c r="K98" s="962"/>
      <c r="L98" s="960"/>
      <c r="M98" s="883"/>
      <c r="N98" s="899" t="s">
        <v>931</v>
      </c>
      <c r="O98" s="896"/>
      <c r="P98" s="978">
        <v>450</v>
      </c>
      <c r="Q98" s="883"/>
    </row>
    <row r="99" spans="1:17" ht="51">
      <c r="A99" s="1158"/>
      <c r="B99" s="890" t="s">
        <v>932</v>
      </c>
      <c r="C99" s="891" t="s">
        <v>148</v>
      </c>
      <c r="D99" s="996">
        <v>5</v>
      </c>
      <c r="E99" s="1002" t="s">
        <v>813</v>
      </c>
      <c r="F99" s="883"/>
      <c r="G99" s="985" t="s">
        <v>933</v>
      </c>
      <c r="H99" s="991" t="s">
        <v>934</v>
      </c>
      <c r="I99" s="992">
        <v>1350</v>
      </c>
      <c r="J99" s="962"/>
      <c r="K99" s="962"/>
      <c r="L99" s="960"/>
      <c r="M99" s="883"/>
      <c r="N99" s="899" t="s">
        <v>935</v>
      </c>
      <c r="O99" s="896"/>
      <c r="P99" s="978">
        <v>2500</v>
      </c>
      <c r="Q99" s="883"/>
    </row>
    <row r="100" spans="1:17" ht="69" thickBot="1">
      <c r="A100" s="1158"/>
      <c r="B100" s="904" t="s">
        <v>936</v>
      </c>
      <c r="C100" s="891" t="s">
        <v>148</v>
      </c>
      <c r="D100" s="996">
        <v>5</v>
      </c>
      <c r="E100" s="1002" t="s">
        <v>813</v>
      </c>
      <c r="F100" s="883"/>
      <c r="G100" s="928" t="s">
        <v>937</v>
      </c>
      <c r="H100" s="929">
        <v>5000</v>
      </c>
      <c r="I100" s="930" t="s">
        <v>167</v>
      </c>
      <c r="J100" s="962"/>
      <c r="K100" s="962"/>
      <c r="L100" s="960"/>
      <c r="M100" s="883"/>
      <c r="N100" s="899" t="s">
        <v>823</v>
      </c>
      <c r="O100" s="896"/>
      <c r="P100" s="997" t="e">
        <f>#REF!</f>
        <v>#REF!</v>
      </c>
      <c r="Q100" s="883"/>
    </row>
    <row r="101" spans="1:17" ht="35" thickBot="1">
      <c r="A101" s="1008"/>
      <c r="B101" s="1159" t="s">
        <v>938</v>
      </c>
      <c r="C101" s="1160"/>
      <c r="D101" s="1009">
        <v>1</v>
      </c>
      <c r="E101" s="1002" t="s">
        <v>813</v>
      </c>
      <c r="F101" s="883"/>
      <c r="G101" s="883"/>
      <c r="H101" s="960"/>
      <c r="I101" s="883"/>
      <c r="J101" s="1010">
        <v>120</v>
      </c>
      <c r="K101" s="1161" t="s">
        <v>813</v>
      </c>
      <c r="L101" s="1162"/>
      <c r="M101" s="883"/>
      <c r="N101" s="899" t="s">
        <v>939</v>
      </c>
      <c r="O101" s="896" t="s">
        <v>160</v>
      </c>
      <c r="P101" s="243">
        <v>35</v>
      </c>
      <c r="Q101" s="883"/>
    </row>
    <row r="102" spans="1:17">
      <c r="A102" s="1008"/>
      <c r="B102" s="883"/>
      <c r="C102" s="883"/>
      <c r="D102" s="883"/>
      <c r="E102" s="883"/>
      <c r="F102" s="883"/>
      <c r="G102" s="883"/>
      <c r="H102" s="960"/>
      <c r="I102" s="883"/>
      <c r="J102" s="962"/>
      <c r="K102" s="960"/>
      <c r="L102" s="883"/>
      <c r="M102" s="883"/>
      <c r="N102" s="883"/>
      <c r="O102" s="883"/>
      <c r="P102" s="883"/>
      <c r="Q102" s="883"/>
    </row>
    <row r="103" spans="1:17">
      <c r="A103" s="883"/>
      <c r="B103" s="883"/>
      <c r="C103" s="883"/>
      <c r="D103" s="883"/>
      <c r="E103" s="883"/>
      <c r="F103" s="883"/>
      <c r="G103" s="883"/>
      <c r="H103" s="960"/>
      <c r="I103" s="883"/>
      <c r="J103" s="962"/>
      <c r="K103" s="960"/>
      <c r="L103" s="883"/>
      <c r="M103" s="883"/>
      <c r="N103" s="883"/>
      <c r="O103" s="883"/>
      <c r="P103" s="883"/>
      <c r="Q103" s="883"/>
    </row>
    <row r="104" spans="1:17">
      <c r="A104" s="883"/>
      <c r="B104" s="883"/>
      <c r="C104" s="883"/>
      <c r="D104" s="883"/>
      <c r="E104" s="883"/>
      <c r="F104" s="883"/>
      <c r="G104" s="883"/>
      <c r="H104" s="883"/>
      <c r="I104" s="883"/>
      <c r="J104" s="962"/>
      <c r="K104" s="960"/>
      <c r="L104" s="883"/>
      <c r="M104" s="883"/>
      <c r="N104" s="883"/>
      <c r="O104" s="883"/>
      <c r="P104" s="883"/>
      <c r="Q104" s="883"/>
    </row>
    <row r="105" spans="1:17">
      <c r="A105" s="883"/>
      <c r="B105" s="883"/>
      <c r="C105" s="883"/>
      <c r="D105" s="883"/>
      <c r="E105" s="883"/>
      <c r="F105" s="883"/>
      <c r="G105" s="883"/>
      <c r="H105" s="883"/>
      <c r="I105" s="883"/>
      <c r="J105" s="962"/>
      <c r="K105" s="960"/>
      <c r="L105" s="883"/>
      <c r="M105" s="883"/>
      <c r="N105" s="883"/>
      <c r="O105" s="883"/>
      <c r="P105" s="883"/>
      <c r="Q105" s="883"/>
    </row>
    <row r="106" spans="1:17">
      <c r="A106" s="883"/>
      <c r="B106" s="883"/>
      <c r="C106" s="883"/>
      <c r="D106" s="883"/>
      <c r="E106" s="883"/>
      <c r="F106" s="883"/>
      <c r="G106" s="883"/>
      <c r="H106" s="883"/>
      <c r="I106" s="883"/>
      <c r="J106" s="962"/>
      <c r="K106" s="960"/>
      <c r="L106" s="883"/>
      <c r="M106" s="883"/>
      <c r="N106" s="883"/>
      <c r="O106" s="883"/>
      <c r="P106" s="883"/>
      <c r="Q106" s="883"/>
    </row>
    <row r="107" spans="1:17">
      <c r="A107" s="883"/>
      <c r="B107" s="883"/>
      <c r="C107" s="883"/>
      <c r="D107" s="883"/>
      <c r="E107" s="883"/>
      <c r="F107" s="883"/>
      <c r="G107" s="883"/>
      <c r="H107" s="883"/>
      <c r="I107" s="883"/>
      <c r="J107" s="883"/>
      <c r="K107" s="960"/>
      <c r="L107" s="883"/>
      <c r="M107" s="883"/>
      <c r="N107" s="883"/>
      <c r="O107" s="883"/>
      <c r="P107" s="883"/>
      <c r="Q107" s="883"/>
    </row>
    <row r="108" spans="1:17">
      <c r="A108" s="883"/>
      <c r="B108" s="883"/>
      <c r="C108" s="883"/>
      <c r="D108" s="883"/>
      <c r="E108" s="883"/>
      <c r="F108" s="883"/>
      <c r="G108" s="883"/>
      <c r="H108" s="883"/>
      <c r="I108" s="883"/>
      <c r="J108" s="883"/>
      <c r="K108" s="883"/>
      <c r="L108" s="960"/>
      <c r="M108" s="883"/>
      <c r="N108" s="883"/>
      <c r="O108" s="883"/>
      <c r="P108" s="883"/>
      <c r="Q108" s="883"/>
    </row>
    <row r="109" spans="1:17">
      <c r="A109" s="883"/>
      <c r="B109" s="883"/>
      <c r="C109" s="883"/>
      <c r="D109" s="883"/>
      <c r="E109" s="883"/>
      <c r="F109" s="883"/>
      <c r="G109" s="883"/>
      <c r="H109" s="883"/>
      <c r="I109" s="883"/>
      <c r="J109" s="883"/>
      <c r="K109" s="883"/>
      <c r="L109" s="960"/>
      <c r="M109" s="883"/>
      <c r="N109" s="883"/>
      <c r="O109" s="883"/>
      <c r="P109" s="883"/>
      <c r="Q109" s="883"/>
    </row>
    <row r="110" spans="1:17" ht="24">
      <c r="A110" s="1011"/>
      <c r="B110" s="1011"/>
      <c r="C110" s="1011"/>
      <c r="D110" s="1011"/>
      <c r="E110" s="1011"/>
      <c r="F110" s="1012"/>
      <c r="G110" s="1163" t="s">
        <v>940</v>
      </c>
      <c r="H110" s="1163"/>
      <c r="I110" s="1163"/>
      <c r="J110" s="1163"/>
      <c r="K110" s="1163"/>
      <c r="L110" s="1163"/>
      <c r="M110" s="1013"/>
      <c r="N110" s="1013"/>
      <c r="O110" s="1013"/>
      <c r="P110" s="1013"/>
      <c r="Q110" s="877"/>
    </row>
    <row r="111" spans="1:17" ht="14.5" customHeight="1">
      <c r="A111" s="1011"/>
      <c r="B111" s="1011"/>
      <c r="C111" s="1011"/>
      <c r="D111" s="1011"/>
      <c r="E111" s="1011"/>
      <c r="F111" s="877"/>
      <c r="G111" s="1163"/>
      <c r="H111" s="1163"/>
      <c r="I111" s="1163"/>
      <c r="J111" s="1163"/>
      <c r="K111" s="1163"/>
      <c r="L111" s="1163"/>
      <c r="M111" s="1013"/>
      <c r="N111" s="1013"/>
      <c r="O111" s="1013"/>
      <c r="P111" s="1013"/>
      <c r="Q111" s="877"/>
    </row>
    <row r="112" spans="1:17" ht="24">
      <c r="A112" s="1014"/>
      <c r="B112" s="1015" t="s">
        <v>941</v>
      </c>
      <c r="C112" s="1016">
        <f>D4</f>
        <v>0</v>
      </c>
      <c r="D112" s="1017" t="s">
        <v>942</v>
      </c>
      <c r="E112" s="883"/>
      <c r="F112" s="883"/>
      <c r="G112" s="1018" t="s">
        <v>389</v>
      </c>
      <c r="H112" s="1019" t="s">
        <v>160</v>
      </c>
      <c r="I112" s="1020"/>
      <c r="J112" s="1021" t="s">
        <v>892</v>
      </c>
      <c r="K112" s="886"/>
      <c r="L112" s="886"/>
      <c r="M112" s="886"/>
      <c r="N112" s="886"/>
      <c r="O112" s="886"/>
      <c r="P112" s="886"/>
      <c r="Q112" s="886"/>
    </row>
    <row r="113" spans="1:17" ht="24">
      <c r="A113" s="1014"/>
      <c r="B113" s="1015" t="s">
        <v>943</v>
      </c>
      <c r="C113" s="1022"/>
      <c r="D113" s="1023" t="s">
        <v>892</v>
      </c>
      <c r="E113" s="883"/>
      <c r="F113" s="883"/>
      <c r="G113" s="1018" t="s">
        <v>390</v>
      </c>
      <c r="H113" s="1019" t="s">
        <v>160</v>
      </c>
      <c r="I113" s="1020">
        <v>85.3</v>
      </c>
      <c r="J113" s="1021" t="s">
        <v>892</v>
      </c>
      <c r="K113" s="883"/>
      <c r="L113" s="883"/>
      <c r="M113" s="883"/>
      <c r="N113" s="883"/>
      <c r="O113" s="883"/>
      <c r="P113" s="883"/>
      <c r="Q113" s="883"/>
    </row>
    <row r="114" spans="1:17" ht="24">
      <c r="A114" s="1014"/>
      <c r="B114" s="1015" t="s">
        <v>944</v>
      </c>
      <c r="C114" s="1022"/>
      <c r="D114" s="1023" t="s">
        <v>892</v>
      </c>
      <c r="E114" s="883"/>
      <c r="F114" s="883"/>
      <c r="G114" s="1018" t="s">
        <v>391</v>
      </c>
      <c r="H114" s="1019" t="s">
        <v>160</v>
      </c>
      <c r="I114" s="1020">
        <v>55</v>
      </c>
      <c r="J114" s="1021" t="s">
        <v>892</v>
      </c>
      <c r="K114" s="883"/>
      <c r="L114" s="960"/>
      <c r="M114" s="883"/>
      <c r="N114" s="883"/>
      <c r="O114" s="883"/>
      <c r="P114" s="883"/>
      <c r="Q114" s="883"/>
    </row>
    <row r="115" spans="1:17" ht="24">
      <c r="A115" s="1014"/>
      <c r="B115" s="1015" t="s">
        <v>945</v>
      </c>
      <c r="C115" s="1022"/>
      <c r="D115" s="1023" t="s">
        <v>892</v>
      </c>
      <c r="E115" s="883"/>
      <c r="F115" s="883"/>
      <c r="G115" s="1018" t="s">
        <v>392</v>
      </c>
      <c r="H115" s="1019" t="s">
        <v>160</v>
      </c>
      <c r="I115" s="1020">
        <v>80</v>
      </c>
      <c r="J115" s="1021" t="s">
        <v>892</v>
      </c>
      <c r="K115" s="883"/>
      <c r="L115" s="960"/>
      <c r="M115" s="883"/>
      <c r="N115" s="883"/>
      <c r="O115" s="883"/>
      <c r="P115" s="883"/>
      <c r="Q115" s="883"/>
    </row>
    <row r="116" spans="1:17" ht="19">
      <c r="A116" s="883"/>
      <c r="B116" s="1015" t="s">
        <v>946</v>
      </c>
      <c r="C116" s="1015" t="s">
        <v>947</v>
      </c>
      <c r="D116" s="1015" t="s">
        <v>214</v>
      </c>
      <c r="E116" s="883"/>
      <c r="F116" s="883"/>
      <c r="G116" s="1018" t="s">
        <v>393</v>
      </c>
      <c r="H116" s="1019" t="s">
        <v>160</v>
      </c>
      <c r="I116" s="1020">
        <v>19.88</v>
      </c>
      <c r="J116" s="1021" t="s">
        <v>892</v>
      </c>
      <c r="K116" s="883"/>
      <c r="L116" s="960"/>
      <c r="M116" s="883"/>
      <c r="N116" s="883"/>
      <c r="O116" s="883"/>
      <c r="P116" s="883"/>
      <c r="Q116" s="883"/>
    </row>
    <row r="117" spans="1:17" ht="30">
      <c r="A117" s="883"/>
      <c r="B117" s="1024" t="s">
        <v>147</v>
      </c>
      <c r="C117" s="1025"/>
      <c r="D117" s="1026" t="e">
        <f>#REF!</f>
        <v>#REF!</v>
      </c>
      <c r="E117" s="883"/>
      <c r="F117" s="883"/>
      <c r="G117" s="883"/>
      <c r="H117" s="883"/>
      <c r="I117" s="883"/>
      <c r="J117" s="883"/>
      <c r="K117" s="883"/>
      <c r="L117" s="960"/>
      <c r="M117" s="883"/>
      <c r="N117" s="883"/>
      <c r="O117" s="883"/>
      <c r="P117" s="883"/>
      <c r="Q117" s="883"/>
    </row>
    <row r="118" spans="1:17">
      <c r="A118" s="883"/>
      <c r="B118" s="1027" t="s">
        <v>948</v>
      </c>
      <c r="C118" s="1025" t="s">
        <v>86</v>
      </c>
      <c r="D118" s="1028"/>
      <c r="E118" s="883"/>
      <c r="F118" s="883"/>
      <c r="G118" s="1029" t="s">
        <v>494</v>
      </c>
      <c r="H118" s="1030" t="s">
        <v>949</v>
      </c>
      <c r="I118" s="890"/>
      <c r="J118" s="1030" t="s">
        <v>463</v>
      </c>
      <c r="K118" s="883"/>
      <c r="L118" s="960"/>
      <c r="M118" s="883"/>
      <c r="N118" s="883"/>
      <c r="O118" s="883"/>
      <c r="P118" s="883"/>
      <c r="Q118" s="883"/>
    </row>
    <row r="119" spans="1:17">
      <c r="A119" s="883"/>
      <c r="B119" s="1031" t="s">
        <v>950</v>
      </c>
      <c r="C119" s="1025" t="s">
        <v>86</v>
      </c>
      <c r="D119" s="1028"/>
      <c r="E119" s="883"/>
      <c r="F119" s="883"/>
      <c r="G119" s="1018" t="s">
        <v>575</v>
      </c>
      <c r="H119" s="1025" t="s">
        <v>63</v>
      </c>
      <c r="I119" s="1026"/>
      <c r="J119" s="1032">
        <v>5000</v>
      </c>
      <c r="K119" s="883"/>
      <c r="L119" s="960"/>
      <c r="M119" s="883"/>
      <c r="N119" s="883"/>
      <c r="O119" s="883"/>
      <c r="P119" s="883"/>
      <c r="Q119" s="883"/>
    </row>
    <row r="120" spans="1:17">
      <c r="A120" s="883"/>
      <c r="B120" s="1031" t="s">
        <v>951</v>
      </c>
      <c r="C120" s="1025" t="s">
        <v>86</v>
      </c>
      <c r="D120" s="1028"/>
      <c r="E120" s="883"/>
      <c r="F120" s="883"/>
      <c r="G120" s="1018" t="s">
        <v>562</v>
      </c>
      <c r="H120" s="1025" t="s">
        <v>63</v>
      </c>
      <c r="I120" s="1026"/>
      <c r="J120" s="1032">
        <v>6000</v>
      </c>
      <c r="K120" s="883"/>
      <c r="L120" s="960"/>
      <c r="M120" s="883"/>
      <c r="N120" s="883"/>
      <c r="O120" s="883"/>
      <c r="P120" s="883"/>
      <c r="Q120" s="883"/>
    </row>
    <row r="121" spans="1:17">
      <c r="A121" s="883"/>
      <c r="B121" s="1033" t="s">
        <v>180</v>
      </c>
      <c r="C121" s="1034" t="s">
        <v>182</v>
      </c>
      <c r="D121" s="1035"/>
      <c r="E121" s="883"/>
      <c r="F121" s="883"/>
      <c r="G121" s="1018" t="s">
        <v>574</v>
      </c>
      <c r="H121" s="1025" t="s">
        <v>63</v>
      </c>
      <c r="I121" s="1026"/>
      <c r="J121" s="1032">
        <v>5500</v>
      </c>
      <c r="K121" s="883"/>
      <c r="L121" s="883"/>
      <c r="M121" s="883"/>
      <c r="N121" s="883"/>
      <c r="O121" s="883"/>
      <c r="P121" s="883"/>
      <c r="Q121" s="883"/>
    </row>
    <row r="122" spans="1:17">
      <c r="A122" s="883"/>
      <c r="B122" s="1036" t="s">
        <v>197</v>
      </c>
      <c r="C122" s="1034" t="s">
        <v>85</v>
      </c>
      <c r="D122" s="1035"/>
      <c r="E122" s="883"/>
      <c r="F122" s="883"/>
      <c r="G122" s="1018" t="s">
        <v>221</v>
      </c>
      <c r="H122" s="1025" t="s">
        <v>86</v>
      </c>
      <c r="I122" s="1026"/>
      <c r="J122" s="1032">
        <v>5</v>
      </c>
      <c r="K122" s="883"/>
      <c r="L122" s="883"/>
      <c r="M122" s="883"/>
      <c r="N122" s="883"/>
      <c r="O122" s="883"/>
      <c r="P122" s="883"/>
      <c r="Q122" s="883"/>
    </row>
    <row r="123" spans="1:17">
      <c r="A123" s="883"/>
      <c r="B123" s="1037" t="s">
        <v>187</v>
      </c>
      <c r="C123" s="1034" t="s">
        <v>85</v>
      </c>
      <c r="D123" s="1035"/>
      <c r="E123" s="883"/>
      <c r="F123" s="883"/>
      <c r="G123" s="1018" t="s">
        <v>216</v>
      </c>
      <c r="H123" s="1025" t="s">
        <v>85</v>
      </c>
      <c r="I123" s="1026"/>
      <c r="J123" s="1032">
        <v>1500</v>
      </c>
      <c r="K123" s="883"/>
      <c r="L123" s="883"/>
      <c r="M123" s="883"/>
      <c r="N123" s="883"/>
      <c r="O123" s="883"/>
      <c r="P123" s="883"/>
      <c r="Q123" s="883"/>
    </row>
    <row r="124" spans="1:17">
      <c r="A124" s="883"/>
      <c r="B124" s="1037" t="s">
        <v>198</v>
      </c>
      <c r="C124" s="1034" t="s">
        <v>85</v>
      </c>
      <c r="D124" s="1035"/>
      <c r="E124" s="883"/>
      <c r="F124" s="883"/>
      <c r="G124" s="1018" t="s">
        <v>154</v>
      </c>
      <c r="H124" s="1025" t="s">
        <v>150</v>
      </c>
      <c r="I124" s="1028">
        <v>1</v>
      </c>
      <c r="J124" s="1032">
        <v>300</v>
      </c>
      <c r="K124" s="883"/>
      <c r="L124" s="883"/>
      <c r="M124" s="883"/>
      <c r="N124" s="883"/>
      <c r="O124" s="883"/>
      <c r="P124" s="883"/>
      <c r="Q124" s="883"/>
    </row>
    <row r="125" spans="1:17">
      <c r="A125" s="883"/>
      <c r="B125" s="1036" t="s">
        <v>191</v>
      </c>
      <c r="C125" s="1034" t="s">
        <v>85</v>
      </c>
      <c r="D125" s="1035"/>
      <c r="E125" s="883"/>
      <c r="F125" s="883"/>
      <c r="G125" s="1018" t="s">
        <v>217</v>
      </c>
      <c r="H125" s="1025" t="s">
        <v>160</v>
      </c>
      <c r="I125" s="1026"/>
      <c r="J125" s="1032">
        <v>600</v>
      </c>
      <c r="K125" s="883"/>
      <c r="L125" s="883"/>
      <c r="M125" s="883"/>
      <c r="N125" s="883"/>
      <c r="O125" s="883"/>
      <c r="P125" s="883"/>
      <c r="Q125" s="883"/>
    </row>
    <row r="126" spans="1:17" ht="31">
      <c r="A126" s="883"/>
      <c r="B126" s="1038" t="s">
        <v>152</v>
      </c>
      <c r="C126" s="1034" t="s">
        <v>85</v>
      </c>
      <c r="D126" s="1035"/>
      <c r="E126" s="883"/>
      <c r="F126" s="883"/>
      <c r="G126" s="1018" t="s">
        <v>218</v>
      </c>
      <c r="H126" s="1025" t="s">
        <v>63</v>
      </c>
      <c r="I126" s="1026"/>
      <c r="J126" s="1032">
        <v>500</v>
      </c>
      <c r="K126" s="883"/>
      <c r="L126" s="883"/>
      <c r="M126" s="883"/>
      <c r="N126" s="883"/>
      <c r="O126" s="883"/>
      <c r="P126" s="883"/>
      <c r="Q126" s="883"/>
    </row>
    <row r="127" spans="1:17">
      <c r="A127" s="883"/>
      <c r="B127" s="1039" t="s">
        <v>952</v>
      </c>
      <c r="C127" s="1034" t="s">
        <v>85</v>
      </c>
      <c r="D127" s="1035"/>
      <c r="E127" s="883"/>
      <c r="F127" s="883"/>
      <c r="G127" s="1018" t="s">
        <v>220</v>
      </c>
      <c r="H127" s="1025" t="s">
        <v>150</v>
      </c>
      <c r="I127" s="1028">
        <v>1</v>
      </c>
      <c r="J127" s="1032">
        <v>2000</v>
      </c>
      <c r="K127" s="883"/>
      <c r="L127" s="883"/>
      <c r="M127" s="883"/>
      <c r="N127" s="883"/>
      <c r="O127" s="883"/>
      <c r="P127" s="883"/>
      <c r="Q127" s="883"/>
    </row>
    <row r="128" spans="1:17" ht="30">
      <c r="A128" s="883"/>
      <c r="B128" s="1039" t="s">
        <v>209</v>
      </c>
      <c r="C128" s="1040"/>
      <c r="D128" s="1035"/>
      <c r="E128" s="883"/>
      <c r="F128" s="883"/>
      <c r="G128" s="1018" t="s">
        <v>222</v>
      </c>
      <c r="H128" s="1025" t="s">
        <v>86</v>
      </c>
      <c r="I128" s="1026"/>
      <c r="J128" s="1032">
        <v>100</v>
      </c>
      <c r="K128" s="883"/>
      <c r="L128" s="883"/>
      <c r="M128" s="883"/>
      <c r="N128" s="883"/>
      <c r="O128" s="883"/>
      <c r="P128" s="883"/>
      <c r="Q128" s="883"/>
    </row>
    <row r="129" spans="1:19">
      <c r="A129" s="883"/>
      <c r="B129" s="1039" t="s">
        <v>953</v>
      </c>
      <c r="C129" s="1034" t="s">
        <v>85</v>
      </c>
      <c r="D129" s="1035"/>
      <c r="E129" s="883"/>
      <c r="F129" s="883"/>
      <c r="G129" s="1041" t="s">
        <v>954</v>
      </c>
      <c r="H129" s="1042" t="s">
        <v>160</v>
      </c>
      <c r="I129" s="1043"/>
      <c r="J129" s="1032">
        <v>45</v>
      </c>
      <c r="K129" s="883"/>
      <c r="L129" s="883"/>
      <c r="M129" s="883"/>
      <c r="N129" s="883"/>
      <c r="O129" s="883"/>
      <c r="P129" s="883"/>
      <c r="Q129" s="883"/>
    </row>
    <row r="130" spans="1:19" ht="30">
      <c r="A130" s="883"/>
      <c r="B130" s="1044" t="s">
        <v>183</v>
      </c>
      <c r="C130" s="1034" t="s">
        <v>85</v>
      </c>
      <c r="D130" s="1035"/>
      <c r="E130" s="883"/>
      <c r="F130" s="883"/>
      <c r="G130" s="883"/>
      <c r="H130" s="883"/>
      <c r="I130" s="883"/>
      <c r="J130" s="883"/>
      <c r="K130" s="883"/>
      <c r="L130" s="883"/>
      <c r="M130" s="883"/>
      <c r="N130" s="883"/>
      <c r="O130" s="883"/>
      <c r="P130" s="883"/>
      <c r="Q130" s="883"/>
    </row>
    <row r="131" spans="1:19">
      <c r="A131" s="883"/>
      <c r="B131" s="1018" t="s">
        <v>161</v>
      </c>
      <c r="C131" s="1034" t="s">
        <v>156</v>
      </c>
      <c r="D131" s="1035"/>
      <c r="E131" s="883"/>
      <c r="F131" s="883"/>
      <c r="G131" s="883"/>
      <c r="H131" s="243" t="s">
        <v>91</v>
      </c>
      <c r="I131" s="1164" t="s">
        <v>551</v>
      </c>
      <c r="J131" s="1166" t="s">
        <v>955</v>
      </c>
      <c r="K131" s="1168" t="s">
        <v>377</v>
      </c>
      <c r="L131" s="1168" t="s">
        <v>378</v>
      </c>
      <c r="M131" s="883"/>
      <c r="N131" s="883"/>
      <c r="O131" s="883"/>
      <c r="P131" s="883"/>
      <c r="Q131" s="883"/>
    </row>
    <row r="132" spans="1:19">
      <c r="A132" s="883"/>
      <c r="B132" s="1033" t="s">
        <v>202</v>
      </c>
      <c r="C132" s="1034" t="s">
        <v>63</v>
      </c>
      <c r="D132" s="1035"/>
      <c r="E132" s="883"/>
      <c r="F132" s="883"/>
      <c r="G132" s="883"/>
      <c r="H132" s="243"/>
      <c r="I132" s="1165"/>
      <c r="J132" s="1167"/>
      <c r="K132" s="1169"/>
      <c r="L132" s="1169"/>
      <c r="M132" s="883"/>
      <c r="N132" s="883" t="s">
        <v>956</v>
      </c>
      <c r="O132" s="883">
        <v>132</v>
      </c>
      <c r="P132" s="883"/>
      <c r="Q132" s="883"/>
    </row>
    <row r="133" spans="1:19">
      <c r="A133" s="883"/>
      <c r="B133" s="1033" t="s">
        <v>388</v>
      </c>
      <c r="C133" s="1034" t="s">
        <v>63</v>
      </c>
      <c r="D133" s="1035"/>
      <c r="E133" s="883"/>
      <c r="F133" s="883"/>
      <c r="G133" s="1045" t="s">
        <v>235</v>
      </c>
      <c r="H133" s="1045" t="s">
        <v>105</v>
      </c>
      <c r="I133" s="1046">
        <v>27000</v>
      </c>
      <c r="J133" s="1046">
        <v>12</v>
      </c>
      <c r="K133" s="1046">
        <v>150000</v>
      </c>
      <c r="L133" s="1047">
        <v>130000</v>
      </c>
      <c r="M133" s="1048" t="str">
        <f>_xlfn.CONCAT(G133, " ", H133)</f>
        <v>ест. Влаж. Листва 145х140</v>
      </c>
      <c r="N133" s="883" t="str">
        <f>_xlfn.CONCAT($N$132,O133)</f>
        <v>K133</v>
      </c>
      <c r="O133" s="883">
        <f>O132+1</f>
        <v>133</v>
      </c>
      <c r="P133" s="883"/>
      <c r="Q133" s="883"/>
      <c r="R133" t="str">
        <f>M133</f>
        <v>ест. Влаж. Листва 145х140</v>
      </c>
      <c r="S133" t="str">
        <f>N133</f>
        <v>K133</v>
      </c>
    </row>
    <row r="134" spans="1:19">
      <c r="A134" s="883"/>
      <c r="B134" s="1033" t="s">
        <v>550</v>
      </c>
      <c r="C134" s="1034" t="s">
        <v>63</v>
      </c>
      <c r="D134" s="1035"/>
      <c r="E134" s="883"/>
      <c r="F134" s="883"/>
      <c r="G134" s="1045" t="s">
        <v>235</v>
      </c>
      <c r="H134" s="1045" t="s">
        <v>106</v>
      </c>
      <c r="I134" s="1046">
        <v>27000</v>
      </c>
      <c r="J134" s="1046">
        <v>12</v>
      </c>
      <c r="K134" s="1046">
        <v>150000</v>
      </c>
      <c r="L134" s="1047">
        <v>130000</v>
      </c>
      <c r="M134" s="1048" t="str">
        <f t="shared" ref="M134:M160" si="0">_xlfn.CONCAT(G134, " ", H134)</f>
        <v>ест. Влаж. Листва 145х190</v>
      </c>
      <c r="N134" s="883" t="str">
        <f t="shared" ref="N134:N160" si="1">_xlfn.CONCAT($N$132,O134)</f>
        <v>K134</v>
      </c>
      <c r="O134" s="883">
        <f t="shared" ref="O134:O160" si="2">O133+1</f>
        <v>134</v>
      </c>
      <c r="P134" s="883"/>
      <c r="Q134" s="883"/>
      <c r="R134" t="str">
        <f t="shared" ref="R134:R160" si="3">M134</f>
        <v>ест. Влаж. Листва 145х190</v>
      </c>
      <c r="S134" t="str">
        <f t="shared" ref="S134:S160" si="4">N134</f>
        <v>K134</v>
      </c>
    </row>
    <row r="135" spans="1:19">
      <c r="A135" s="883"/>
      <c r="B135" s="1036" t="s">
        <v>957</v>
      </c>
      <c r="C135" s="1034" t="s">
        <v>63</v>
      </c>
      <c r="D135" s="1035"/>
      <c r="E135" s="883"/>
      <c r="F135" s="883"/>
      <c r="G135" s="1045" t="s">
        <v>235</v>
      </c>
      <c r="H135" s="1045" t="s">
        <v>107</v>
      </c>
      <c r="I135" s="1046">
        <v>27000</v>
      </c>
      <c r="J135" s="1046">
        <v>12</v>
      </c>
      <c r="K135" s="1046">
        <v>150000</v>
      </c>
      <c r="L135" s="1047">
        <v>130000</v>
      </c>
      <c r="M135" s="1048" t="str">
        <f t="shared" si="0"/>
        <v>ест. Влаж. Листва 195х190</v>
      </c>
      <c r="N135" s="883" t="str">
        <f t="shared" si="1"/>
        <v>K135</v>
      </c>
      <c r="O135" s="883">
        <f t="shared" si="2"/>
        <v>135</v>
      </c>
      <c r="P135" s="883"/>
      <c r="Q135" s="883"/>
      <c r="R135" t="str">
        <f t="shared" si="3"/>
        <v>ест. Влаж. Листва 195х190</v>
      </c>
      <c r="S135" t="str">
        <f t="shared" si="4"/>
        <v>K135</v>
      </c>
    </row>
    <row r="136" spans="1:19">
      <c r="A136" s="883"/>
      <c r="B136" s="1018" t="s">
        <v>194</v>
      </c>
      <c r="C136" s="1034" t="s">
        <v>156</v>
      </c>
      <c r="D136" s="1035"/>
      <c r="E136" s="883"/>
      <c r="F136" s="883"/>
      <c r="G136" s="1045" t="s">
        <v>237</v>
      </c>
      <c r="H136" s="1045" t="s">
        <v>105</v>
      </c>
      <c r="I136" s="1046">
        <v>27500</v>
      </c>
      <c r="J136" s="1046">
        <v>12</v>
      </c>
      <c r="K136" s="1046">
        <v>150000</v>
      </c>
      <c r="L136" s="1047">
        <v>130000</v>
      </c>
      <c r="M136" s="1048" t="str">
        <f t="shared" si="0"/>
        <v>ест влаж. кедр 145х140</v>
      </c>
      <c r="N136" s="883" t="str">
        <f t="shared" si="1"/>
        <v>K136</v>
      </c>
      <c r="O136" s="883">
        <f t="shared" si="2"/>
        <v>136</v>
      </c>
      <c r="P136" s="883"/>
      <c r="Q136" s="883"/>
      <c r="R136" t="str">
        <f t="shared" si="3"/>
        <v>ест влаж. кедр 145х140</v>
      </c>
      <c r="S136" t="str">
        <f t="shared" si="4"/>
        <v>K136</v>
      </c>
    </row>
    <row r="137" spans="1:19" ht="30">
      <c r="A137" s="883"/>
      <c r="B137" s="1024" t="s">
        <v>958</v>
      </c>
      <c r="C137" s="1034" t="s">
        <v>85</v>
      </c>
      <c r="D137" s="1035"/>
      <c r="E137" s="883"/>
      <c r="F137" s="883"/>
      <c r="G137" s="1045" t="s">
        <v>237</v>
      </c>
      <c r="H137" s="1045" t="s">
        <v>106</v>
      </c>
      <c r="I137" s="1046">
        <v>27500</v>
      </c>
      <c r="J137" s="1046">
        <v>12</v>
      </c>
      <c r="K137" s="1046">
        <v>150000</v>
      </c>
      <c r="L137" s="1047">
        <v>130000</v>
      </c>
      <c r="M137" s="1048" t="str">
        <f t="shared" si="0"/>
        <v>ест влаж. кедр 145х190</v>
      </c>
      <c r="N137" s="883" t="str">
        <f t="shared" si="1"/>
        <v>K137</v>
      </c>
      <c r="O137" s="883">
        <f t="shared" si="2"/>
        <v>137</v>
      </c>
      <c r="P137" s="883"/>
      <c r="Q137" s="883"/>
      <c r="R137" t="str">
        <f t="shared" si="3"/>
        <v>ест влаж. кедр 145х190</v>
      </c>
      <c r="S137" t="str">
        <f t="shared" si="4"/>
        <v>K137</v>
      </c>
    </row>
    <row r="138" spans="1:19">
      <c r="A138" s="883"/>
      <c r="B138" s="1024" t="s">
        <v>959</v>
      </c>
      <c r="C138" s="1034" t="s">
        <v>85</v>
      </c>
      <c r="D138" s="1035"/>
      <c r="E138" s="883"/>
      <c r="F138" s="883"/>
      <c r="G138" s="1045" t="s">
        <v>237</v>
      </c>
      <c r="H138" s="1045" t="s">
        <v>107</v>
      </c>
      <c r="I138" s="1046">
        <v>27500</v>
      </c>
      <c r="J138" s="1046">
        <v>12</v>
      </c>
      <c r="K138" s="1046">
        <v>150000</v>
      </c>
      <c r="L138" s="1047">
        <v>130000</v>
      </c>
      <c r="M138" s="1048" t="str">
        <f t="shared" si="0"/>
        <v>ест влаж. кедр 195х190</v>
      </c>
      <c r="N138" s="883" t="str">
        <f t="shared" si="1"/>
        <v>K138</v>
      </c>
      <c r="O138" s="883">
        <f t="shared" si="2"/>
        <v>138</v>
      </c>
      <c r="P138" s="883"/>
      <c r="Q138" s="883"/>
      <c r="R138" t="str">
        <f t="shared" si="3"/>
        <v>ест влаж. кедр 195х190</v>
      </c>
      <c r="S138" t="str">
        <f t="shared" si="4"/>
        <v>K138</v>
      </c>
    </row>
    <row r="139" spans="1:19">
      <c r="A139" s="883"/>
      <c r="B139" s="1024" t="s">
        <v>960</v>
      </c>
      <c r="C139" s="1034" t="s">
        <v>156</v>
      </c>
      <c r="D139" s="1035"/>
      <c r="E139" s="883"/>
      <c r="F139" s="883"/>
      <c r="G139" s="1049"/>
      <c r="H139" s="1049"/>
      <c r="I139" s="883"/>
      <c r="J139" s="883"/>
      <c r="K139" s="1050"/>
      <c r="L139" s="1050"/>
      <c r="M139" s="1048" t="str">
        <f t="shared" si="0"/>
        <v xml:space="preserve"> </v>
      </c>
      <c r="N139" s="883" t="str">
        <f t="shared" si="1"/>
        <v>K139</v>
      </c>
      <c r="O139" s="883">
        <f t="shared" si="2"/>
        <v>139</v>
      </c>
      <c r="P139" s="883"/>
      <c r="Q139" s="883"/>
      <c r="R139" t="str">
        <f t="shared" si="3"/>
        <v xml:space="preserve"> </v>
      </c>
      <c r="S139" t="str">
        <f t="shared" si="4"/>
        <v>K139</v>
      </c>
    </row>
    <row r="140" spans="1:19" ht="30">
      <c r="A140" s="883"/>
      <c r="B140" s="1024" t="s">
        <v>961</v>
      </c>
      <c r="C140" s="1034" t="s">
        <v>85</v>
      </c>
      <c r="D140" s="1035"/>
      <c r="E140" s="883"/>
      <c r="F140" s="883"/>
      <c r="G140" s="1051" t="s">
        <v>101</v>
      </c>
      <c r="H140" s="1051" t="s">
        <v>102</v>
      </c>
      <c r="I140" s="1052">
        <v>26000</v>
      </c>
      <c r="J140" s="1052">
        <v>9</v>
      </c>
      <c r="K140" s="1046">
        <v>80000</v>
      </c>
      <c r="L140" s="1053">
        <v>70000</v>
      </c>
      <c r="M140" s="1048" t="str">
        <f t="shared" si="0"/>
        <v>камерной сушки 145х45</v>
      </c>
      <c r="N140" s="883" t="str">
        <f t="shared" si="1"/>
        <v>K140</v>
      </c>
      <c r="O140" s="883">
        <f t="shared" si="2"/>
        <v>140</v>
      </c>
      <c r="P140" s="883"/>
      <c r="Q140" s="883"/>
      <c r="R140" t="str">
        <f t="shared" si="3"/>
        <v>камерной сушки 145х45</v>
      </c>
      <c r="S140" t="str">
        <f t="shared" si="4"/>
        <v>K140</v>
      </c>
    </row>
    <row r="141" spans="1:19">
      <c r="A141" s="883"/>
      <c r="B141" s="1054" t="s">
        <v>962</v>
      </c>
      <c r="C141" s="1034" t="s">
        <v>85</v>
      </c>
      <c r="D141" s="1035"/>
      <c r="E141" s="886" t="s">
        <v>167</v>
      </c>
      <c r="F141" s="883"/>
      <c r="G141" s="1051" t="s">
        <v>101</v>
      </c>
      <c r="H141" s="1051" t="s">
        <v>103</v>
      </c>
      <c r="I141" s="1052">
        <v>26000</v>
      </c>
      <c r="J141" s="1052">
        <v>9</v>
      </c>
      <c r="K141" s="1046">
        <v>80000</v>
      </c>
      <c r="L141" s="1053">
        <v>70000</v>
      </c>
      <c r="M141" s="1048" t="str">
        <f t="shared" si="0"/>
        <v>камерной сушки 145х95</v>
      </c>
      <c r="N141" s="883" t="str">
        <f t="shared" si="1"/>
        <v>K141</v>
      </c>
      <c r="O141" s="883">
        <f t="shared" si="2"/>
        <v>141</v>
      </c>
      <c r="P141" s="883"/>
      <c r="Q141" s="883"/>
      <c r="R141" t="str">
        <f t="shared" si="3"/>
        <v>камерной сушки 145х95</v>
      </c>
      <c r="S141" t="str">
        <f t="shared" si="4"/>
        <v>K141</v>
      </c>
    </row>
    <row r="142" spans="1:19">
      <c r="A142" s="883"/>
      <c r="B142" s="1055" t="s">
        <v>163</v>
      </c>
      <c r="C142" s="1034" t="s">
        <v>167</v>
      </c>
      <c r="D142" s="1056"/>
      <c r="E142" s="1057">
        <v>1</v>
      </c>
      <c r="F142" s="883"/>
      <c r="G142" s="1058" t="s">
        <v>104</v>
      </c>
      <c r="H142" s="1058" t="s">
        <v>105</v>
      </c>
      <c r="I142" s="1059">
        <v>19000</v>
      </c>
      <c r="J142" s="1059">
        <v>12</v>
      </c>
      <c r="K142" s="1060">
        <v>80000</v>
      </c>
      <c r="L142" s="1061">
        <v>70000</v>
      </c>
      <c r="M142" s="1048" t="str">
        <f t="shared" si="0"/>
        <v>ест. Влаж 145х140</v>
      </c>
      <c r="N142" s="883" t="str">
        <f t="shared" si="1"/>
        <v>K142</v>
      </c>
      <c r="O142" s="883">
        <f t="shared" si="2"/>
        <v>142</v>
      </c>
      <c r="P142" s="883"/>
      <c r="Q142" s="883"/>
      <c r="R142" t="str">
        <f t="shared" si="3"/>
        <v>ест. Влаж 145х140</v>
      </c>
      <c r="S142" t="str">
        <f t="shared" si="4"/>
        <v>K142</v>
      </c>
    </row>
    <row r="143" spans="1:19" ht="30">
      <c r="A143" s="883"/>
      <c r="B143" s="1062" t="s">
        <v>373</v>
      </c>
      <c r="C143" s="1034" t="s">
        <v>167</v>
      </c>
      <c r="D143" s="1035"/>
      <c r="E143" s="883"/>
      <c r="F143" s="883"/>
      <c r="G143" s="1051" t="s">
        <v>104</v>
      </c>
      <c r="H143" s="1051" t="s">
        <v>106</v>
      </c>
      <c r="I143" s="1052">
        <v>19000</v>
      </c>
      <c r="J143" s="1052">
        <v>12</v>
      </c>
      <c r="K143" s="1046">
        <v>80000</v>
      </c>
      <c r="L143" s="1053">
        <v>70000</v>
      </c>
      <c r="M143" s="1048" t="str">
        <f t="shared" si="0"/>
        <v>ест. Влаж 145х190</v>
      </c>
      <c r="N143" s="883" t="str">
        <f t="shared" si="1"/>
        <v>K143</v>
      </c>
      <c r="O143" s="883">
        <f t="shared" si="2"/>
        <v>143</v>
      </c>
      <c r="P143" s="883"/>
      <c r="Q143" s="883"/>
      <c r="R143" t="str">
        <f t="shared" si="3"/>
        <v>ест. Влаж 145х190</v>
      </c>
      <c r="S143" t="str">
        <f t="shared" si="4"/>
        <v>K143</v>
      </c>
    </row>
    <row r="144" spans="1:19">
      <c r="A144" s="883"/>
      <c r="B144" s="1054"/>
      <c r="C144" s="1034"/>
      <c r="D144" s="1035"/>
      <c r="E144" s="883"/>
      <c r="F144" s="883"/>
      <c r="G144" s="1051" t="s">
        <v>104</v>
      </c>
      <c r="H144" s="1051" t="s">
        <v>107</v>
      </c>
      <c r="I144" s="1052">
        <v>19000</v>
      </c>
      <c r="J144" s="1052">
        <v>12</v>
      </c>
      <c r="K144" s="1046">
        <v>80000</v>
      </c>
      <c r="L144" s="1053">
        <v>70000</v>
      </c>
      <c r="M144" s="1048" t="str">
        <f t="shared" si="0"/>
        <v>ест. Влаж 195х190</v>
      </c>
      <c r="N144" s="883" t="str">
        <f t="shared" si="1"/>
        <v>K144</v>
      </c>
      <c r="O144" s="883">
        <f t="shared" si="2"/>
        <v>144</v>
      </c>
      <c r="P144" s="883"/>
      <c r="Q144" s="883"/>
      <c r="R144" t="str">
        <f t="shared" si="3"/>
        <v>ест. Влаж 195х190</v>
      </c>
      <c r="S144" t="str">
        <f t="shared" si="4"/>
        <v>K144</v>
      </c>
    </row>
    <row r="145" spans="1:19" ht="30">
      <c r="A145" s="883"/>
      <c r="B145" s="1063" t="s">
        <v>747</v>
      </c>
      <c r="C145" s="1034" t="s">
        <v>85</v>
      </c>
      <c r="D145" s="1035"/>
      <c r="E145" s="883"/>
      <c r="F145" s="883"/>
      <c r="G145" s="1051" t="s">
        <v>101</v>
      </c>
      <c r="H145" s="1051" t="s">
        <v>108</v>
      </c>
      <c r="I145" s="1052">
        <v>26000</v>
      </c>
      <c r="J145" s="1052">
        <v>12</v>
      </c>
      <c r="K145" s="1046">
        <v>80000</v>
      </c>
      <c r="L145" s="1053">
        <v>70000</v>
      </c>
      <c r="M145" s="1048" t="str">
        <f t="shared" si="0"/>
        <v>камерной сушки 145х145</v>
      </c>
      <c r="N145" s="883" t="str">
        <f t="shared" si="1"/>
        <v>K145</v>
      </c>
      <c r="O145" s="883">
        <f t="shared" si="2"/>
        <v>145</v>
      </c>
      <c r="P145" s="883"/>
      <c r="Q145" s="883"/>
      <c r="R145" t="str">
        <f t="shared" si="3"/>
        <v>камерной сушки 145х145</v>
      </c>
      <c r="S145" t="str">
        <f t="shared" si="4"/>
        <v>K145</v>
      </c>
    </row>
    <row r="146" spans="1:19">
      <c r="A146" s="883"/>
      <c r="B146" s="886"/>
      <c r="C146" s="883"/>
      <c r="D146" s="883"/>
      <c r="E146" s="883"/>
      <c r="F146" s="883"/>
      <c r="G146" s="1051" t="s">
        <v>101</v>
      </c>
      <c r="H146" s="1051" t="s">
        <v>109</v>
      </c>
      <c r="I146" s="1052">
        <v>26000</v>
      </c>
      <c r="J146" s="1052">
        <v>12</v>
      </c>
      <c r="K146" s="1046">
        <v>80000</v>
      </c>
      <c r="L146" s="1053">
        <v>70000</v>
      </c>
      <c r="M146" s="1048" t="str">
        <f t="shared" si="0"/>
        <v>камерной сушки 145х195</v>
      </c>
      <c r="N146" s="883" t="str">
        <f t="shared" si="1"/>
        <v>K146</v>
      </c>
      <c r="O146" s="883">
        <f t="shared" si="2"/>
        <v>146</v>
      </c>
      <c r="P146" s="883"/>
      <c r="Q146" s="883"/>
      <c r="R146" t="str">
        <f t="shared" si="3"/>
        <v>камерной сушки 145х195</v>
      </c>
      <c r="S146" t="str">
        <f t="shared" si="4"/>
        <v>K146</v>
      </c>
    </row>
    <row r="147" spans="1:19">
      <c r="A147" s="883"/>
      <c r="B147" s="883"/>
      <c r="C147" s="883"/>
      <c r="D147" s="883"/>
      <c r="E147" s="883"/>
      <c r="F147" s="883"/>
      <c r="G147" s="1051" t="s">
        <v>101</v>
      </c>
      <c r="H147" s="1051" t="s">
        <v>110</v>
      </c>
      <c r="I147" s="1052">
        <v>26000</v>
      </c>
      <c r="J147" s="1052">
        <v>12</v>
      </c>
      <c r="K147" s="1046">
        <v>80000</v>
      </c>
      <c r="L147" s="1053">
        <v>70000</v>
      </c>
      <c r="M147" s="1048" t="str">
        <f t="shared" si="0"/>
        <v>камерной сушки 195х195</v>
      </c>
      <c r="N147" s="883" t="str">
        <f t="shared" si="1"/>
        <v>K147</v>
      </c>
      <c r="O147" s="883">
        <f t="shared" si="2"/>
        <v>147</v>
      </c>
      <c r="P147" s="883"/>
      <c r="Q147" s="883"/>
      <c r="R147" t="str">
        <f t="shared" si="3"/>
        <v>камерной сушки 195х195</v>
      </c>
      <c r="S147" t="str">
        <f t="shared" si="4"/>
        <v>K147</v>
      </c>
    </row>
    <row r="148" spans="1:19">
      <c r="A148" s="883"/>
      <c r="B148" s="883"/>
      <c r="C148" s="883"/>
      <c r="D148" s="883"/>
      <c r="E148" s="883"/>
      <c r="F148" s="883"/>
      <c r="G148" s="1049"/>
      <c r="H148" s="1049"/>
      <c r="I148" s="883"/>
      <c r="J148" s="883"/>
      <c r="K148" s="1050"/>
      <c r="L148" s="1050"/>
      <c r="M148" s="1048" t="str">
        <f t="shared" si="0"/>
        <v xml:space="preserve"> </v>
      </c>
      <c r="N148" s="883" t="str">
        <f t="shared" si="1"/>
        <v>K148</v>
      </c>
      <c r="O148" s="883">
        <f t="shared" si="2"/>
        <v>148</v>
      </c>
      <c r="P148" s="883"/>
      <c r="Q148" s="883"/>
      <c r="R148" t="str">
        <f t="shared" si="3"/>
        <v xml:space="preserve"> </v>
      </c>
      <c r="S148" t="str">
        <f t="shared" si="4"/>
        <v>K148</v>
      </c>
    </row>
    <row r="149" spans="1:19">
      <c r="A149" s="883"/>
      <c r="B149" s="883"/>
      <c r="C149" s="883"/>
      <c r="D149" s="883"/>
      <c r="E149" s="883"/>
      <c r="F149" s="883"/>
      <c r="G149" s="1064" t="s">
        <v>111</v>
      </c>
      <c r="H149" s="1064" t="s">
        <v>112</v>
      </c>
      <c r="I149" s="1052">
        <v>47000</v>
      </c>
      <c r="J149" s="1052">
        <v>12</v>
      </c>
      <c r="K149" s="1046">
        <v>90000</v>
      </c>
      <c r="L149" s="1053">
        <v>80000</v>
      </c>
      <c r="M149" s="1048" t="str">
        <f t="shared" si="0"/>
        <v>кл. брус 145х160</v>
      </c>
      <c r="N149" s="883" t="str">
        <f t="shared" si="1"/>
        <v>K149</v>
      </c>
      <c r="O149" s="883">
        <f t="shared" si="2"/>
        <v>149</v>
      </c>
      <c r="P149" s="883"/>
      <c r="Q149" s="883"/>
      <c r="R149" t="str">
        <f t="shared" si="3"/>
        <v>кл. брус 145х160</v>
      </c>
      <c r="S149" t="str">
        <f t="shared" si="4"/>
        <v>K149</v>
      </c>
    </row>
    <row r="150" spans="1:19">
      <c r="A150" s="883"/>
      <c r="B150" s="883"/>
      <c r="C150" s="883"/>
      <c r="D150" s="883"/>
      <c r="E150" s="883"/>
      <c r="F150" s="883"/>
      <c r="G150" s="1064" t="s">
        <v>111</v>
      </c>
      <c r="H150" s="1064" t="s">
        <v>113</v>
      </c>
      <c r="I150" s="1052">
        <v>47000</v>
      </c>
      <c r="J150" s="1052">
        <v>12</v>
      </c>
      <c r="K150" s="1046">
        <v>90000</v>
      </c>
      <c r="L150" s="1053">
        <v>80000</v>
      </c>
      <c r="M150" s="1048" t="str">
        <f t="shared" si="0"/>
        <v>кл. брус 145х200</v>
      </c>
      <c r="N150" s="883" t="str">
        <f t="shared" si="1"/>
        <v>K150</v>
      </c>
      <c r="O150" s="883">
        <f t="shared" si="2"/>
        <v>150</v>
      </c>
      <c r="P150" s="883"/>
      <c r="Q150" s="883"/>
      <c r="R150" t="str">
        <f t="shared" si="3"/>
        <v>кл. брус 145х200</v>
      </c>
      <c r="S150" t="str">
        <f t="shared" si="4"/>
        <v>K150</v>
      </c>
    </row>
    <row r="151" spans="1:19">
      <c r="A151" s="883"/>
      <c r="B151" s="883"/>
      <c r="C151" s="883"/>
      <c r="D151" s="883"/>
      <c r="E151" s="883"/>
      <c r="F151" s="883"/>
      <c r="G151" s="1064" t="s">
        <v>111</v>
      </c>
      <c r="H151" s="1064" t="s">
        <v>114</v>
      </c>
      <c r="I151" s="1052">
        <v>47000</v>
      </c>
      <c r="J151" s="1052">
        <v>12</v>
      </c>
      <c r="K151" s="1046">
        <v>90000</v>
      </c>
      <c r="L151" s="1053">
        <v>80000</v>
      </c>
      <c r="M151" s="1048" t="str">
        <f t="shared" si="0"/>
        <v>кл. брус 190х160</v>
      </c>
      <c r="N151" s="883" t="str">
        <f t="shared" si="1"/>
        <v>K151</v>
      </c>
      <c r="O151" s="883">
        <f t="shared" si="2"/>
        <v>151</v>
      </c>
      <c r="P151" s="883"/>
      <c r="Q151" s="883"/>
      <c r="R151" t="str">
        <f t="shared" si="3"/>
        <v>кл. брус 190х160</v>
      </c>
      <c r="S151" t="str">
        <f t="shared" si="4"/>
        <v>K151</v>
      </c>
    </row>
    <row r="152" spans="1:19">
      <c r="A152" s="883"/>
      <c r="B152" s="883"/>
      <c r="C152" s="883"/>
      <c r="D152" s="883"/>
      <c r="E152" s="883"/>
      <c r="F152" s="883"/>
      <c r="G152" s="1064" t="s">
        <v>111</v>
      </c>
      <c r="H152" s="1064" t="s">
        <v>115</v>
      </c>
      <c r="I152" s="1052">
        <v>47000</v>
      </c>
      <c r="J152" s="1052">
        <v>12</v>
      </c>
      <c r="K152" s="1046">
        <v>90000</v>
      </c>
      <c r="L152" s="1053">
        <v>80000</v>
      </c>
      <c r="M152" s="1048" t="str">
        <f t="shared" si="0"/>
        <v>кл. брус 190х200</v>
      </c>
      <c r="N152" s="883" t="str">
        <f t="shared" si="1"/>
        <v>K152</v>
      </c>
      <c r="O152" s="883">
        <f t="shared" si="2"/>
        <v>152</v>
      </c>
      <c r="P152" s="883"/>
      <c r="Q152" s="883"/>
      <c r="R152" t="str">
        <f t="shared" si="3"/>
        <v>кл. брус 190х200</v>
      </c>
      <c r="S152" t="str">
        <f t="shared" si="4"/>
        <v>K152</v>
      </c>
    </row>
    <row r="153" spans="1:19">
      <c r="A153" s="883"/>
      <c r="B153" s="883"/>
      <c r="C153" s="883"/>
      <c r="D153" s="883"/>
      <c r="E153" s="883"/>
      <c r="F153" s="883"/>
      <c r="G153" s="1064" t="s">
        <v>111</v>
      </c>
      <c r="H153" s="1064" t="s">
        <v>116</v>
      </c>
      <c r="I153" s="1052">
        <v>47000</v>
      </c>
      <c r="J153" s="1052">
        <v>12</v>
      </c>
      <c r="K153" s="1046">
        <v>90000</v>
      </c>
      <c r="L153" s="1053">
        <v>80000</v>
      </c>
      <c r="M153" s="1048" t="str">
        <f t="shared" si="0"/>
        <v>кл. брус 145х240</v>
      </c>
      <c r="N153" s="883" t="str">
        <f t="shared" si="1"/>
        <v>K153</v>
      </c>
      <c r="O153" s="883">
        <f t="shared" si="2"/>
        <v>153</v>
      </c>
      <c r="P153" s="883"/>
      <c r="Q153" s="883"/>
      <c r="R153" t="str">
        <f t="shared" si="3"/>
        <v>кл. брус 145х240</v>
      </c>
      <c r="S153" t="str">
        <f t="shared" si="4"/>
        <v>K153</v>
      </c>
    </row>
    <row r="154" spans="1:19">
      <c r="A154" s="883"/>
      <c r="B154" s="883"/>
      <c r="C154" s="883"/>
      <c r="D154" s="883"/>
      <c r="E154" s="883"/>
      <c r="F154" s="883"/>
      <c r="G154" s="1064" t="s">
        <v>111</v>
      </c>
      <c r="H154" s="1064" t="s">
        <v>117</v>
      </c>
      <c r="I154" s="1052">
        <v>47000</v>
      </c>
      <c r="J154" s="1052">
        <v>12</v>
      </c>
      <c r="K154" s="1046">
        <v>90000</v>
      </c>
      <c r="L154" s="1053">
        <v>80000</v>
      </c>
      <c r="M154" s="1048" t="str">
        <f t="shared" si="0"/>
        <v>кл. брус 190х240</v>
      </c>
      <c r="N154" s="883" t="str">
        <f t="shared" si="1"/>
        <v>K154</v>
      </c>
      <c r="O154" s="883">
        <f t="shared" si="2"/>
        <v>154</v>
      </c>
      <c r="P154" s="883"/>
      <c r="Q154" s="883"/>
      <c r="R154" t="str">
        <f t="shared" si="3"/>
        <v>кл. брус 190х240</v>
      </c>
      <c r="S154" t="str">
        <f t="shared" si="4"/>
        <v>K154</v>
      </c>
    </row>
    <row r="155" spans="1:19">
      <c r="A155" s="883"/>
      <c r="B155" s="883"/>
      <c r="C155" s="883"/>
      <c r="D155" s="883"/>
      <c r="E155" s="883"/>
      <c r="F155" s="883"/>
      <c r="G155" s="1064" t="s">
        <v>111</v>
      </c>
      <c r="H155" s="1064" t="s">
        <v>118</v>
      </c>
      <c r="I155" s="1052">
        <v>47000</v>
      </c>
      <c r="J155" s="1052">
        <v>12</v>
      </c>
      <c r="K155" s="1046">
        <v>90000</v>
      </c>
      <c r="L155" s="1053">
        <v>80000</v>
      </c>
      <c r="M155" s="1048" t="str">
        <f t="shared" si="0"/>
        <v>кл. брус 230х160</v>
      </c>
      <c r="N155" s="883" t="str">
        <f t="shared" si="1"/>
        <v>K155</v>
      </c>
      <c r="O155" s="883">
        <f t="shared" si="2"/>
        <v>155</v>
      </c>
      <c r="P155" s="883"/>
      <c r="Q155" s="883"/>
      <c r="R155" t="str">
        <f t="shared" si="3"/>
        <v>кл. брус 230х160</v>
      </c>
      <c r="S155" t="str">
        <f t="shared" si="4"/>
        <v>K155</v>
      </c>
    </row>
    <row r="156" spans="1:19">
      <c r="A156" s="883"/>
      <c r="B156" s="883"/>
      <c r="C156" s="883"/>
      <c r="D156" s="883"/>
      <c r="E156" s="883"/>
      <c r="F156" s="883"/>
      <c r="G156" s="1064" t="s">
        <v>111</v>
      </c>
      <c r="H156" s="1064" t="s">
        <v>119</v>
      </c>
      <c r="I156" s="1052">
        <v>47000</v>
      </c>
      <c r="J156" s="1052">
        <v>12</v>
      </c>
      <c r="K156" s="1046">
        <v>90000</v>
      </c>
      <c r="L156" s="1053">
        <v>80000</v>
      </c>
      <c r="M156" s="1048" t="str">
        <f t="shared" si="0"/>
        <v>кл. брус 230х200</v>
      </c>
      <c r="N156" s="883" t="str">
        <f t="shared" si="1"/>
        <v>K156</v>
      </c>
      <c r="O156" s="883">
        <f t="shared" si="2"/>
        <v>156</v>
      </c>
      <c r="P156" s="883"/>
      <c r="Q156" s="883"/>
      <c r="R156" t="str">
        <f t="shared" si="3"/>
        <v>кл. брус 230х200</v>
      </c>
      <c r="S156" t="str">
        <f t="shared" si="4"/>
        <v>K156</v>
      </c>
    </row>
    <row r="157" spans="1:19">
      <c r="A157" s="883"/>
      <c r="B157" s="883"/>
      <c r="C157" s="883"/>
      <c r="D157" s="883"/>
      <c r="E157" s="883"/>
      <c r="F157" s="883"/>
      <c r="G157" s="1064" t="s">
        <v>111</v>
      </c>
      <c r="H157" s="1064" t="s">
        <v>120</v>
      </c>
      <c r="I157" s="1052">
        <v>47000</v>
      </c>
      <c r="J157" s="1052">
        <v>12</v>
      </c>
      <c r="K157" s="1046">
        <v>90000</v>
      </c>
      <c r="L157" s="1053">
        <v>80000</v>
      </c>
      <c r="M157" s="1048" t="str">
        <f t="shared" si="0"/>
        <v>кл. брус 230х240</v>
      </c>
      <c r="N157" s="883" t="str">
        <f t="shared" si="1"/>
        <v>K157</v>
      </c>
      <c r="O157" s="883">
        <f t="shared" si="2"/>
        <v>157</v>
      </c>
      <c r="P157" s="883"/>
      <c r="Q157" s="883"/>
      <c r="R157" t="str">
        <f t="shared" si="3"/>
        <v>кл. брус 230х240</v>
      </c>
      <c r="S157" t="str">
        <f t="shared" si="4"/>
        <v>K157</v>
      </c>
    </row>
    <row r="158" spans="1:19">
      <c r="A158" s="883"/>
      <c r="B158" s="883"/>
      <c r="C158" s="883"/>
      <c r="D158" s="883"/>
      <c r="E158" s="883"/>
      <c r="F158" s="883"/>
      <c r="G158" s="1064" t="s">
        <v>111</v>
      </c>
      <c r="H158" s="1064" t="s">
        <v>121</v>
      </c>
      <c r="I158" s="1052">
        <v>47000</v>
      </c>
      <c r="J158" s="1052">
        <v>12</v>
      </c>
      <c r="K158" s="1046">
        <v>90000</v>
      </c>
      <c r="L158" s="1053">
        <v>80000</v>
      </c>
      <c r="M158" s="1048" t="str">
        <f t="shared" si="0"/>
        <v>кл. брус 250х160</v>
      </c>
      <c r="N158" s="883" t="str">
        <f t="shared" si="1"/>
        <v>K158</v>
      </c>
      <c r="O158" s="883">
        <f t="shared" si="2"/>
        <v>158</v>
      </c>
      <c r="P158" s="883"/>
      <c r="Q158" s="883"/>
      <c r="R158" t="str">
        <f t="shared" si="3"/>
        <v>кл. брус 250х160</v>
      </c>
      <c r="S158" t="str">
        <f t="shared" si="4"/>
        <v>K158</v>
      </c>
    </row>
    <row r="159" spans="1:19">
      <c r="A159" s="883"/>
      <c r="B159" s="883"/>
      <c r="C159" s="883"/>
      <c r="D159" s="883"/>
      <c r="E159" s="883"/>
      <c r="F159" s="883"/>
      <c r="G159" s="1064" t="s">
        <v>111</v>
      </c>
      <c r="H159" s="1064" t="s">
        <v>122</v>
      </c>
      <c r="I159" s="1052">
        <v>47000</v>
      </c>
      <c r="J159" s="1052">
        <v>12</v>
      </c>
      <c r="K159" s="1046">
        <v>90000</v>
      </c>
      <c r="L159" s="1053">
        <v>80000</v>
      </c>
      <c r="M159" s="1048" t="str">
        <f t="shared" si="0"/>
        <v>кл. брус 250х200</v>
      </c>
      <c r="N159" s="883" t="str">
        <f t="shared" si="1"/>
        <v>K159</v>
      </c>
      <c r="O159" s="883">
        <f t="shared" si="2"/>
        <v>159</v>
      </c>
      <c r="P159" s="883"/>
      <c r="Q159" s="883"/>
      <c r="R159" t="str">
        <f t="shared" si="3"/>
        <v>кл. брус 250х200</v>
      </c>
      <c r="S159" t="str">
        <f t="shared" si="4"/>
        <v>K159</v>
      </c>
    </row>
    <row r="160" spans="1:19">
      <c r="A160" s="883"/>
      <c r="B160" s="883"/>
      <c r="C160" s="883"/>
      <c r="D160" s="883"/>
      <c r="E160" s="883"/>
      <c r="F160" s="883"/>
      <c r="G160" s="1064" t="s">
        <v>111</v>
      </c>
      <c r="H160" s="1064" t="s">
        <v>123</v>
      </c>
      <c r="I160" s="1052">
        <v>47000</v>
      </c>
      <c r="J160" s="1052">
        <v>12</v>
      </c>
      <c r="K160" s="1046">
        <v>90000</v>
      </c>
      <c r="L160" s="1053">
        <v>80000</v>
      </c>
      <c r="M160" s="1048" t="str">
        <f t="shared" si="0"/>
        <v>кл. брус 280х200</v>
      </c>
      <c r="N160" s="883" t="str">
        <f t="shared" si="1"/>
        <v>K160</v>
      </c>
      <c r="O160" s="883">
        <f t="shared" si="2"/>
        <v>160</v>
      </c>
      <c r="P160" s="883"/>
      <c r="Q160" s="883"/>
      <c r="R160" t="str">
        <f t="shared" si="3"/>
        <v>кл. брус 280х200</v>
      </c>
      <c r="S160" t="str">
        <f t="shared" si="4"/>
        <v>K160</v>
      </c>
    </row>
    <row r="161" spans="1:17">
      <c r="A161" s="883"/>
      <c r="B161" s="883"/>
      <c r="C161" s="883"/>
      <c r="D161" s="883"/>
      <c r="E161" s="883"/>
      <c r="F161" s="883"/>
      <c r="G161" s="883"/>
      <c r="H161" s="883"/>
      <c r="I161" s="883"/>
      <c r="J161" s="883"/>
      <c r="K161" s="883"/>
      <c r="L161" s="883"/>
      <c r="M161" s="883"/>
      <c r="N161" s="883"/>
      <c r="O161" s="883"/>
      <c r="P161" s="883"/>
      <c r="Q161" s="883"/>
    </row>
    <row r="162" spans="1:17">
      <c r="A162" s="883"/>
      <c r="B162" s="883"/>
      <c r="C162" s="883"/>
      <c r="D162" s="883"/>
      <c r="E162" s="883"/>
      <c r="F162" s="883"/>
      <c r="G162" s="883"/>
      <c r="H162" s="883"/>
      <c r="I162" s="883"/>
      <c r="J162" s="883"/>
      <c r="K162" s="883"/>
      <c r="L162" s="883"/>
      <c r="M162" s="883"/>
      <c r="N162" s="883"/>
      <c r="O162" s="883"/>
      <c r="P162" s="883"/>
      <c r="Q162" s="883"/>
    </row>
    <row r="163" spans="1:17">
      <c r="A163" s="883"/>
      <c r="B163" s="883"/>
      <c r="C163" s="883"/>
      <c r="D163" s="883"/>
      <c r="E163" s="883"/>
      <c r="F163" s="883"/>
      <c r="G163" s="883"/>
      <c r="H163" s="883"/>
      <c r="I163" s="883"/>
      <c r="J163" s="883"/>
      <c r="K163" s="883"/>
      <c r="L163" s="883"/>
      <c r="M163" s="883"/>
      <c r="N163" s="883"/>
      <c r="O163" s="883"/>
      <c r="P163" s="883"/>
      <c r="Q163" s="883"/>
    </row>
    <row r="164" spans="1:17">
      <c r="A164" s="883"/>
      <c r="B164" s="883"/>
      <c r="C164" s="883"/>
      <c r="D164" s="883"/>
      <c r="E164" s="883"/>
      <c r="F164" s="883"/>
      <c r="G164" s="883"/>
      <c r="H164" s="883"/>
      <c r="I164" s="883"/>
      <c r="J164" s="883"/>
      <c r="K164" s="883"/>
      <c r="L164" s="883"/>
      <c r="M164" s="883"/>
      <c r="N164" s="883"/>
      <c r="O164" s="883"/>
      <c r="P164" s="883"/>
      <c r="Q164" s="883"/>
    </row>
    <row r="165" spans="1:17">
      <c r="A165" s="1155" t="s">
        <v>963</v>
      </c>
      <c r="B165" s="1155"/>
      <c r="C165" s="1155"/>
      <c r="D165" s="1155"/>
      <c r="E165" s="1155"/>
      <c r="F165" s="1155"/>
      <c r="G165" s="1155"/>
      <c r="H165" s="1155"/>
      <c r="I165" s="1155"/>
      <c r="J165" s="1155"/>
      <c r="K165" s="1155"/>
      <c r="L165" s="1155"/>
      <c r="M165" s="1155"/>
      <c r="N165" s="1155"/>
      <c r="O165" s="1155"/>
      <c r="P165" s="1155"/>
      <c r="Q165" s="1155"/>
    </row>
    <row r="166" spans="1:17" ht="20.5" customHeight="1">
      <c r="A166" s="1155"/>
      <c r="B166" s="1155"/>
      <c r="C166" s="1155"/>
      <c r="D166" s="1155"/>
      <c r="E166" s="1155"/>
      <c r="F166" s="1155"/>
      <c r="G166" s="1155"/>
      <c r="H166" s="1155"/>
      <c r="I166" s="1155"/>
      <c r="J166" s="1155"/>
      <c r="K166" s="1155"/>
      <c r="L166" s="1155"/>
      <c r="M166" s="1155"/>
      <c r="N166" s="1155"/>
      <c r="O166" s="1155"/>
      <c r="P166" s="1155"/>
      <c r="Q166" s="1155"/>
    </row>
    <row r="167" spans="1:17">
      <c r="A167" s="883"/>
      <c r="B167" s="883"/>
      <c r="C167" s="883"/>
      <c r="D167" s="883"/>
      <c r="E167" s="883"/>
      <c r="F167" s="883"/>
      <c r="G167" s="883"/>
      <c r="H167" s="883"/>
      <c r="I167" s="883"/>
      <c r="J167" s="883"/>
      <c r="K167" s="883"/>
      <c r="L167" s="883"/>
      <c r="M167" s="883"/>
      <c r="N167" s="883"/>
      <c r="O167" s="883"/>
      <c r="P167" s="883"/>
      <c r="Q167" s="883"/>
    </row>
    <row r="168" spans="1:17">
      <c r="A168" s="883"/>
      <c r="B168" s="883"/>
      <c r="C168" s="883"/>
      <c r="D168" s="883"/>
      <c r="E168" s="883"/>
      <c r="F168" s="883"/>
      <c r="G168" s="883"/>
      <c r="H168" s="883"/>
      <c r="I168" s="883"/>
      <c r="J168" s="883"/>
      <c r="K168" s="883"/>
      <c r="L168" s="883"/>
      <c r="M168" s="883"/>
      <c r="N168" s="883"/>
      <c r="O168" s="883"/>
      <c r="P168" s="883"/>
      <c r="Q168" s="883"/>
    </row>
    <row r="169" spans="1:17">
      <c r="A169" s="883"/>
      <c r="B169" s="890" t="s">
        <v>589</v>
      </c>
      <c r="C169" s="1019" t="s">
        <v>63</v>
      </c>
      <c r="D169" s="1065">
        <v>45.1</v>
      </c>
      <c r="E169" s="920" t="s">
        <v>892</v>
      </c>
      <c r="F169" s="883"/>
      <c r="G169" s="883"/>
      <c r="H169" s="883"/>
      <c r="I169" s="1149" t="s">
        <v>964</v>
      </c>
      <c r="J169" s="1149" t="s">
        <v>965</v>
      </c>
      <c r="K169" s="1149" t="s">
        <v>966</v>
      </c>
      <c r="L169" s="883"/>
      <c r="M169" s="883"/>
      <c r="N169" s="883"/>
      <c r="O169" s="883"/>
      <c r="P169" s="883"/>
      <c r="Q169" s="883"/>
    </row>
    <row r="170" spans="1:17">
      <c r="A170" s="883"/>
      <c r="B170" s="1066" t="s">
        <v>590</v>
      </c>
      <c r="C170" s="1067" t="s">
        <v>63</v>
      </c>
      <c r="D170" s="1068">
        <v>47.1</v>
      </c>
      <c r="E170" s="920" t="s">
        <v>892</v>
      </c>
      <c r="F170" s="883"/>
      <c r="G170" s="883"/>
      <c r="H170" s="883"/>
      <c r="I170" s="1150"/>
      <c r="J170" s="1150"/>
      <c r="K170" s="1150"/>
      <c r="L170" s="883"/>
      <c r="M170" s="883"/>
      <c r="N170" s="883"/>
      <c r="O170" s="883"/>
      <c r="P170" s="883"/>
      <c r="Q170" s="883"/>
    </row>
    <row r="171" spans="1:17">
      <c r="A171" s="883"/>
      <c r="B171" s="890"/>
      <c r="C171" s="1030" t="s">
        <v>360</v>
      </c>
      <c r="D171" s="890"/>
      <c r="E171" s="1030" t="s">
        <v>463</v>
      </c>
      <c r="F171" s="883"/>
      <c r="G171" s="49" t="s">
        <v>357</v>
      </c>
      <c r="H171" s="50">
        <v>180</v>
      </c>
      <c r="I171" s="1069"/>
      <c r="J171" s="1069"/>
      <c r="K171" s="1069"/>
      <c r="L171" s="883"/>
      <c r="M171" s="883"/>
      <c r="N171" s="883"/>
      <c r="O171" s="883"/>
      <c r="P171" s="883"/>
      <c r="Q171" s="883"/>
    </row>
    <row r="172" spans="1:17">
      <c r="A172" s="883"/>
      <c r="B172" s="1070" t="s">
        <v>613</v>
      </c>
      <c r="C172" s="1019">
        <v>180</v>
      </c>
      <c r="D172" s="1071"/>
      <c r="E172" s="1072"/>
      <c r="F172" s="883"/>
      <c r="G172" s="49" t="s">
        <v>357</v>
      </c>
      <c r="H172" s="50">
        <v>200</v>
      </c>
      <c r="I172" s="1069"/>
      <c r="J172" s="1069"/>
      <c r="K172" s="1069"/>
      <c r="L172" s="883"/>
      <c r="M172" s="883"/>
      <c r="N172" s="883"/>
      <c r="O172" s="883"/>
      <c r="P172" s="883"/>
      <c r="Q172" s="883"/>
    </row>
    <row r="173" spans="1:17">
      <c r="A173" s="883"/>
      <c r="B173" s="1073" t="s">
        <v>606</v>
      </c>
      <c r="C173" s="1074">
        <v>200</v>
      </c>
      <c r="D173" s="1075"/>
      <c r="E173" s="1076"/>
      <c r="F173" s="883"/>
      <c r="G173" s="49" t="s">
        <v>357</v>
      </c>
      <c r="H173" s="50">
        <v>220</v>
      </c>
      <c r="I173" s="1069"/>
      <c r="J173" s="1069"/>
      <c r="K173" s="1069"/>
      <c r="L173" s="883"/>
      <c r="M173" s="883"/>
      <c r="N173" s="883"/>
      <c r="O173" s="883"/>
      <c r="P173" s="883"/>
      <c r="Q173" s="883"/>
    </row>
    <row r="174" spans="1:17">
      <c r="A174" s="883"/>
      <c r="B174" s="1073" t="s">
        <v>607</v>
      </c>
      <c r="C174" s="1074">
        <v>220</v>
      </c>
      <c r="D174" s="1075"/>
      <c r="E174" s="1076"/>
      <c r="F174" s="883"/>
      <c r="G174" s="49" t="s">
        <v>357</v>
      </c>
      <c r="H174" s="50">
        <v>240</v>
      </c>
      <c r="I174" s="1069"/>
      <c r="J174" s="1069"/>
      <c r="K174" s="1069"/>
      <c r="L174" s="883"/>
      <c r="M174" s="883"/>
      <c r="N174" s="883"/>
      <c r="O174" s="883"/>
      <c r="P174" s="883"/>
      <c r="Q174" s="883"/>
    </row>
    <row r="175" spans="1:17">
      <c r="A175" s="883"/>
      <c r="B175" s="1073" t="s">
        <v>608</v>
      </c>
      <c r="C175" s="1074">
        <v>240</v>
      </c>
      <c r="D175" s="1075"/>
      <c r="E175" s="1076"/>
      <c r="F175" s="883"/>
      <c r="G175" s="49" t="s">
        <v>357</v>
      </c>
      <c r="H175" s="50">
        <v>260</v>
      </c>
      <c r="I175" s="1069"/>
      <c r="J175" s="1069"/>
      <c r="K175" s="1069"/>
      <c r="L175" s="883"/>
      <c r="M175" s="883"/>
      <c r="N175" s="883"/>
      <c r="O175" s="883"/>
      <c r="P175" s="883"/>
      <c r="Q175" s="883"/>
    </row>
    <row r="176" spans="1:17">
      <c r="A176" s="883"/>
      <c r="B176" s="1073" t="s">
        <v>609</v>
      </c>
      <c r="C176" s="1074">
        <v>260</v>
      </c>
      <c r="D176" s="1075"/>
      <c r="E176" s="1076"/>
      <c r="F176" s="883"/>
      <c r="G176" s="49" t="s">
        <v>357</v>
      </c>
      <c r="H176" s="50">
        <v>280</v>
      </c>
      <c r="I176" s="1069"/>
      <c r="J176" s="1069"/>
      <c r="K176" s="1069"/>
      <c r="L176" s="883"/>
      <c r="M176" s="883"/>
      <c r="N176" s="883"/>
      <c r="O176" s="883"/>
      <c r="P176" s="883"/>
      <c r="Q176" s="883"/>
    </row>
    <row r="177" spans="1:17">
      <c r="A177" s="883"/>
      <c r="B177" s="1073" t="s">
        <v>610</v>
      </c>
      <c r="C177" s="1074">
        <v>280</v>
      </c>
      <c r="D177" s="1075"/>
      <c r="E177" s="1076"/>
      <c r="F177" s="883"/>
      <c r="G177" s="49" t="s">
        <v>357</v>
      </c>
      <c r="H177" s="50">
        <v>300</v>
      </c>
      <c r="I177" s="1069"/>
      <c r="J177" s="1069"/>
      <c r="K177" s="1069"/>
      <c r="L177" s="883"/>
      <c r="M177" s="883"/>
      <c r="N177" s="883"/>
      <c r="O177" s="883"/>
      <c r="P177" s="883"/>
      <c r="Q177" s="883"/>
    </row>
    <row r="178" spans="1:17">
      <c r="A178" s="883"/>
      <c r="B178" s="1073" t="s">
        <v>611</v>
      </c>
      <c r="C178" s="1074">
        <v>300</v>
      </c>
      <c r="D178" s="1075"/>
      <c r="E178" s="1076"/>
      <c r="F178" s="883"/>
      <c r="G178" s="297"/>
      <c r="H178" s="297"/>
      <c r="I178" s="1077"/>
      <c r="J178" s="1077"/>
      <c r="K178" s="1077"/>
      <c r="L178" s="883"/>
      <c r="M178" s="883"/>
      <c r="N178" s="883"/>
      <c r="O178" s="883"/>
      <c r="P178" s="883"/>
      <c r="Q178" s="883"/>
    </row>
    <row r="179" spans="1:17">
      <c r="A179" s="883"/>
      <c r="B179" s="883"/>
      <c r="C179" s="883"/>
      <c r="D179" s="883"/>
      <c r="E179" s="883"/>
      <c r="F179" s="883"/>
      <c r="G179" s="49" t="s">
        <v>358</v>
      </c>
      <c r="H179" s="50">
        <v>200</v>
      </c>
      <c r="I179" s="1069"/>
      <c r="J179" s="1069"/>
      <c r="K179" s="1069"/>
      <c r="L179" s="883"/>
      <c r="M179" s="883"/>
      <c r="N179" s="883"/>
      <c r="O179" s="883"/>
      <c r="P179" s="883"/>
      <c r="Q179" s="883"/>
    </row>
    <row r="180" spans="1:17">
      <c r="A180" s="883"/>
      <c r="B180" s="1078" t="s">
        <v>232</v>
      </c>
      <c r="C180" s="1078"/>
      <c r="D180" s="1079"/>
      <c r="E180" s="1080" t="s">
        <v>214</v>
      </c>
      <c r="F180" s="883"/>
      <c r="G180" s="49" t="s">
        <v>358</v>
      </c>
      <c r="H180" s="50">
        <v>220</v>
      </c>
      <c r="I180" s="1069"/>
      <c r="J180" s="1069"/>
      <c r="K180" s="1069"/>
      <c r="L180" s="883"/>
      <c r="M180" s="883"/>
      <c r="N180" s="883"/>
      <c r="O180" s="883"/>
      <c r="P180" s="883"/>
      <c r="Q180" s="883"/>
    </row>
    <row r="181" spans="1:17">
      <c r="A181" s="883"/>
      <c r="B181" s="1078" t="s">
        <v>605</v>
      </c>
      <c r="C181" s="1078"/>
      <c r="D181" s="1079"/>
      <c r="E181" s="1079"/>
      <c r="F181" s="883"/>
      <c r="G181" s="49" t="s">
        <v>358</v>
      </c>
      <c r="H181" s="50">
        <v>240</v>
      </c>
      <c r="I181" s="1069"/>
      <c r="J181" s="1069"/>
      <c r="K181" s="1069"/>
      <c r="L181" s="883"/>
      <c r="M181" s="883"/>
      <c r="N181" s="883"/>
      <c r="O181" s="883"/>
      <c r="P181" s="883"/>
      <c r="Q181" s="883"/>
    </row>
    <row r="182" spans="1:17">
      <c r="A182" s="883"/>
      <c r="B182" s="1018" t="s">
        <v>598</v>
      </c>
      <c r="C182" s="1025" t="s">
        <v>63</v>
      </c>
      <c r="D182" s="1026"/>
      <c r="E182" s="1072"/>
      <c r="F182" s="883"/>
      <c r="G182" s="49" t="s">
        <v>358</v>
      </c>
      <c r="H182" s="50">
        <v>260</v>
      </c>
      <c r="I182" s="1069"/>
      <c r="J182" s="1069"/>
      <c r="K182" s="1069"/>
      <c r="L182" s="883"/>
      <c r="M182" s="883"/>
      <c r="N182" s="883"/>
      <c r="O182" s="883"/>
      <c r="P182" s="883"/>
      <c r="Q182" s="883"/>
    </row>
    <row r="183" spans="1:17">
      <c r="A183" s="883"/>
      <c r="B183" s="1018" t="s">
        <v>599</v>
      </c>
      <c r="C183" s="1025" t="s">
        <v>63</v>
      </c>
      <c r="D183" s="1026"/>
      <c r="E183" s="1072"/>
      <c r="F183" s="883"/>
      <c r="G183" s="49" t="s">
        <v>358</v>
      </c>
      <c r="H183" s="50">
        <v>280</v>
      </c>
      <c r="I183" s="1069"/>
      <c r="J183" s="1069"/>
      <c r="K183" s="1069"/>
      <c r="L183" s="883"/>
      <c r="M183" s="883"/>
      <c r="N183" s="883"/>
      <c r="O183" s="883"/>
      <c r="P183" s="883"/>
      <c r="Q183" s="883"/>
    </row>
    <row r="184" spans="1:17">
      <c r="A184" s="883"/>
      <c r="B184" s="1018" t="s">
        <v>600</v>
      </c>
      <c r="C184" s="1025" t="s">
        <v>63</v>
      </c>
      <c r="D184" s="1026"/>
      <c r="E184" s="1072"/>
      <c r="F184" s="883"/>
      <c r="G184" s="49" t="s">
        <v>358</v>
      </c>
      <c r="H184" s="50">
        <v>300</v>
      </c>
      <c r="I184" s="1069"/>
      <c r="J184" s="1069"/>
      <c r="K184" s="1069"/>
      <c r="L184" s="883"/>
      <c r="M184" s="883"/>
      <c r="N184" s="883"/>
      <c r="O184" s="883"/>
      <c r="P184" s="883"/>
      <c r="Q184" s="883"/>
    </row>
    <row r="185" spans="1:17">
      <c r="A185" s="883"/>
      <c r="B185" s="1018" t="s">
        <v>601</v>
      </c>
      <c r="C185" s="1025" t="s">
        <v>63</v>
      </c>
      <c r="D185" s="1026"/>
      <c r="E185" s="1072"/>
      <c r="F185" s="883"/>
      <c r="G185" s="297"/>
      <c r="H185" s="297"/>
      <c r="I185" s="1077"/>
      <c r="J185" s="1077"/>
      <c r="K185" s="1077"/>
      <c r="L185" s="883"/>
      <c r="M185" s="883"/>
      <c r="N185" s="883"/>
      <c r="O185" s="883"/>
      <c r="P185" s="883"/>
      <c r="Q185" s="883"/>
    </row>
    <row r="186" spans="1:17">
      <c r="A186" s="883"/>
      <c r="B186" s="1018" t="s">
        <v>602</v>
      </c>
      <c r="C186" s="1025" t="s">
        <v>63</v>
      </c>
      <c r="D186" s="1026"/>
      <c r="E186" s="1072"/>
      <c r="F186" s="883"/>
      <c r="G186" s="49" t="s">
        <v>359</v>
      </c>
      <c r="H186" s="50">
        <v>200</v>
      </c>
      <c r="I186" s="1069"/>
      <c r="J186" s="1069"/>
      <c r="K186" s="1069"/>
      <c r="L186" s="883"/>
      <c r="M186" s="883"/>
      <c r="N186" s="883"/>
      <c r="O186" s="883"/>
      <c r="P186" s="883"/>
      <c r="Q186" s="883"/>
    </row>
    <row r="187" spans="1:17">
      <c r="A187" s="883"/>
      <c r="B187" s="1018" t="s">
        <v>603</v>
      </c>
      <c r="C187" s="1025" t="s">
        <v>63</v>
      </c>
      <c r="D187" s="1026"/>
      <c r="E187" s="1072"/>
      <c r="F187" s="883"/>
      <c r="G187" s="49" t="s">
        <v>359</v>
      </c>
      <c r="H187" s="50">
        <v>220</v>
      </c>
      <c r="I187" s="1069"/>
      <c r="J187" s="1069"/>
      <c r="K187" s="1069"/>
      <c r="L187" s="883"/>
      <c r="M187" s="883"/>
      <c r="N187" s="883"/>
      <c r="O187" s="883"/>
      <c r="P187" s="883"/>
      <c r="Q187" s="883"/>
    </row>
    <row r="188" spans="1:17">
      <c r="A188" s="883"/>
      <c r="B188" s="1018" t="s">
        <v>604</v>
      </c>
      <c r="C188" s="1025" t="s">
        <v>63</v>
      </c>
      <c r="D188" s="1026"/>
      <c r="E188" s="1072"/>
      <c r="F188" s="883"/>
      <c r="G188" s="49" t="s">
        <v>359</v>
      </c>
      <c r="H188" s="50">
        <v>240</v>
      </c>
      <c r="I188" s="1069"/>
      <c r="J188" s="1069"/>
      <c r="K188" s="1069"/>
      <c r="L188" s="883"/>
      <c r="M188" s="883"/>
      <c r="N188" s="883"/>
      <c r="O188" s="883"/>
      <c r="P188" s="883"/>
      <c r="Q188" s="883"/>
    </row>
    <row r="189" spans="1:17">
      <c r="A189" s="883"/>
      <c r="B189" s="1025" t="s">
        <v>358</v>
      </c>
      <c r="C189" s="1025"/>
      <c r="D189" s="1026"/>
      <c r="E189" s="1081"/>
      <c r="F189" s="883"/>
      <c r="G189" s="49" t="s">
        <v>359</v>
      </c>
      <c r="H189" s="50">
        <v>260</v>
      </c>
      <c r="I189" s="1069"/>
      <c r="J189" s="1069"/>
      <c r="K189" s="1069"/>
      <c r="L189" s="883"/>
      <c r="M189" s="883"/>
      <c r="N189" s="883"/>
      <c r="O189" s="883"/>
      <c r="P189" s="883"/>
      <c r="Q189" s="883"/>
    </row>
    <row r="190" spans="1:17">
      <c r="A190" s="883"/>
      <c r="B190" s="1041" t="s">
        <v>592</v>
      </c>
      <c r="C190" s="1025" t="s">
        <v>63</v>
      </c>
      <c r="D190" s="1026"/>
      <c r="E190" s="1072"/>
      <c r="F190" s="883"/>
      <c r="G190" s="49" t="s">
        <v>359</v>
      </c>
      <c r="H190" s="50">
        <v>280</v>
      </c>
      <c r="I190" s="1069"/>
      <c r="J190" s="1069"/>
      <c r="K190" s="1069"/>
      <c r="L190" s="883"/>
      <c r="M190" s="883"/>
      <c r="N190" s="883"/>
      <c r="O190" s="883"/>
      <c r="P190" s="883"/>
      <c r="Q190" s="883"/>
    </row>
    <row r="191" spans="1:17">
      <c r="A191" s="883"/>
      <c r="B191" s="1041" t="s">
        <v>593</v>
      </c>
      <c r="C191" s="1025" t="s">
        <v>63</v>
      </c>
      <c r="D191" s="1026"/>
      <c r="E191" s="1072"/>
      <c r="F191" s="883"/>
      <c r="G191" s="49" t="s">
        <v>359</v>
      </c>
      <c r="H191" s="50">
        <v>300</v>
      </c>
      <c r="I191" s="1069"/>
      <c r="J191" s="1069"/>
      <c r="K191" s="1069"/>
      <c r="L191" s="883"/>
      <c r="M191" s="883"/>
      <c r="N191" s="883"/>
      <c r="O191" s="883"/>
      <c r="P191" s="883"/>
      <c r="Q191" s="883"/>
    </row>
    <row r="192" spans="1:17">
      <c r="A192" s="883"/>
      <c r="B192" s="1041" t="s">
        <v>594</v>
      </c>
      <c r="C192" s="1025" t="s">
        <v>63</v>
      </c>
      <c r="D192" s="1026"/>
      <c r="E192" s="1072"/>
      <c r="F192" s="883"/>
      <c r="G192" s="49"/>
      <c r="H192" s="50"/>
      <c r="I192" s="1069"/>
      <c r="J192" s="1069"/>
      <c r="K192" s="1069"/>
      <c r="L192" s="883"/>
      <c r="M192" s="883"/>
      <c r="N192" s="883"/>
      <c r="O192" s="883"/>
      <c r="P192" s="883"/>
      <c r="Q192" s="883"/>
    </row>
    <row r="193" spans="1:17">
      <c r="A193" s="883"/>
      <c r="B193" s="1041" t="s">
        <v>595</v>
      </c>
      <c r="C193" s="1025" t="s">
        <v>63</v>
      </c>
      <c r="D193" s="1026"/>
      <c r="E193" s="1072"/>
      <c r="F193" s="883"/>
      <c r="G193" s="883"/>
      <c r="H193" s="883"/>
      <c r="I193" s="883"/>
      <c r="J193" s="883"/>
      <c r="K193" s="883"/>
      <c r="L193" s="883"/>
      <c r="M193" s="883"/>
      <c r="N193" s="883"/>
      <c r="O193" s="883"/>
      <c r="P193" s="883"/>
      <c r="Q193" s="883"/>
    </row>
    <row r="194" spans="1:17">
      <c r="A194" s="883"/>
      <c r="B194" s="1041" t="s">
        <v>596</v>
      </c>
      <c r="C194" s="1025" t="s">
        <v>63</v>
      </c>
      <c r="D194" s="1026"/>
      <c r="E194" s="1072"/>
      <c r="F194" s="883"/>
      <c r="G194" s="883"/>
      <c r="H194" s="883"/>
      <c r="I194" s="883"/>
      <c r="J194" s="883"/>
      <c r="K194" s="883"/>
      <c r="L194" s="883"/>
      <c r="M194" s="883"/>
      <c r="N194" s="883"/>
      <c r="O194" s="883"/>
      <c r="P194" s="883"/>
      <c r="Q194" s="883"/>
    </row>
    <row r="195" spans="1:17">
      <c r="A195" s="883"/>
      <c r="B195" s="1041" t="s">
        <v>597</v>
      </c>
      <c r="C195" s="1025" t="s">
        <v>63</v>
      </c>
      <c r="D195" s="1026"/>
      <c r="E195" s="1072"/>
      <c r="F195" s="883"/>
      <c r="G195" s="883"/>
      <c r="H195" s="883"/>
      <c r="I195" s="883"/>
      <c r="J195" s="883"/>
      <c r="K195" s="883"/>
      <c r="L195" s="883"/>
      <c r="M195" s="883"/>
      <c r="N195" s="883"/>
      <c r="O195" s="883"/>
      <c r="P195" s="883"/>
      <c r="Q195" s="883"/>
    </row>
    <row r="196" spans="1:17">
      <c r="A196" s="883"/>
      <c r="B196" s="1025" t="s">
        <v>359</v>
      </c>
      <c r="C196" s="1025"/>
      <c r="D196" s="1026"/>
      <c r="E196" s="1081"/>
      <c r="F196" s="883"/>
      <c r="G196" s="883"/>
      <c r="H196" s="883"/>
      <c r="I196" s="883"/>
      <c r="J196" s="883"/>
      <c r="K196" s="883"/>
      <c r="L196" s="883"/>
      <c r="M196" s="883"/>
      <c r="N196" s="883"/>
      <c r="O196" s="883"/>
      <c r="P196" s="883"/>
      <c r="Q196" s="883"/>
    </row>
    <row r="197" spans="1:17">
      <c r="A197" s="883"/>
      <c r="B197" s="1041" t="s">
        <v>592</v>
      </c>
      <c r="C197" s="1025" t="s">
        <v>63</v>
      </c>
      <c r="D197" s="1026"/>
      <c r="E197" s="1072"/>
      <c r="F197" s="883"/>
      <c r="G197" s="883"/>
      <c r="H197" s="883"/>
      <c r="I197" s="883"/>
      <c r="J197" s="883"/>
      <c r="K197" s="883"/>
      <c r="L197" s="883"/>
      <c r="M197" s="883"/>
      <c r="N197" s="883"/>
      <c r="O197" s="883"/>
      <c r="P197" s="883"/>
      <c r="Q197" s="883"/>
    </row>
    <row r="198" spans="1:17">
      <c r="A198" s="883"/>
      <c r="B198" s="1041" t="s">
        <v>593</v>
      </c>
      <c r="C198" s="1025" t="s">
        <v>63</v>
      </c>
      <c r="D198" s="1026"/>
      <c r="E198" s="1072"/>
      <c r="F198" s="883"/>
      <c r="G198" s="883"/>
      <c r="H198" s="883"/>
      <c r="I198" s="883"/>
      <c r="J198" s="883"/>
      <c r="K198" s="883"/>
      <c r="L198" s="883"/>
      <c r="M198" s="883"/>
      <c r="N198" s="883"/>
      <c r="O198" s="883"/>
      <c r="P198" s="883"/>
      <c r="Q198" s="883"/>
    </row>
    <row r="199" spans="1:17">
      <c r="A199" s="883"/>
      <c r="B199" s="1041" t="s">
        <v>594</v>
      </c>
      <c r="C199" s="1025" t="s">
        <v>63</v>
      </c>
      <c r="D199" s="1026"/>
      <c r="E199" s="1072"/>
      <c r="F199" s="883"/>
      <c r="G199" s="883"/>
      <c r="H199" s="883"/>
      <c r="I199" s="883"/>
      <c r="J199" s="883"/>
      <c r="K199" s="883"/>
      <c r="L199" s="883"/>
      <c r="M199" s="883"/>
      <c r="N199" s="883"/>
      <c r="O199" s="883"/>
      <c r="P199" s="883"/>
      <c r="Q199" s="883"/>
    </row>
    <row r="200" spans="1:17">
      <c r="A200" s="883"/>
      <c r="B200" s="1041" t="s">
        <v>595</v>
      </c>
      <c r="C200" s="1025" t="s">
        <v>63</v>
      </c>
      <c r="D200" s="1026"/>
      <c r="E200" s="1072"/>
      <c r="F200" s="883"/>
      <c r="G200" s="883"/>
      <c r="H200" s="883"/>
      <c r="I200" s="883"/>
      <c r="J200" s="883"/>
      <c r="K200" s="883"/>
      <c r="L200" s="883"/>
      <c r="M200" s="883"/>
      <c r="N200" s="883"/>
      <c r="O200" s="883"/>
      <c r="P200" s="883"/>
      <c r="Q200" s="883"/>
    </row>
    <row r="201" spans="1:17">
      <c r="A201" s="883"/>
      <c r="B201" s="1041" t="s">
        <v>596</v>
      </c>
      <c r="C201" s="1025" t="s">
        <v>63</v>
      </c>
      <c r="D201" s="1026"/>
      <c r="E201" s="1072"/>
      <c r="F201" s="883"/>
      <c r="G201" s="883"/>
      <c r="H201" s="883"/>
      <c r="I201" s="883"/>
      <c r="J201" s="883"/>
      <c r="K201" s="883"/>
      <c r="L201" s="883"/>
      <c r="M201" s="883"/>
      <c r="N201" s="883"/>
      <c r="O201" s="883"/>
      <c r="P201" s="883"/>
      <c r="Q201" s="883"/>
    </row>
    <row r="202" spans="1:17">
      <c r="A202" s="883"/>
      <c r="B202" s="1041" t="s">
        <v>597</v>
      </c>
      <c r="C202" s="1025" t="s">
        <v>63</v>
      </c>
      <c r="D202" s="1026"/>
      <c r="E202" s="1072"/>
      <c r="F202" s="883"/>
      <c r="G202" s="883"/>
      <c r="H202" s="883"/>
      <c r="I202" s="883"/>
      <c r="J202" s="883"/>
      <c r="K202" s="883"/>
      <c r="L202" s="883"/>
      <c r="M202" s="883"/>
      <c r="N202" s="883"/>
      <c r="O202" s="883"/>
      <c r="P202" s="883"/>
      <c r="Q202" s="883"/>
    </row>
    <row r="203" spans="1:17">
      <c r="A203" s="883"/>
      <c r="B203" s="883"/>
      <c r="C203" s="883"/>
      <c r="D203" s="883"/>
      <c r="E203" s="883"/>
      <c r="F203" s="883"/>
      <c r="G203" s="883"/>
      <c r="H203" s="883"/>
      <c r="I203" s="883"/>
      <c r="J203" s="883"/>
      <c r="K203" s="883"/>
      <c r="L203" s="883"/>
      <c r="M203" s="883"/>
      <c r="N203" s="883"/>
      <c r="O203" s="883"/>
      <c r="P203" s="883"/>
      <c r="Q203" s="883"/>
    </row>
    <row r="204" spans="1:17">
      <c r="A204" s="883"/>
      <c r="B204" s="890" t="s">
        <v>967</v>
      </c>
      <c r="C204" s="890" t="s">
        <v>167</v>
      </c>
      <c r="D204" s="890"/>
      <c r="E204" s="1082"/>
      <c r="F204" s="883"/>
      <c r="G204" s="883"/>
      <c r="H204" s="883"/>
      <c r="I204" s="883"/>
      <c r="J204" s="883"/>
      <c r="K204" s="883"/>
      <c r="L204" s="883"/>
      <c r="M204" s="883"/>
      <c r="N204" s="883"/>
      <c r="O204" s="883"/>
      <c r="P204" s="883"/>
      <c r="Q204" s="883"/>
    </row>
    <row r="205" spans="1:17" ht="30">
      <c r="A205" s="883"/>
      <c r="B205" s="1063" t="s">
        <v>747</v>
      </c>
      <c r="C205" s="1034" t="s">
        <v>85</v>
      </c>
      <c r="D205" s="1083"/>
      <c r="E205" s="1084">
        <f>D145</f>
        <v>0</v>
      </c>
      <c r="F205" s="883"/>
      <c r="G205" s="883"/>
      <c r="H205" s="883"/>
      <c r="I205" s="883"/>
      <c r="J205" s="883"/>
      <c r="K205" s="883"/>
      <c r="L205" s="883"/>
      <c r="M205" s="883"/>
      <c r="N205" s="883"/>
      <c r="O205" s="883"/>
      <c r="P205" s="883"/>
      <c r="Q205" s="883"/>
    </row>
    <row r="206" spans="1:17">
      <c r="A206" s="883"/>
      <c r="B206" s="1041" t="s">
        <v>711</v>
      </c>
      <c r="C206" s="1042" t="s">
        <v>160</v>
      </c>
      <c r="D206" s="1043"/>
      <c r="E206" s="1085">
        <f>J129</f>
        <v>45</v>
      </c>
      <c r="F206" s="883"/>
      <c r="G206" s="883"/>
      <c r="H206" s="883"/>
      <c r="I206" s="883"/>
      <c r="J206" s="883"/>
      <c r="K206" s="883"/>
      <c r="L206" s="883"/>
      <c r="M206" s="883"/>
      <c r="N206" s="883"/>
      <c r="O206" s="883"/>
      <c r="P206" s="883"/>
      <c r="Q206" s="883"/>
    </row>
    <row r="207" spans="1:17">
      <c r="A207" s="883"/>
      <c r="B207" s="883"/>
      <c r="C207" s="883"/>
      <c r="D207" s="883"/>
      <c r="E207" s="883"/>
      <c r="F207" s="883"/>
      <c r="G207" s="883"/>
      <c r="H207" s="883"/>
      <c r="I207" s="883"/>
      <c r="J207" s="883"/>
      <c r="K207" s="883"/>
      <c r="L207" s="883"/>
      <c r="M207" s="883"/>
      <c r="N207" s="883"/>
      <c r="O207" s="883"/>
      <c r="P207" s="883"/>
      <c r="Q207" s="883"/>
    </row>
    <row r="208" spans="1:17">
      <c r="A208" s="1156" t="s">
        <v>968</v>
      </c>
      <c r="B208" s="1156"/>
      <c r="C208" s="1156"/>
      <c r="D208" s="1156"/>
      <c r="E208" s="1156"/>
      <c r="F208" s="1156"/>
      <c r="G208" s="1156"/>
      <c r="H208" s="1156"/>
      <c r="I208" s="1156"/>
      <c r="J208" s="1156"/>
      <c r="K208" s="1156"/>
      <c r="L208" s="1156"/>
      <c r="M208" s="1156"/>
      <c r="N208" s="1156"/>
      <c r="O208" s="1156"/>
      <c r="P208" s="1156"/>
      <c r="Q208" s="1156"/>
    </row>
    <row r="209" spans="1:17">
      <c r="A209" s="1156"/>
      <c r="B209" s="1156"/>
      <c r="C209" s="1156"/>
      <c r="D209" s="1156"/>
      <c r="E209" s="1156"/>
      <c r="F209" s="1156"/>
      <c r="G209" s="1156"/>
      <c r="H209" s="1156"/>
      <c r="I209" s="1156"/>
      <c r="J209" s="1156"/>
      <c r="K209" s="1156"/>
      <c r="L209" s="1156"/>
      <c r="M209" s="1156"/>
      <c r="N209" s="1156"/>
      <c r="O209" s="1156"/>
      <c r="P209" s="1156"/>
      <c r="Q209" s="1156"/>
    </row>
    <row r="210" spans="1:17">
      <c r="A210" s="883"/>
      <c r="B210" s="883"/>
      <c r="C210" s="883"/>
      <c r="D210" s="883"/>
      <c r="E210" s="883"/>
      <c r="F210" s="883"/>
      <c r="G210" s="883"/>
      <c r="H210" s="883"/>
      <c r="I210" s="883"/>
      <c r="J210" s="883"/>
      <c r="K210" s="883"/>
      <c r="L210" s="883"/>
      <c r="M210" s="883"/>
      <c r="N210" s="883"/>
      <c r="O210" s="883"/>
      <c r="P210" s="883"/>
      <c r="Q210" s="883"/>
    </row>
    <row r="211" spans="1:17">
      <c r="A211" s="883"/>
      <c r="B211" s="883"/>
      <c r="C211" s="883"/>
      <c r="D211" s="883"/>
      <c r="E211" s="883"/>
      <c r="F211" s="883"/>
      <c r="G211" s="883"/>
      <c r="H211" s="883"/>
      <c r="I211" s="883"/>
      <c r="J211" s="883"/>
      <c r="K211" s="883"/>
      <c r="L211" s="883"/>
      <c r="M211" s="883"/>
      <c r="N211" s="883"/>
      <c r="O211" s="883"/>
      <c r="P211" s="883"/>
      <c r="Q211" s="883"/>
    </row>
    <row r="212" spans="1:17">
      <c r="A212" s="883"/>
      <c r="B212" s="890" t="s">
        <v>589</v>
      </c>
      <c r="C212" s="1019" t="s">
        <v>63</v>
      </c>
      <c r="D212" s="1086">
        <f>D169</f>
        <v>45.1</v>
      </c>
      <c r="E212" s="918" t="s">
        <v>942</v>
      </c>
      <c r="F212" s="883"/>
      <c r="G212" s="883"/>
      <c r="H212" s="883"/>
      <c r="I212" s="1149" t="s">
        <v>964</v>
      </c>
      <c r="J212" s="1149" t="s">
        <v>965</v>
      </c>
      <c r="K212" s="1149" t="s">
        <v>966</v>
      </c>
      <c r="L212" s="883"/>
      <c r="M212" s="883"/>
      <c r="N212" s="883"/>
      <c r="O212" s="883"/>
      <c r="P212" s="883"/>
      <c r="Q212" s="883"/>
    </row>
    <row r="213" spans="1:17">
      <c r="A213" s="883"/>
      <c r="B213" s="1066" t="s">
        <v>590</v>
      </c>
      <c r="C213" s="1067" t="s">
        <v>63</v>
      </c>
      <c r="D213" s="1087">
        <f>D170</f>
        <v>47.1</v>
      </c>
      <c r="E213" s="918" t="s">
        <v>942</v>
      </c>
      <c r="F213" s="883"/>
      <c r="G213" s="883"/>
      <c r="H213" s="883"/>
      <c r="I213" s="1150"/>
      <c r="J213" s="1150"/>
      <c r="K213" s="1150"/>
      <c r="L213" s="883"/>
      <c r="M213" s="883"/>
      <c r="N213" s="883"/>
      <c r="O213" s="883"/>
      <c r="P213" s="883"/>
      <c r="Q213" s="883"/>
    </row>
    <row r="214" spans="1:17">
      <c r="A214" s="883"/>
      <c r="B214" s="890"/>
      <c r="C214" s="1030" t="s">
        <v>360</v>
      </c>
      <c r="D214" s="890"/>
      <c r="E214" s="1030" t="s">
        <v>463</v>
      </c>
      <c r="F214" s="883"/>
      <c r="G214" s="49" t="s">
        <v>357</v>
      </c>
      <c r="H214" s="50">
        <v>180</v>
      </c>
      <c r="I214" s="1069">
        <v>80000</v>
      </c>
      <c r="J214" s="1069">
        <v>70000</v>
      </c>
      <c r="K214" s="1069">
        <v>8000</v>
      </c>
      <c r="L214" s="883"/>
      <c r="M214" s="883"/>
      <c r="N214" s="883"/>
      <c r="O214" s="883"/>
      <c r="P214" s="883"/>
      <c r="Q214" s="883"/>
    </row>
    <row r="215" spans="1:17">
      <c r="A215" s="883"/>
      <c r="B215" s="1070" t="s">
        <v>613</v>
      </c>
      <c r="C215" s="1019">
        <v>180</v>
      </c>
      <c r="D215" s="1071"/>
      <c r="E215" s="1088">
        <f t="shared" ref="E215:E221" si="5">E172</f>
        <v>0</v>
      </c>
      <c r="F215" s="883"/>
      <c r="G215" s="49" t="s">
        <v>357</v>
      </c>
      <c r="H215" s="50">
        <v>200</v>
      </c>
      <c r="I215" s="1069">
        <v>80000</v>
      </c>
      <c r="J215" s="1069">
        <v>70000</v>
      </c>
      <c r="K215" s="1069">
        <v>8000</v>
      </c>
      <c r="L215" s="883"/>
      <c r="M215" s="883"/>
      <c r="N215" s="883"/>
      <c r="O215" s="883"/>
      <c r="P215" s="883"/>
      <c r="Q215" s="883"/>
    </row>
    <row r="216" spans="1:17">
      <c r="A216" s="883"/>
      <c r="B216" s="1073" t="s">
        <v>606</v>
      </c>
      <c r="C216" s="1074">
        <v>200</v>
      </c>
      <c r="D216" s="1075"/>
      <c r="E216" s="1089">
        <f t="shared" si="5"/>
        <v>0</v>
      </c>
      <c r="F216" s="883"/>
      <c r="G216" s="49" t="s">
        <v>357</v>
      </c>
      <c r="H216" s="50">
        <v>220</v>
      </c>
      <c r="I216" s="1069">
        <v>80000</v>
      </c>
      <c r="J216" s="1069">
        <v>70000</v>
      </c>
      <c r="K216" s="1069">
        <v>8000</v>
      </c>
      <c r="L216" s="883"/>
      <c r="M216" s="883"/>
      <c r="N216" s="883"/>
      <c r="O216" s="883"/>
      <c r="P216" s="883"/>
      <c r="Q216" s="883"/>
    </row>
    <row r="217" spans="1:17">
      <c r="A217" s="883"/>
      <c r="B217" s="1073" t="s">
        <v>607</v>
      </c>
      <c r="C217" s="1074">
        <v>220</v>
      </c>
      <c r="D217" s="1075"/>
      <c r="E217" s="1089">
        <f t="shared" si="5"/>
        <v>0</v>
      </c>
      <c r="F217" s="883"/>
      <c r="G217" s="49" t="s">
        <v>357</v>
      </c>
      <c r="H217" s="50">
        <v>240</v>
      </c>
      <c r="I217" s="1069">
        <v>80000</v>
      </c>
      <c r="J217" s="1069">
        <v>70000</v>
      </c>
      <c r="K217" s="1069">
        <v>8000</v>
      </c>
      <c r="L217" s="883"/>
      <c r="M217" s="883"/>
      <c r="N217" s="883"/>
      <c r="O217" s="883"/>
      <c r="P217" s="883"/>
      <c r="Q217" s="883"/>
    </row>
    <row r="218" spans="1:17">
      <c r="A218" s="883"/>
      <c r="B218" s="1073" t="s">
        <v>608</v>
      </c>
      <c r="C218" s="1074">
        <v>240</v>
      </c>
      <c r="D218" s="1075"/>
      <c r="E218" s="1089">
        <f t="shared" si="5"/>
        <v>0</v>
      </c>
      <c r="F218" s="883"/>
      <c r="G218" s="49" t="s">
        <v>357</v>
      </c>
      <c r="H218" s="50">
        <v>260</v>
      </c>
      <c r="I218" s="1069">
        <v>80000</v>
      </c>
      <c r="J218" s="1069">
        <v>70000</v>
      </c>
      <c r="K218" s="1069">
        <v>8000</v>
      </c>
      <c r="L218" s="883"/>
      <c r="M218" s="883"/>
      <c r="N218" s="883"/>
      <c r="O218" s="883"/>
      <c r="P218" s="883"/>
      <c r="Q218" s="883"/>
    </row>
    <row r="219" spans="1:17">
      <c r="A219" s="883"/>
      <c r="B219" s="1073" t="s">
        <v>609</v>
      </c>
      <c r="C219" s="1074">
        <v>260</v>
      </c>
      <c r="D219" s="1075"/>
      <c r="E219" s="1089">
        <f t="shared" si="5"/>
        <v>0</v>
      </c>
      <c r="F219" s="883"/>
      <c r="G219" s="49" t="s">
        <v>357</v>
      </c>
      <c r="H219" s="50">
        <v>280</v>
      </c>
      <c r="I219" s="1069">
        <v>80000</v>
      </c>
      <c r="J219" s="1069">
        <v>70000</v>
      </c>
      <c r="K219" s="1069">
        <v>8000</v>
      </c>
      <c r="L219" s="883"/>
      <c r="M219" s="883"/>
      <c r="N219" s="883"/>
      <c r="O219" s="883"/>
      <c r="P219" s="883"/>
      <c r="Q219" s="883"/>
    </row>
    <row r="220" spans="1:17">
      <c r="A220" s="883"/>
      <c r="B220" s="1073" t="s">
        <v>610</v>
      </c>
      <c r="C220" s="1074">
        <v>280</v>
      </c>
      <c r="D220" s="1075"/>
      <c r="E220" s="1089">
        <f t="shared" si="5"/>
        <v>0</v>
      </c>
      <c r="F220" s="883"/>
      <c r="G220" s="49" t="s">
        <v>357</v>
      </c>
      <c r="H220" s="50">
        <v>300</v>
      </c>
      <c r="I220" s="1069">
        <v>80000</v>
      </c>
      <c r="J220" s="1069">
        <v>70000</v>
      </c>
      <c r="K220" s="1069">
        <v>8000</v>
      </c>
      <c r="L220" s="883"/>
      <c r="M220" s="883"/>
      <c r="N220" s="883"/>
      <c r="O220" s="883"/>
      <c r="P220" s="883"/>
      <c r="Q220" s="883"/>
    </row>
    <row r="221" spans="1:17">
      <c r="A221" s="883"/>
      <c r="B221" s="1073" t="s">
        <v>611</v>
      </c>
      <c r="C221" s="1074">
        <v>300</v>
      </c>
      <c r="D221" s="1075"/>
      <c r="E221" s="1089">
        <f t="shared" si="5"/>
        <v>0</v>
      </c>
      <c r="F221" s="883"/>
      <c r="G221" s="49" t="s">
        <v>357</v>
      </c>
      <c r="H221" s="50">
        <v>320</v>
      </c>
      <c r="I221" s="1069">
        <v>80000</v>
      </c>
      <c r="J221" s="1069">
        <v>70000</v>
      </c>
      <c r="K221" s="1069">
        <v>8000</v>
      </c>
      <c r="L221" s="883"/>
      <c r="M221" s="883"/>
      <c r="N221" s="883"/>
      <c r="O221" s="883"/>
      <c r="P221" s="883"/>
      <c r="Q221" s="883"/>
    </row>
    <row r="222" spans="1:17">
      <c r="A222" s="883"/>
      <c r="B222" s="1073" t="s">
        <v>969</v>
      </c>
      <c r="C222" s="1074">
        <v>320</v>
      </c>
      <c r="D222" s="1075"/>
      <c r="E222" s="1076"/>
      <c r="F222" s="883"/>
      <c r="G222" s="49" t="s">
        <v>357</v>
      </c>
      <c r="H222" s="50">
        <v>340</v>
      </c>
      <c r="I222" s="1069">
        <v>80000</v>
      </c>
      <c r="J222" s="1069">
        <v>70000</v>
      </c>
      <c r="K222" s="1069">
        <v>8000</v>
      </c>
      <c r="L222" s="883"/>
      <c r="M222" s="883"/>
      <c r="N222" s="883"/>
      <c r="O222" s="883"/>
      <c r="P222" s="883"/>
      <c r="Q222" s="883"/>
    </row>
    <row r="223" spans="1:17">
      <c r="A223" s="883"/>
      <c r="B223" s="1073" t="s">
        <v>970</v>
      </c>
      <c r="C223" s="1074">
        <v>340</v>
      </c>
      <c r="D223" s="1075"/>
      <c r="E223" s="1076"/>
      <c r="F223" s="883"/>
      <c r="G223" s="49" t="s">
        <v>357</v>
      </c>
      <c r="H223" s="50">
        <v>360</v>
      </c>
      <c r="I223" s="1069">
        <v>80000</v>
      </c>
      <c r="J223" s="1069">
        <v>70000</v>
      </c>
      <c r="K223" s="1069">
        <v>8000</v>
      </c>
      <c r="L223" s="883"/>
      <c r="M223" s="883"/>
      <c r="N223" s="883"/>
      <c r="O223" s="883"/>
      <c r="P223" s="883"/>
      <c r="Q223" s="883"/>
    </row>
    <row r="224" spans="1:17">
      <c r="A224" s="883"/>
      <c r="B224" s="1073" t="s">
        <v>971</v>
      </c>
      <c r="C224" s="1074">
        <v>360</v>
      </c>
      <c r="D224" s="1075"/>
      <c r="E224" s="1076"/>
      <c r="F224" s="883"/>
      <c r="G224" s="49" t="s">
        <v>357</v>
      </c>
      <c r="H224" s="50">
        <v>380</v>
      </c>
      <c r="I224" s="1069">
        <v>80000</v>
      </c>
      <c r="J224" s="1069">
        <v>70000</v>
      </c>
      <c r="K224" s="1069">
        <v>8000</v>
      </c>
      <c r="L224" s="883"/>
      <c r="M224" s="883"/>
      <c r="N224" s="883"/>
      <c r="O224" s="883"/>
      <c r="P224" s="883"/>
      <c r="Q224" s="883"/>
    </row>
    <row r="225" spans="1:17">
      <c r="A225" s="883"/>
      <c r="B225" s="1073" t="s">
        <v>972</v>
      </c>
      <c r="C225" s="1074">
        <v>380</v>
      </c>
      <c r="D225" s="1075"/>
      <c r="E225" s="1076"/>
      <c r="F225" s="883"/>
      <c r="G225" s="49" t="s">
        <v>357</v>
      </c>
      <c r="H225" s="50">
        <v>400</v>
      </c>
      <c r="I225" s="1069">
        <v>80000</v>
      </c>
      <c r="J225" s="1069">
        <v>70000</v>
      </c>
      <c r="K225" s="1069">
        <v>8000</v>
      </c>
      <c r="L225" s="883"/>
      <c r="M225" s="883"/>
      <c r="N225" s="883"/>
      <c r="O225" s="883"/>
      <c r="P225" s="883"/>
      <c r="Q225" s="883"/>
    </row>
    <row r="226" spans="1:17">
      <c r="A226" s="883"/>
      <c r="B226" s="1073" t="s">
        <v>973</v>
      </c>
      <c r="C226" s="1074">
        <v>400</v>
      </c>
      <c r="D226" s="1075"/>
      <c r="E226" s="1076"/>
      <c r="F226" s="883"/>
      <c r="L226" s="883"/>
      <c r="M226" s="883"/>
      <c r="N226" s="883"/>
      <c r="O226" s="883"/>
      <c r="P226" s="883"/>
      <c r="Q226" s="883"/>
    </row>
    <row r="227" spans="1:17">
      <c r="A227" s="883"/>
      <c r="B227" s="1073"/>
      <c r="C227" s="1074"/>
      <c r="D227" s="1075"/>
      <c r="E227" s="1076"/>
      <c r="F227" s="883"/>
      <c r="G227" s="49" t="s">
        <v>358</v>
      </c>
      <c r="H227" s="50">
        <v>200</v>
      </c>
      <c r="I227" s="1069">
        <v>150000</v>
      </c>
      <c r="J227" s="1069">
        <v>130000</v>
      </c>
      <c r="K227" s="1069">
        <v>23000</v>
      </c>
      <c r="L227" s="883"/>
      <c r="M227" s="883"/>
      <c r="N227" s="883"/>
      <c r="O227" s="883"/>
      <c r="P227" s="883"/>
      <c r="Q227" s="883"/>
    </row>
    <row r="228" spans="1:17">
      <c r="A228" s="883"/>
      <c r="B228" s="1073"/>
      <c r="C228" s="1074"/>
      <c r="D228" s="1075"/>
      <c r="E228" s="1076"/>
      <c r="F228" s="883"/>
      <c r="G228" s="49" t="s">
        <v>358</v>
      </c>
      <c r="H228" s="50">
        <v>220</v>
      </c>
      <c r="I228" s="1069">
        <v>150000</v>
      </c>
      <c r="J228" s="1069">
        <v>130000</v>
      </c>
      <c r="K228" s="1069">
        <v>23000</v>
      </c>
      <c r="L228" s="883"/>
      <c r="M228" s="883"/>
      <c r="N228" s="883"/>
      <c r="O228" s="883"/>
      <c r="P228" s="883"/>
      <c r="Q228" s="883"/>
    </row>
    <row r="229" spans="1:17">
      <c r="A229" s="883"/>
      <c r="B229" s="1078" t="s">
        <v>232</v>
      </c>
      <c r="C229" s="1078"/>
      <c r="D229" s="1080" t="s">
        <v>214</v>
      </c>
      <c r="E229" s="1080" t="s">
        <v>214</v>
      </c>
      <c r="F229" s="883"/>
      <c r="G229" s="49" t="s">
        <v>358</v>
      </c>
      <c r="H229" s="50">
        <v>240</v>
      </c>
      <c r="I229" s="1069">
        <v>150000</v>
      </c>
      <c r="J229" s="1069">
        <v>130000</v>
      </c>
      <c r="K229" s="1069">
        <v>23000</v>
      </c>
      <c r="L229" s="883"/>
      <c r="M229" s="883"/>
      <c r="N229" s="883"/>
      <c r="O229" s="883"/>
      <c r="P229" s="883"/>
      <c r="Q229" s="883"/>
    </row>
    <row r="230" spans="1:17">
      <c r="A230" s="883"/>
      <c r="B230" s="1090" t="s">
        <v>974</v>
      </c>
      <c r="C230" s="1078"/>
      <c r="D230" s="1091" t="s">
        <v>975</v>
      </c>
      <c r="E230" s="1091" t="s">
        <v>976</v>
      </c>
      <c r="F230" s="883"/>
      <c r="G230" s="49" t="s">
        <v>358</v>
      </c>
      <c r="H230" s="50">
        <v>260</v>
      </c>
      <c r="I230" s="1069">
        <v>150000</v>
      </c>
      <c r="J230" s="1069">
        <v>130000</v>
      </c>
      <c r="K230" s="1069">
        <v>23500</v>
      </c>
      <c r="L230" s="883"/>
      <c r="M230" s="883"/>
      <c r="N230" s="883"/>
      <c r="O230" s="883"/>
      <c r="P230" s="883"/>
      <c r="Q230" s="883"/>
    </row>
    <row r="231" spans="1:17">
      <c r="A231" s="883"/>
      <c r="B231" s="1018" t="s">
        <v>598</v>
      </c>
      <c r="C231" s="1025" t="s">
        <v>63</v>
      </c>
      <c r="D231" s="1092"/>
      <c r="E231" s="1072"/>
      <c r="F231" s="883"/>
      <c r="G231" s="49" t="s">
        <v>358</v>
      </c>
      <c r="H231" s="50">
        <v>280</v>
      </c>
      <c r="I231" s="1069">
        <v>150000</v>
      </c>
      <c r="J231" s="1069">
        <v>130000</v>
      </c>
      <c r="K231" s="1069">
        <v>23500</v>
      </c>
      <c r="L231" s="883"/>
      <c r="M231" s="883"/>
      <c r="N231" s="883"/>
      <c r="O231" s="883"/>
      <c r="P231" s="883"/>
      <c r="Q231" s="883"/>
    </row>
    <row r="232" spans="1:17">
      <c r="A232" s="883"/>
      <c r="B232" s="1018" t="s">
        <v>599</v>
      </c>
      <c r="C232" s="1025" t="s">
        <v>63</v>
      </c>
      <c r="D232" s="1092"/>
      <c r="E232" s="1072"/>
      <c r="F232" s="883"/>
      <c r="G232" s="49" t="s">
        <v>358</v>
      </c>
      <c r="H232" s="50">
        <v>300</v>
      </c>
      <c r="I232" s="1069">
        <v>150000</v>
      </c>
      <c r="J232" s="1069">
        <v>130000</v>
      </c>
      <c r="K232" s="1069">
        <v>24000</v>
      </c>
      <c r="L232" s="883"/>
      <c r="M232" s="883"/>
      <c r="N232" s="883"/>
      <c r="O232" s="883"/>
      <c r="P232" s="883"/>
      <c r="Q232" s="883"/>
    </row>
    <row r="233" spans="1:17">
      <c r="A233" s="883"/>
      <c r="B233" s="1018" t="s">
        <v>600</v>
      </c>
      <c r="C233" s="1025" t="s">
        <v>63</v>
      </c>
      <c r="D233" s="1092"/>
      <c r="E233" s="1072"/>
      <c r="F233" s="883"/>
      <c r="G233" s="49" t="s">
        <v>358</v>
      </c>
      <c r="H233" s="50">
        <v>320</v>
      </c>
      <c r="I233" s="1069">
        <v>150000</v>
      </c>
      <c r="J233" s="1069">
        <v>130000</v>
      </c>
      <c r="K233" s="1069">
        <v>24000</v>
      </c>
      <c r="L233" s="883"/>
      <c r="M233" s="883"/>
      <c r="N233" s="883"/>
      <c r="O233" s="883"/>
      <c r="P233" s="883"/>
      <c r="Q233" s="883"/>
    </row>
    <row r="234" spans="1:17">
      <c r="A234" s="883"/>
      <c r="B234" s="1018" t="s">
        <v>601</v>
      </c>
      <c r="C234" s="1025" t="s">
        <v>63</v>
      </c>
      <c r="D234" s="1092"/>
      <c r="E234" s="1072"/>
      <c r="F234" s="883"/>
      <c r="G234" s="49" t="s">
        <v>358</v>
      </c>
      <c r="H234" s="50">
        <v>340</v>
      </c>
      <c r="I234" s="1069">
        <v>150000</v>
      </c>
      <c r="J234" s="1069">
        <v>130000</v>
      </c>
      <c r="K234" s="1069">
        <v>24000</v>
      </c>
      <c r="L234" s="883"/>
      <c r="M234" s="883"/>
      <c r="N234" s="883"/>
      <c r="O234" s="883"/>
      <c r="P234" s="883"/>
      <c r="Q234" s="883"/>
    </row>
    <row r="235" spans="1:17">
      <c r="A235" s="883"/>
      <c r="B235" s="1018" t="s">
        <v>602</v>
      </c>
      <c r="C235" s="1025" t="s">
        <v>63</v>
      </c>
      <c r="D235" s="1092"/>
      <c r="E235" s="1072"/>
      <c r="F235" s="883"/>
      <c r="G235" s="49" t="s">
        <v>358</v>
      </c>
      <c r="H235" s="50">
        <v>360</v>
      </c>
      <c r="I235" s="1069">
        <v>150000</v>
      </c>
      <c r="J235" s="1069">
        <v>130000</v>
      </c>
      <c r="K235" s="1069">
        <v>24000</v>
      </c>
      <c r="L235" s="883"/>
      <c r="M235" s="883"/>
      <c r="N235" s="883"/>
      <c r="O235" s="883"/>
      <c r="P235" s="883"/>
      <c r="Q235" s="883"/>
    </row>
    <row r="236" spans="1:17">
      <c r="A236" s="883"/>
      <c r="B236" s="1018" t="s">
        <v>603</v>
      </c>
      <c r="C236" s="1025" t="s">
        <v>63</v>
      </c>
      <c r="D236" s="1092"/>
      <c r="E236" s="1072"/>
      <c r="F236" s="883"/>
      <c r="G236" s="49" t="s">
        <v>358</v>
      </c>
      <c r="H236" s="50">
        <v>380</v>
      </c>
      <c r="I236" s="1069">
        <v>150000</v>
      </c>
      <c r="J236" s="1069">
        <v>130000</v>
      </c>
      <c r="K236" s="1069">
        <v>24000</v>
      </c>
      <c r="L236" s="883"/>
      <c r="M236" s="883"/>
      <c r="N236" s="883"/>
      <c r="O236" s="883"/>
      <c r="P236" s="883"/>
      <c r="Q236" s="883"/>
    </row>
    <row r="237" spans="1:17">
      <c r="A237" s="883"/>
      <c r="B237" s="1018" t="s">
        <v>604</v>
      </c>
      <c r="C237" s="1025" t="s">
        <v>63</v>
      </c>
      <c r="D237" s="1092"/>
      <c r="E237" s="1072"/>
      <c r="F237" s="883"/>
      <c r="G237" s="49" t="s">
        <v>358</v>
      </c>
      <c r="H237" s="50">
        <v>400</v>
      </c>
      <c r="I237" s="1069">
        <v>150000</v>
      </c>
      <c r="J237" s="1069">
        <v>130000</v>
      </c>
      <c r="K237" s="1069">
        <v>24000</v>
      </c>
      <c r="L237" s="883"/>
      <c r="M237" s="883"/>
      <c r="N237" s="883"/>
      <c r="O237" s="883"/>
      <c r="P237" s="883"/>
      <c r="Q237" s="883"/>
    </row>
    <row r="238" spans="1:17">
      <c r="A238" s="883"/>
      <c r="B238" s="1018" t="s">
        <v>977</v>
      </c>
      <c r="C238" s="1025" t="s">
        <v>63</v>
      </c>
      <c r="D238" s="1092"/>
      <c r="E238" s="1072"/>
      <c r="F238" s="883"/>
      <c r="L238" s="883"/>
      <c r="M238" s="883"/>
      <c r="N238" s="883"/>
      <c r="O238" s="883"/>
      <c r="P238" s="883"/>
      <c r="Q238" s="883"/>
    </row>
    <row r="239" spans="1:17">
      <c r="A239" s="883"/>
      <c r="B239" s="1018" t="s">
        <v>978</v>
      </c>
      <c r="C239" s="1025" t="s">
        <v>63</v>
      </c>
      <c r="D239" s="1092"/>
      <c r="E239" s="1072"/>
      <c r="F239" s="883"/>
      <c r="G239" s="49" t="s">
        <v>359</v>
      </c>
      <c r="H239" s="50">
        <v>200</v>
      </c>
      <c r="I239" s="1069">
        <v>150000</v>
      </c>
      <c r="J239" s="1069">
        <v>130000</v>
      </c>
      <c r="K239" s="1069">
        <v>14000</v>
      </c>
      <c r="L239" s="883"/>
      <c r="M239" s="883"/>
      <c r="N239" s="883"/>
      <c r="O239" s="883"/>
      <c r="P239" s="883"/>
      <c r="Q239" s="883"/>
    </row>
    <row r="240" spans="1:17">
      <c r="A240" s="883"/>
      <c r="B240" s="1018" t="s">
        <v>979</v>
      </c>
      <c r="C240" s="1025" t="s">
        <v>63</v>
      </c>
      <c r="D240" s="1092"/>
      <c r="E240" s="1072"/>
      <c r="F240" s="883"/>
      <c r="G240" s="49" t="s">
        <v>359</v>
      </c>
      <c r="H240" s="50">
        <v>220</v>
      </c>
      <c r="I240" s="1069">
        <v>150000</v>
      </c>
      <c r="J240" s="1069">
        <v>130000</v>
      </c>
      <c r="K240" s="1069">
        <v>14000</v>
      </c>
      <c r="L240" s="883"/>
      <c r="M240" s="883"/>
      <c r="N240" s="883"/>
      <c r="O240" s="883"/>
      <c r="P240" s="883"/>
      <c r="Q240" s="883"/>
    </row>
    <row r="241" spans="1:17">
      <c r="A241" s="883"/>
      <c r="B241" s="1018" t="s">
        <v>980</v>
      </c>
      <c r="C241" s="1025" t="s">
        <v>63</v>
      </c>
      <c r="D241" s="1092"/>
      <c r="E241" s="1072"/>
      <c r="F241" s="883"/>
      <c r="G241" s="49" t="s">
        <v>359</v>
      </c>
      <c r="H241" s="50">
        <v>240</v>
      </c>
      <c r="I241" s="1069">
        <v>150000</v>
      </c>
      <c r="J241" s="1069">
        <v>130000</v>
      </c>
      <c r="K241" s="1069">
        <v>14000</v>
      </c>
      <c r="L241" s="883"/>
      <c r="M241" s="883"/>
      <c r="N241" s="883"/>
      <c r="O241" s="883"/>
      <c r="P241" s="883"/>
      <c r="Q241" s="883"/>
    </row>
    <row r="242" spans="1:17">
      <c r="A242" s="883"/>
      <c r="B242" s="1018" t="s">
        <v>981</v>
      </c>
      <c r="C242" s="1025" t="s">
        <v>63</v>
      </c>
      <c r="D242" s="1092"/>
      <c r="E242" s="1072"/>
      <c r="F242" s="883"/>
      <c r="G242" s="49" t="s">
        <v>359</v>
      </c>
      <c r="H242" s="50">
        <v>260</v>
      </c>
      <c r="I242" s="1069">
        <v>150000</v>
      </c>
      <c r="J242" s="1069">
        <v>130000</v>
      </c>
      <c r="K242" s="1069">
        <v>14000</v>
      </c>
      <c r="L242" s="883"/>
      <c r="M242" s="883"/>
      <c r="N242" s="883"/>
      <c r="O242" s="883"/>
      <c r="P242" s="883"/>
      <c r="Q242" s="883"/>
    </row>
    <row r="243" spans="1:17">
      <c r="A243" s="883"/>
      <c r="B243" s="883"/>
      <c r="C243" s="883"/>
      <c r="D243" s="1093"/>
      <c r="E243" s="883"/>
      <c r="F243" s="883"/>
      <c r="G243" s="49" t="s">
        <v>359</v>
      </c>
      <c r="H243" s="50">
        <v>280</v>
      </c>
      <c r="I243" s="1069">
        <v>150000</v>
      </c>
      <c r="J243" s="1069">
        <v>130000</v>
      </c>
      <c r="K243" s="1069">
        <v>14000</v>
      </c>
      <c r="L243" s="883"/>
      <c r="M243" s="883"/>
      <c r="N243" s="883"/>
      <c r="O243" s="883"/>
      <c r="P243" s="883"/>
      <c r="Q243" s="883"/>
    </row>
    <row r="244" spans="1:17">
      <c r="A244" s="883"/>
      <c r="B244" s="1029" t="s">
        <v>982</v>
      </c>
      <c r="C244" s="1025"/>
      <c r="D244" s="1094"/>
      <c r="E244" s="1081"/>
      <c r="F244" s="883"/>
      <c r="G244" s="49" t="s">
        <v>359</v>
      </c>
      <c r="H244" s="50">
        <v>300</v>
      </c>
      <c r="I244" s="1069">
        <v>150000</v>
      </c>
      <c r="J244" s="1069">
        <v>130000</v>
      </c>
      <c r="K244" s="1069">
        <v>14000</v>
      </c>
      <c r="L244" s="883"/>
      <c r="M244" s="883"/>
      <c r="N244" s="883"/>
      <c r="O244" s="883"/>
      <c r="P244" s="883"/>
      <c r="Q244" s="883"/>
    </row>
    <row r="245" spans="1:17">
      <c r="A245" s="883"/>
      <c r="B245" s="1041" t="s">
        <v>592</v>
      </c>
      <c r="C245" s="1025" t="s">
        <v>63</v>
      </c>
      <c r="D245" s="1092"/>
      <c r="E245" s="1072"/>
      <c r="F245" s="883"/>
      <c r="G245" s="49" t="s">
        <v>359</v>
      </c>
      <c r="H245" s="50">
        <v>320</v>
      </c>
      <c r="I245" s="1069">
        <v>150000</v>
      </c>
      <c r="J245" s="1069">
        <v>130000</v>
      </c>
      <c r="K245" s="1069">
        <v>14000</v>
      </c>
      <c r="L245" s="883"/>
      <c r="M245" s="883"/>
      <c r="N245" s="883"/>
      <c r="O245" s="883"/>
      <c r="P245" s="883"/>
      <c r="Q245" s="883"/>
    </row>
    <row r="246" spans="1:17">
      <c r="A246" s="883"/>
      <c r="B246" s="1041" t="s">
        <v>593</v>
      </c>
      <c r="C246" s="1025" t="s">
        <v>63</v>
      </c>
      <c r="D246" s="1092"/>
      <c r="E246" s="1072"/>
      <c r="F246" s="883"/>
      <c r="G246" s="49" t="s">
        <v>359</v>
      </c>
      <c r="H246" s="50">
        <v>340</v>
      </c>
      <c r="I246" s="1069">
        <v>150000</v>
      </c>
      <c r="J246" s="1069">
        <v>130000</v>
      </c>
      <c r="K246" s="1069">
        <v>14000</v>
      </c>
      <c r="L246" s="883"/>
      <c r="M246" s="883"/>
      <c r="N246" s="883"/>
      <c r="O246" s="883"/>
      <c r="P246" s="883"/>
      <c r="Q246" s="883"/>
    </row>
    <row r="247" spans="1:17">
      <c r="A247" s="883"/>
      <c r="B247" s="1041" t="s">
        <v>594</v>
      </c>
      <c r="C247" s="1025" t="s">
        <v>63</v>
      </c>
      <c r="D247" s="1092"/>
      <c r="E247" s="1072"/>
      <c r="F247" s="883"/>
      <c r="G247" s="49" t="s">
        <v>359</v>
      </c>
      <c r="H247" s="50">
        <v>360</v>
      </c>
      <c r="I247" s="1069">
        <v>150000</v>
      </c>
      <c r="J247" s="1069">
        <v>130000</v>
      </c>
      <c r="K247" s="1069">
        <v>14000</v>
      </c>
      <c r="L247" s="883"/>
      <c r="M247" s="883"/>
      <c r="N247" s="883"/>
      <c r="O247" s="883"/>
      <c r="P247" s="883"/>
      <c r="Q247" s="883"/>
    </row>
    <row r="248" spans="1:17">
      <c r="A248" s="883"/>
      <c r="B248" s="1041" t="s">
        <v>595</v>
      </c>
      <c r="C248" s="1025" t="s">
        <v>63</v>
      </c>
      <c r="D248" s="1092"/>
      <c r="E248" s="1072"/>
      <c r="F248" s="883"/>
      <c r="G248" s="49" t="s">
        <v>359</v>
      </c>
      <c r="H248" s="50">
        <v>380</v>
      </c>
      <c r="I248" s="1069">
        <v>150000</v>
      </c>
      <c r="J248" s="1069">
        <v>130000</v>
      </c>
      <c r="K248" s="1069">
        <v>14000</v>
      </c>
      <c r="L248" s="883"/>
      <c r="M248" s="883"/>
      <c r="N248" s="883"/>
      <c r="O248" s="883"/>
      <c r="P248" s="883"/>
      <c r="Q248" s="883"/>
    </row>
    <row r="249" spans="1:17">
      <c r="A249" s="883"/>
      <c r="B249" s="1041" t="s">
        <v>596</v>
      </c>
      <c r="C249" s="1025" t="s">
        <v>63</v>
      </c>
      <c r="D249" s="1092"/>
      <c r="E249" s="1072"/>
      <c r="F249" s="883"/>
      <c r="G249" s="49" t="s">
        <v>359</v>
      </c>
      <c r="H249" s="50">
        <v>400</v>
      </c>
      <c r="I249" s="1069">
        <v>150000</v>
      </c>
      <c r="J249" s="1069">
        <v>130000</v>
      </c>
      <c r="K249" s="1069">
        <v>14000</v>
      </c>
      <c r="L249" s="883"/>
      <c r="M249" s="883"/>
      <c r="N249" s="883"/>
      <c r="O249" s="883"/>
      <c r="P249" s="883"/>
      <c r="Q249" s="883"/>
    </row>
    <row r="250" spans="1:17">
      <c r="A250" s="883"/>
      <c r="B250" s="1041" t="s">
        <v>597</v>
      </c>
      <c r="C250" s="1025" t="s">
        <v>63</v>
      </c>
      <c r="D250" s="1092"/>
      <c r="E250" s="1072"/>
      <c r="F250" s="883"/>
      <c r="G250" s="883"/>
      <c r="H250" s="883"/>
      <c r="I250" s="883"/>
      <c r="J250" s="883"/>
      <c r="K250" s="883"/>
      <c r="L250" s="883"/>
      <c r="M250" s="883"/>
      <c r="N250" s="883"/>
      <c r="O250" s="883"/>
      <c r="P250" s="883"/>
      <c r="Q250" s="883"/>
    </row>
    <row r="251" spans="1:17">
      <c r="A251" s="883"/>
      <c r="B251" s="1041" t="s">
        <v>983</v>
      </c>
      <c r="C251" s="1025" t="s">
        <v>63</v>
      </c>
      <c r="D251" s="1092"/>
      <c r="E251" s="1072"/>
      <c r="F251" s="883"/>
      <c r="G251" s="883"/>
      <c r="H251" s="883"/>
      <c r="I251" s="883"/>
      <c r="J251" s="883"/>
      <c r="K251" s="883"/>
      <c r="L251" s="883"/>
      <c r="M251" s="883"/>
      <c r="N251" s="883"/>
      <c r="O251" s="883"/>
      <c r="P251" s="883"/>
      <c r="Q251" s="883"/>
    </row>
    <row r="252" spans="1:17">
      <c r="A252" s="883"/>
      <c r="B252" s="1041" t="s">
        <v>984</v>
      </c>
      <c r="C252" s="1025" t="s">
        <v>63</v>
      </c>
      <c r="D252" s="1092"/>
      <c r="E252" s="1072"/>
      <c r="F252" s="883"/>
      <c r="G252" s="883"/>
      <c r="H252" s="883"/>
      <c r="I252" s="883"/>
      <c r="J252" s="883"/>
      <c r="K252" s="883"/>
      <c r="L252" s="883"/>
      <c r="M252" s="883"/>
      <c r="N252" s="883"/>
      <c r="O252" s="883"/>
      <c r="P252" s="883"/>
      <c r="Q252" s="883"/>
    </row>
    <row r="253" spans="1:17">
      <c r="A253" s="883"/>
      <c r="B253" s="1041" t="s">
        <v>985</v>
      </c>
      <c r="C253" s="1025" t="s">
        <v>63</v>
      </c>
      <c r="D253" s="1092"/>
      <c r="E253" s="1072"/>
      <c r="F253" s="883"/>
      <c r="G253" s="883"/>
      <c r="H253" s="883"/>
      <c r="I253" s="883"/>
      <c r="J253" s="883"/>
      <c r="K253" s="883"/>
      <c r="L253" s="883"/>
      <c r="M253" s="883"/>
      <c r="N253" s="883"/>
      <c r="O253" s="883"/>
      <c r="P253" s="883"/>
      <c r="Q253" s="883"/>
    </row>
    <row r="254" spans="1:17">
      <c r="A254" s="883"/>
      <c r="B254" s="1041" t="s">
        <v>986</v>
      </c>
      <c r="C254" s="1025" t="s">
        <v>63</v>
      </c>
      <c r="D254" s="1092"/>
      <c r="E254" s="1072"/>
      <c r="F254" s="883"/>
      <c r="G254" s="883"/>
      <c r="H254" s="883"/>
      <c r="I254" s="883"/>
      <c r="J254" s="883"/>
      <c r="K254" s="883"/>
      <c r="L254" s="883"/>
      <c r="M254" s="883"/>
      <c r="N254" s="883"/>
      <c r="O254" s="883"/>
      <c r="P254" s="883"/>
      <c r="Q254" s="883"/>
    </row>
    <row r="255" spans="1:17">
      <c r="A255" s="883"/>
      <c r="B255" s="1041" t="s">
        <v>987</v>
      </c>
      <c r="C255" s="1025" t="s">
        <v>63</v>
      </c>
      <c r="D255" s="1092"/>
      <c r="E255" s="1072"/>
      <c r="F255" s="883"/>
      <c r="G255" s="883"/>
      <c r="H255" s="883"/>
      <c r="I255" s="883"/>
      <c r="J255" s="883"/>
      <c r="K255" s="883"/>
      <c r="L255" s="883"/>
      <c r="M255" s="883"/>
      <c r="N255" s="883"/>
      <c r="O255" s="883"/>
      <c r="P255" s="883"/>
      <c r="Q255" s="883"/>
    </row>
    <row r="256" spans="1:17">
      <c r="A256" s="883"/>
      <c r="B256" s="883"/>
      <c r="C256" s="883"/>
      <c r="D256" s="1093"/>
      <c r="E256" s="883"/>
      <c r="F256" s="883"/>
      <c r="G256" s="883"/>
      <c r="H256" s="883"/>
      <c r="I256" s="883"/>
      <c r="J256" s="883"/>
      <c r="K256" s="883"/>
      <c r="L256" s="883"/>
      <c r="M256" s="883"/>
      <c r="N256" s="883"/>
      <c r="O256" s="883"/>
      <c r="P256" s="883"/>
      <c r="Q256" s="883"/>
    </row>
    <row r="257" spans="1:17">
      <c r="A257" s="883"/>
      <c r="B257" s="1029" t="s">
        <v>988</v>
      </c>
      <c r="C257" s="1025"/>
      <c r="D257" s="1094"/>
      <c r="E257" s="1081"/>
      <c r="F257" s="883"/>
      <c r="G257" s="883"/>
      <c r="H257" s="883"/>
      <c r="I257" s="883"/>
      <c r="J257" s="883"/>
      <c r="K257" s="883"/>
      <c r="L257" s="883"/>
      <c r="M257" s="883"/>
      <c r="N257" s="883"/>
      <c r="O257" s="883"/>
      <c r="P257" s="883"/>
      <c r="Q257" s="883"/>
    </row>
    <row r="258" spans="1:17">
      <c r="A258" s="883"/>
      <c r="B258" s="1041" t="s">
        <v>592</v>
      </c>
      <c r="C258" s="1025" t="s">
        <v>63</v>
      </c>
      <c r="D258" s="1092"/>
      <c r="E258" s="1072"/>
      <c r="F258" s="883"/>
      <c r="G258" s="883"/>
      <c r="H258" s="883"/>
      <c r="I258" s="883"/>
      <c r="J258" s="883"/>
      <c r="K258" s="883"/>
      <c r="L258" s="883"/>
      <c r="M258" s="883"/>
      <c r="N258" s="883"/>
      <c r="O258" s="883"/>
      <c r="P258" s="883"/>
      <c r="Q258" s="883"/>
    </row>
    <row r="259" spans="1:17">
      <c r="A259" s="883"/>
      <c r="B259" s="1041" t="s">
        <v>593</v>
      </c>
      <c r="C259" s="1025" t="s">
        <v>63</v>
      </c>
      <c r="D259" s="1092"/>
      <c r="E259" s="1072"/>
      <c r="F259" s="883"/>
      <c r="G259" s="883"/>
      <c r="H259" s="883"/>
      <c r="I259" s="883"/>
      <c r="J259" s="883"/>
      <c r="K259" s="883"/>
      <c r="L259" s="883"/>
      <c r="M259" s="883"/>
      <c r="N259" s="883"/>
      <c r="O259" s="883"/>
      <c r="P259" s="883"/>
      <c r="Q259" s="883"/>
    </row>
    <row r="260" spans="1:17">
      <c r="A260" s="883"/>
      <c r="B260" s="1041" t="s">
        <v>594</v>
      </c>
      <c r="C260" s="1025" t="s">
        <v>63</v>
      </c>
      <c r="D260" s="1092"/>
      <c r="E260" s="1072"/>
      <c r="F260" s="883"/>
      <c r="G260" s="883"/>
      <c r="H260" s="883"/>
      <c r="I260" s="883"/>
      <c r="J260" s="883"/>
      <c r="K260" s="883"/>
      <c r="L260" s="883"/>
      <c r="M260" s="883"/>
      <c r="N260" s="883"/>
      <c r="O260" s="883"/>
      <c r="P260" s="883"/>
      <c r="Q260" s="883"/>
    </row>
    <row r="261" spans="1:17">
      <c r="A261" s="883"/>
      <c r="B261" s="1041" t="s">
        <v>595</v>
      </c>
      <c r="C261" s="1025" t="s">
        <v>63</v>
      </c>
      <c r="D261" s="1092"/>
      <c r="E261" s="1072"/>
      <c r="F261" s="883"/>
      <c r="G261" s="883"/>
      <c r="H261" s="883"/>
      <c r="I261" s="883"/>
      <c r="J261" s="883"/>
      <c r="K261" s="883"/>
      <c r="L261" s="883"/>
      <c r="M261" s="883"/>
      <c r="N261" s="883"/>
      <c r="O261" s="883"/>
      <c r="P261" s="883"/>
      <c r="Q261" s="883"/>
    </row>
    <row r="262" spans="1:17">
      <c r="A262" s="883"/>
      <c r="B262" s="1041" t="s">
        <v>596</v>
      </c>
      <c r="C262" s="1025" t="s">
        <v>63</v>
      </c>
      <c r="D262" s="1092"/>
      <c r="E262" s="1072"/>
      <c r="F262" s="883"/>
      <c r="G262" s="883"/>
      <c r="H262" s="883"/>
      <c r="I262" s="883"/>
      <c r="J262" s="883"/>
      <c r="K262" s="883"/>
      <c r="L262" s="883"/>
      <c r="M262" s="883"/>
      <c r="N262" s="883"/>
      <c r="O262" s="883"/>
      <c r="P262" s="883"/>
      <c r="Q262" s="883"/>
    </row>
    <row r="263" spans="1:17">
      <c r="A263" s="883"/>
      <c r="B263" s="1041" t="s">
        <v>597</v>
      </c>
      <c r="C263" s="1025" t="s">
        <v>63</v>
      </c>
      <c r="D263" s="1092"/>
      <c r="E263" s="1072"/>
      <c r="F263" s="883"/>
      <c r="G263" s="883"/>
      <c r="H263" s="883"/>
      <c r="I263" s="883"/>
      <c r="J263" s="883"/>
      <c r="K263" s="883"/>
      <c r="L263" s="883"/>
      <c r="M263" s="883"/>
      <c r="N263" s="883"/>
      <c r="O263" s="883"/>
      <c r="P263" s="883"/>
      <c r="Q263" s="883"/>
    </row>
    <row r="264" spans="1:17">
      <c r="A264" s="883"/>
      <c r="B264" s="1041" t="s">
        <v>983</v>
      </c>
      <c r="C264" s="1025" t="s">
        <v>63</v>
      </c>
      <c r="D264" s="1092"/>
      <c r="E264" s="1072"/>
      <c r="F264" s="883"/>
      <c r="G264" s="883"/>
      <c r="H264" s="883"/>
      <c r="I264" s="883"/>
      <c r="J264" s="883"/>
      <c r="K264" s="883"/>
      <c r="L264" s="883"/>
      <c r="M264" s="883"/>
      <c r="N264" s="883"/>
      <c r="O264" s="883"/>
      <c r="P264" s="883"/>
      <c r="Q264" s="883"/>
    </row>
    <row r="265" spans="1:17">
      <c r="A265" s="883"/>
      <c r="B265" s="1041" t="s">
        <v>984</v>
      </c>
      <c r="C265" s="1025" t="s">
        <v>63</v>
      </c>
      <c r="D265" s="1092"/>
      <c r="E265" s="1072"/>
      <c r="F265" s="883"/>
      <c r="G265" s="883"/>
      <c r="H265" s="883"/>
      <c r="I265" s="883"/>
      <c r="J265" s="883"/>
      <c r="K265" s="883"/>
      <c r="L265" s="883"/>
      <c r="M265" s="883"/>
      <c r="N265" s="883"/>
      <c r="O265" s="883"/>
      <c r="P265" s="883"/>
      <c r="Q265" s="883"/>
    </row>
    <row r="266" spans="1:17">
      <c r="A266" s="883"/>
      <c r="B266" s="1041" t="s">
        <v>985</v>
      </c>
      <c r="C266" s="1025" t="s">
        <v>63</v>
      </c>
      <c r="D266" s="1092"/>
      <c r="E266" s="1072"/>
      <c r="F266" s="883"/>
      <c r="G266" s="883"/>
      <c r="H266" s="883"/>
      <c r="I266" s="883"/>
      <c r="J266" s="883"/>
      <c r="K266" s="883"/>
      <c r="L266" s="883"/>
      <c r="M266" s="883"/>
      <c r="N266" s="883"/>
      <c r="O266" s="883"/>
      <c r="P266" s="883"/>
      <c r="Q266" s="883"/>
    </row>
    <row r="267" spans="1:17">
      <c r="A267" s="883"/>
      <c r="B267" s="1041" t="s">
        <v>986</v>
      </c>
      <c r="C267" s="1025" t="s">
        <v>63</v>
      </c>
      <c r="D267" s="1092"/>
      <c r="E267" s="1072"/>
      <c r="F267" s="883"/>
      <c r="G267" s="883"/>
      <c r="H267" s="883"/>
      <c r="I267" s="883"/>
      <c r="J267" s="883"/>
      <c r="K267" s="883"/>
      <c r="L267" s="883"/>
      <c r="M267" s="883"/>
      <c r="N267" s="883"/>
      <c r="O267" s="883"/>
      <c r="P267" s="883"/>
      <c r="Q267" s="883"/>
    </row>
    <row r="268" spans="1:17">
      <c r="A268" s="883"/>
      <c r="B268" s="1041" t="s">
        <v>987</v>
      </c>
      <c r="C268" s="1025" t="s">
        <v>63</v>
      </c>
      <c r="D268" s="1092"/>
      <c r="E268" s="1072"/>
      <c r="F268" s="883"/>
      <c r="G268" s="883"/>
      <c r="H268" s="883"/>
      <c r="I268" s="883"/>
      <c r="J268" s="883"/>
      <c r="K268" s="883"/>
      <c r="L268" s="883"/>
      <c r="M268" s="883"/>
      <c r="N268" s="883"/>
      <c r="O268" s="883"/>
      <c r="P268" s="883"/>
      <c r="Q268" s="883"/>
    </row>
    <row r="269" spans="1:17">
      <c r="A269" s="883"/>
      <c r="B269" s="1095"/>
      <c r="C269" s="1096"/>
      <c r="D269" s="1097"/>
      <c r="E269" s="1097"/>
      <c r="F269" s="883"/>
      <c r="G269" s="883"/>
      <c r="H269" s="883"/>
      <c r="I269" s="883"/>
      <c r="J269" s="883"/>
      <c r="K269" s="883"/>
      <c r="L269" s="883"/>
      <c r="M269" s="883"/>
      <c r="N269" s="883"/>
      <c r="O269" s="883"/>
      <c r="P269" s="883"/>
      <c r="Q269" s="883"/>
    </row>
    <row r="270" spans="1:17">
      <c r="A270" s="883"/>
      <c r="B270" s="890" t="s">
        <v>614</v>
      </c>
      <c r="C270" s="890" t="s">
        <v>167</v>
      </c>
      <c r="D270" s="890"/>
      <c r="E270" s="1098">
        <f>E204</f>
        <v>0</v>
      </c>
      <c r="F270" s="883"/>
      <c r="G270" s="883"/>
      <c r="H270" s="883"/>
      <c r="I270" s="883"/>
      <c r="J270" s="883"/>
      <c r="K270" s="883"/>
      <c r="L270" s="883"/>
      <c r="M270" s="883"/>
      <c r="N270" s="883"/>
      <c r="O270" s="883"/>
      <c r="P270" s="883"/>
      <c r="Q270" s="883"/>
    </row>
    <row r="271" spans="1:17" ht="30">
      <c r="A271" s="883"/>
      <c r="B271" s="1063" t="s">
        <v>747</v>
      </c>
      <c r="C271" s="1034" t="s">
        <v>85</v>
      </c>
      <c r="D271" s="1083"/>
      <c r="E271" s="1084">
        <f>D145</f>
        <v>0</v>
      </c>
      <c r="F271" s="883"/>
      <c r="G271" s="883"/>
      <c r="H271" s="883"/>
      <c r="I271" s="883"/>
      <c r="J271" s="883"/>
      <c r="K271" s="883"/>
      <c r="L271" s="883"/>
      <c r="M271" s="883"/>
      <c r="N271" s="883"/>
      <c r="O271" s="883"/>
      <c r="P271" s="883"/>
      <c r="Q271" s="883"/>
    </row>
    <row r="272" spans="1:17">
      <c r="A272" s="883"/>
      <c r="B272" s="1041" t="s">
        <v>711</v>
      </c>
      <c r="C272" s="1042" t="s">
        <v>160</v>
      </c>
      <c r="D272" s="1043"/>
      <c r="E272" s="1085">
        <f>E206</f>
        <v>45</v>
      </c>
      <c r="F272" s="883"/>
      <c r="G272" s="883"/>
      <c r="H272" s="883"/>
      <c r="I272" s="883"/>
      <c r="J272" s="883"/>
      <c r="K272" s="883"/>
      <c r="L272" s="883"/>
      <c r="M272" s="883"/>
      <c r="N272" s="883"/>
      <c r="O272" s="883"/>
      <c r="P272" s="883"/>
      <c r="Q272" s="883"/>
    </row>
    <row r="273" spans="1:17">
      <c r="A273" s="883"/>
      <c r="B273" s="883"/>
      <c r="C273" s="883"/>
      <c r="D273" s="883"/>
      <c r="E273" s="883"/>
      <c r="F273" s="883"/>
      <c r="G273" s="883"/>
      <c r="H273" s="883"/>
      <c r="I273" s="883"/>
      <c r="J273" s="883"/>
      <c r="K273" s="883"/>
      <c r="L273" s="883"/>
      <c r="M273" s="883"/>
      <c r="N273" s="883"/>
      <c r="O273" s="883"/>
      <c r="P273" s="883"/>
      <c r="Q273" s="883"/>
    </row>
    <row r="274" spans="1:17">
      <c r="A274" s="883"/>
      <c r="B274" s="883"/>
      <c r="C274" s="883"/>
      <c r="D274" s="883"/>
      <c r="E274" s="883"/>
      <c r="F274" s="883"/>
      <c r="G274" s="883"/>
      <c r="H274" s="883"/>
      <c r="I274" s="883"/>
      <c r="J274" s="883"/>
      <c r="K274" s="883"/>
      <c r="L274" s="883"/>
      <c r="M274" s="883"/>
      <c r="N274" s="883"/>
      <c r="O274" s="883"/>
      <c r="P274" s="883"/>
      <c r="Q274" s="883"/>
    </row>
    <row r="275" spans="1:17">
      <c r="A275" s="883"/>
      <c r="B275" s="1095"/>
      <c r="C275" s="1096"/>
      <c r="D275" s="1097"/>
      <c r="E275" s="1097"/>
      <c r="F275" s="883"/>
      <c r="G275" s="883"/>
      <c r="H275" s="883"/>
      <c r="I275" s="883"/>
      <c r="J275" s="883"/>
      <c r="K275" s="883"/>
      <c r="L275" s="883"/>
      <c r="M275" s="883"/>
      <c r="N275" s="883"/>
      <c r="O275" s="883"/>
      <c r="P275" s="883"/>
      <c r="Q275" s="883"/>
    </row>
    <row r="276" spans="1:17">
      <c r="A276" s="883"/>
      <c r="B276" s="1095"/>
      <c r="C276" s="1096"/>
      <c r="D276" s="1097"/>
      <c r="E276" s="1097"/>
      <c r="F276" s="883"/>
      <c r="G276" s="883"/>
      <c r="H276" s="883"/>
      <c r="I276" s="883"/>
      <c r="J276" s="883"/>
      <c r="K276" s="883"/>
      <c r="L276" s="883"/>
      <c r="M276" s="883"/>
      <c r="N276" s="883"/>
      <c r="O276" s="883"/>
      <c r="P276" s="883"/>
      <c r="Q276" s="883"/>
    </row>
    <row r="277" spans="1:17" ht="14.5" customHeight="1">
      <c r="A277" s="1151" t="s">
        <v>989</v>
      </c>
      <c r="B277" s="1151"/>
      <c r="C277" s="1151"/>
      <c r="D277" s="1151"/>
      <c r="E277" s="1151"/>
      <c r="F277" s="1151"/>
      <c r="G277" s="1151"/>
      <c r="H277" s="1151"/>
      <c r="I277" s="1151"/>
      <c r="J277" s="1151"/>
      <c r="K277" s="1151"/>
      <c r="L277" s="1151"/>
      <c r="M277" s="1151"/>
      <c r="N277" s="1151"/>
      <c r="O277" s="1151"/>
      <c r="P277" s="1151"/>
      <c r="Q277" s="1151"/>
    </row>
    <row r="278" spans="1:17" ht="14.5" customHeight="1">
      <c r="A278" s="1151"/>
      <c r="B278" s="1151"/>
      <c r="C278" s="1151"/>
      <c r="D278" s="1151"/>
      <c r="E278" s="1151"/>
      <c r="F278" s="1151"/>
      <c r="G278" s="1151"/>
      <c r="H278" s="1151"/>
      <c r="I278" s="1151"/>
      <c r="J278" s="1151"/>
      <c r="K278" s="1151"/>
      <c r="L278" s="1151"/>
      <c r="M278" s="1151"/>
      <c r="N278" s="1151"/>
      <c r="O278" s="1151"/>
      <c r="P278" s="1151"/>
      <c r="Q278" s="1151"/>
    </row>
    <row r="279" spans="1:17">
      <c r="A279" s="883"/>
      <c r="B279" s="883"/>
      <c r="C279" s="883"/>
      <c r="D279" s="883"/>
      <c r="E279" s="883"/>
      <c r="F279" s="883"/>
      <c r="G279" s="883"/>
      <c r="H279" s="883"/>
      <c r="I279" s="883"/>
      <c r="J279" s="883"/>
      <c r="K279" s="883"/>
      <c r="L279" s="883"/>
      <c r="M279" s="883"/>
      <c r="N279" s="883"/>
      <c r="O279" s="883"/>
      <c r="P279" s="883"/>
      <c r="Q279" s="883"/>
    </row>
    <row r="280" spans="1:17" ht="19">
      <c r="A280" s="883"/>
      <c r="B280" s="883"/>
      <c r="C280" s="883"/>
      <c r="D280" s="883"/>
      <c r="E280" s="883"/>
      <c r="F280" s="883"/>
      <c r="G280" s="883"/>
      <c r="H280" s="883"/>
      <c r="I280" s="883"/>
      <c r="J280" s="1099" t="s">
        <v>635</v>
      </c>
      <c r="K280" s="883"/>
      <c r="L280" s="883"/>
      <c r="M280" s="883"/>
      <c r="N280" s="883"/>
      <c r="O280" s="883"/>
      <c r="P280" s="883"/>
      <c r="Q280" s="883"/>
    </row>
    <row r="281" spans="1:17">
      <c r="A281" s="883"/>
      <c r="B281" s="883"/>
      <c r="C281" s="883"/>
      <c r="D281" s="883"/>
      <c r="E281" s="883"/>
      <c r="F281" s="883"/>
      <c r="G281" s="883"/>
      <c r="H281" s="883"/>
      <c r="I281" s="883"/>
      <c r="J281" s="951">
        <v>1</v>
      </c>
      <c r="K281" s="890" t="s">
        <v>636</v>
      </c>
      <c r="L281" t="s">
        <v>990</v>
      </c>
      <c r="M281" t="s">
        <v>991</v>
      </c>
      <c r="N281" s="935"/>
      <c r="O281" s="883"/>
      <c r="P281" s="883"/>
      <c r="Q281" s="883"/>
    </row>
    <row r="282" spans="1:17">
      <c r="A282" s="883"/>
      <c r="B282" s="1100" t="s">
        <v>638</v>
      </c>
      <c r="C282" s="1101"/>
      <c r="D282" s="1102"/>
      <c r="E282" s="1103"/>
      <c r="F282" s="1104" t="s">
        <v>214</v>
      </c>
      <c r="G282" s="883"/>
      <c r="H282" s="883"/>
      <c r="I282" s="883"/>
      <c r="J282" s="951">
        <v>2</v>
      </c>
      <c r="K282" s="890" t="s">
        <v>636</v>
      </c>
      <c r="L282" t="s">
        <v>992</v>
      </c>
      <c r="M282" t="s">
        <v>993</v>
      </c>
      <c r="N282" s="935"/>
      <c r="O282" s="883"/>
      <c r="P282" s="883"/>
      <c r="Q282" s="883"/>
    </row>
    <row r="283" spans="1:17">
      <c r="A283" s="883"/>
      <c r="B283" s="1105" t="s">
        <v>639</v>
      </c>
      <c r="C283" s="1101" t="s">
        <v>160</v>
      </c>
      <c r="D283" s="1106">
        <v>156.19999999999999</v>
      </c>
      <c r="E283" s="1107" t="s">
        <v>892</v>
      </c>
      <c r="F283" s="1108"/>
      <c r="G283" s="883"/>
      <c r="H283" s="883" t="s">
        <v>2942</v>
      </c>
      <c r="I283" s="883"/>
      <c r="J283" s="951">
        <v>3</v>
      </c>
      <c r="K283" s="890" t="s">
        <v>636</v>
      </c>
      <c r="L283" t="s">
        <v>994</v>
      </c>
      <c r="M283" t="s">
        <v>995</v>
      </c>
      <c r="N283" s="935"/>
      <c r="O283" s="883"/>
      <c r="P283" s="883"/>
      <c r="Q283" s="883"/>
    </row>
    <row r="284" spans="1:17" ht="30">
      <c r="A284" s="883">
        <f>284</f>
        <v>284</v>
      </c>
      <c r="B284" s="1109" t="s">
        <v>641</v>
      </c>
      <c r="C284" s="1101" t="s">
        <v>642</v>
      </c>
      <c r="D284" s="1110"/>
      <c r="E284" s="1103"/>
      <c r="F284" s="481"/>
      <c r="G284" s="883"/>
      <c r="H284" s="883" t="str">
        <f>_xlfn.CONCAT($H$283,A284)</f>
        <v>ff284</v>
      </c>
      <c r="I284" s="883"/>
      <c r="J284" s="951">
        <v>4</v>
      </c>
      <c r="K284" s="890" t="s">
        <v>636</v>
      </c>
      <c r="L284" t="s">
        <v>997</v>
      </c>
      <c r="M284" t="s">
        <v>998</v>
      </c>
      <c r="N284" s="935"/>
      <c r="O284" s="883"/>
      <c r="P284" s="883"/>
      <c r="Q284" s="883"/>
    </row>
    <row r="285" spans="1:17">
      <c r="A285" s="883">
        <f>A284+1</f>
        <v>285</v>
      </c>
      <c r="B285" s="1111" t="s">
        <v>644</v>
      </c>
      <c r="C285" s="1112" t="s">
        <v>184</v>
      </c>
      <c r="D285" s="1113"/>
      <c r="E285" s="1112"/>
      <c r="F285" s="481"/>
      <c r="G285" s="883"/>
      <c r="H285" s="883" t="str">
        <f t="shared" ref="H285:H328" si="6">_xlfn.CONCAT($H$283,A285)</f>
        <v>ff285</v>
      </c>
      <c r="I285" s="883"/>
      <c r="J285" s="951">
        <v>5</v>
      </c>
      <c r="K285" s="890" t="s">
        <v>636</v>
      </c>
      <c r="L285" t="s">
        <v>1000</v>
      </c>
      <c r="M285" t="s">
        <v>1001</v>
      </c>
      <c r="N285" s="935"/>
      <c r="O285" s="883"/>
      <c r="P285" s="883"/>
      <c r="Q285" s="883"/>
    </row>
    <row r="286" spans="1:17">
      <c r="A286" s="883">
        <f t="shared" ref="A286:A349" si="7">A285+1</f>
        <v>286</v>
      </c>
      <c r="B286" s="1111" t="s">
        <v>646</v>
      </c>
      <c r="C286" s="1112" t="s">
        <v>182</v>
      </c>
      <c r="D286" s="1113"/>
      <c r="E286" s="1112"/>
      <c r="F286" s="481"/>
      <c r="G286" s="883"/>
      <c r="H286" s="883" t="str">
        <f t="shared" si="6"/>
        <v>ff286</v>
      </c>
      <c r="I286" s="883"/>
      <c r="J286" s="951">
        <v>6</v>
      </c>
      <c r="K286" s="890" t="s">
        <v>636</v>
      </c>
      <c r="L286" t="s">
        <v>1003</v>
      </c>
      <c r="M286" t="s">
        <v>1004</v>
      </c>
      <c r="N286" s="935"/>
      <c r="O286" s="883"/>
      <c r="P286" s="883"/>
      <c r="Q286" s="883"/>
    </row>
    <row r="287" spans="1:17">
      <c r="A287" s="883">
        <f t="shared" si="7"/>
        <v>287</v>
      </c>
      <c r="B287" s="1111" t="s">
        <v>648</v>
      </c>
      <c r="C287" s="1112" t="s">
        <v>649</v>
      </c>
      <c r="D287" s="1113"/>
      <c r="E287" s="1113"/>
      <c r="F287" s="481"/>
      <c r="G287" s="883"/>
      <c r="H287" s="883" t="str">
        <f t="shared" si="6"/>
        <v>ff287</v>
      </c>
      <c r="I287" s="883"/>
      <c r="J287" s="951">
        <v>7</v>
      </c>
      <c r="K287" s="890" t="s">
        <v>636</v>
      </c>
      <c r="L287" t="s">
        <v>1006</v>
      </c>
      <c r="M287" t="s">
        <v>1007</v>
      </c>
      <c r="N287" s="935"/>
      <c r="O287" s="883"/>
      <c r="P287" s="883"/>
      <c r="Q287" s="883"/>
    </row>
    <row r="288" spans="1:17">
      <c r="A288" s="883">
        <f t="shared" si="7"/>
        <v>288</v>
      </c>
      <c r="B288" s="1111" t="s">
        <v>651</v>
      </c>
      <c r="C288" s="1112" t="s">
        <v>649</v>
      </c>
      <c r="D288" s="1113"/>
      <c r="E288" s="1113"/>
      <c r="F288" s="481"/>
      <c r="G288" s="883"/>
      <c r="H288" s="883" t="str">
        <f t="shared" si="6"/>
        <v>ff288</v>
      </c>
      <c r="I288" s="883"/>
      <c r="J288" s="951">
        <v>8</v>
      </c>
      <c r="K288" s="890" t="s">
        <v>636</v>
      </c>
      <c r="L288" t="s">
        <v>1009</v>
      </c>
      <c r="M288" t="s">
        <v>1010</v>
      </c>
      <c r="N288" s="935"/>
      <c r="O288" s="883"/>
      <c r="P288" s="883"/>
      <c r="Q288" s="883"/>
    </row>
    <row r="289" spans="1:17">
      <c r="A289" s="883">
        <f t="shared" si="7"/>
        <v>289</v>
      </c>
      <c r="B289" s="1111" t="s">
        <v>652</v>
      </c>
      <c r="C289" s="1112" t="s">
        <v>85</v>
      </c>
      <c r="D289" s="1113"/>
      <c r="E289" s="1113"/>
      <c r="F289" s="481"/>
      <c r="G289" s="883"/>
      <c r="H289" s="883" t="str">
        <f t="shared" si="6"/>
        <v>ff289</v>
      </c>
      <c r="I289" s="883"/>
      <c r="J289" s="951">
        <v>9</v>
      </c>
      <c r="K289" s="890" t="s">
        <v>636</v>
      </c>
      <c r="L289" t="s">
        <v>1012</v>
      </c>
      <c r="M289" t="s">
        <v>1013</v>
      </c>
      <c r="N289" s="935"/>
      <c r="O289" s="883"/>
      <c r="P289" s="883"/>
      <c r="Q289" s="883"/>
    </row>
    <row r="290" spans="1:17">
      <c r="A290" s="883">
        <f t="shared" si="7"/>
        <v>290</v>
      </c>
      <c r="B290" s="1111" t="s">
        <v>655</v>
      </c>
      <c r="C290" s="1112" t="s">
        <v>85</v>
      </c>
      <c r="D290" s="1113"/>
      <c r="E290" s="1113"/>
      <c r="F290" s="481"/>
      <c r="G290" s="883"/>
      <c r="H290" s="883" t="str">
        <f t="shared" si="6"/>
        <v>ff290</v>
      </c>
      <c r="I290" s="883"/>
      <c r="J290" s="951">
        <v>10</v>
      </c>
      <c r="K290" s="890" t="s">
        <v>636</v>
      </c>
      <c r="L290" t="s">
        <v>1015</v>
      </c>
      <c r="M290" t="s">
        <v>1016</v>
      </c>
      <c r="N290" s="935"/>
      <c r="O290" s="883"/>
      <c r="P290" s="883"/>
      <c r="Q290" s="883"/>
    </row>
    <row r="291" spans="1:17">
      <c r="A291" s="883">
        <f t="shared" si="7"/>
        <v>291</v>
      </c>
      <c r="B291" s="1111" t="s">
        <v>657</v>
      </c>
      <c r="C291" s="1112" t="s">
        <v>85</v>
      </c>
      <c r="D291" s="1113"/>
      <c r="E291" s="1113"/>
      <c r="F291" s="481"/>
      <c r="G291" s="883"/>
      <c r="H291" s="883" t="str">
        <f t="shared" si="6"/>
        <v>ff291</v>
      </c>
      <c r="I291" s="883"/>
      <c r="J291" s="951">
        <v>11</v>
      </c>
      <c r="K291" s="890" t="s">
        <v>636</v>
      </c>
      <c r="L291" t="s">
        <v>1018</v>
      </c>
      <c r="M291" t="s">
        <v>1019</v>
      </c>
      <c r="N291" s="935"/>
      <c r="O291" s="883"/>
      <c r="P291" s="883"/>
      <c r="Q291" s="883"/>
    </row>
    <row r="292" spans="1:17">
      <c r="A292" s="883">
        <f t="shared" si="7"/>
        <v>292</v>
      </c>
      <c r="B292" s="1111" t="s">
        <v>658</v>
      </c>
      <c r="C292" s="1112" t="s">
        <v>85</v>
      </c>
      <c r="D292" s="1113"/>
      <c r="E292" s="1113"/>
      <c r="F292" s="481"/>
      <c r="G292" s="883"/>
      <c r="H292" s="883" t="str">
        <f t="shared" si="6"/>
        <v>ff292</v>
      </c>
      <c r="I292" s="883"/>
      <c r="J292" s="951">
        <v>12</v>
      </c>
      <c r="K292" s="890" t="s">
        <v>636</v>
      </c>
      <c r="L292" t="s">
        <v>1021</v>
      </c>
      <c r="M292" t="s">
        <v>1022</v>
      </c>
      <c r="N292" s="935"/>
      <c r="O292" s="883"/>
      <c r="P292" s="883"/>
      <c r="Q292" s="883"/>
    </row>
    <row r="293" spans="1:17">
      <c r="A293" s="883">
        <f t="shared" si="7"/>
        <v>293</v>
      </c>
      <c r="B293" s="1111" t="s">
        <v>659</v>
      </c>
      <c r="C293" s="1112" t="s">
        <v>85</v>
      </c>
      <c r="D293" s="1113"/>
      <c r="E293" s="1113"/>
      <c r="F293" s="481"/>
      <c r="G293" s="883"/>
      <c r="H293" s="883" t="str">
        <f t="shared" si="6"/>
        <v>ff293</v>
      </c>
      <c r="I293" s="883"/>
      <c r="J293" s="951">
        <v>13</v>
      </c>
      <c r="K293" s="890" t="s">
        <v>636</v>
      </c>
      <c r="L293" t="s">
        <v>1024</v>
      </c>
      <c r="M293" t="s">
        <v>1025</v>
      </c>
      <c r="N293" s="935"/>
      <c r="O293" s="883"/>
      <c r="P293" s="883"/>
      <c r="Q293" s="883"/>
    </row>
    <row r="294" spans="1:17">
      <c r="A294" s="883">
        <f t="shared" si="7"/>
        <v>294</v>
      </c>
      <c r="B294" s="1111" t="s">
        <v>660</v>
      </c>
      <c r="C294" s="1112" t="s">
        <v>85</v>
      </c>
      <c r="D294" s="1113"/>
      <c r="E294" s="1113"/>
      <c r="F294" s="481"/>
      <c r="G294" s="883"/>
      <c r="H294" s="883" t="str">
        <f t="shared" si="6"/>
        <v>ff294</v>
      </c>
      <c r="I294" s="883"/>
      <c r="J294" s="951">
        <v>14</v>
      </c>
      <c r="K294" s="890" t="s">
        <v>636</v>
      </c>
      <c r="L294" t="s">
        <v>1027</v>
      </c>
      <c r="M294" t="s">
        <v>1028</v>
      </c>
      <c r="N294" s="935"/>
      <c r="O294" s="883"/>
      <c r="P294" s="883"/>
      <c r="Q294" s="883"/>
    </row>
    <row r="295" spans="1:17">
      <c r="A295" s="883">
        <f t="shared" si="7"/>
        <v>295</v>
      </c>
      <c r="B295" s="1111" t="s">
        <v>661</v>
      </c>
      <c r="C295" s="1112" t="s">
        <v>182</v>
      </c>
      <c r="D295" s="1113"/>
      <c r="E295" s="1113"/>
      <c r="F295" s="481"/>
      <c r="G295" s="883"/>
      <c r="H295" s="883" t="str">
        <f t="shared" si="6"/>
        <v>ff295</v>
      </c>
      <c r="I295" s="883"/>
      <c r="J295" s="951">
        <v>15</v>
      </c>
      <c r="K295" s="890" t="s">
        <v>636</v>
      </c>
      <c r="L295" t="s">
        <v>1030</v>
      </c>
      <c r="M295" t="s">
        <v>1031</v>
      </c>
      <c r="N295" s="935"/>
      <c r="O295" s="883"/>
      <c r="P295" s="883"/>
      <c r="Q295" s="883"/>
    </row>
    <row r="296" spans="1:17">
      <c r="A296" s="883">
        <f t="shared" si="7"/>
        <v>296</v>
      </c>
      <c r="B296" s="1111" t="s">
        <v>662</v>
      </c>
      <c r="C296" s="1112" t="s">
        <v>182</v>
      </c>
      <c r="D296" s="1113"/>
      <c r="E296" s="1113"/>
      <c r="F296" s="481"/>
      <c r="G296" s="883"/>
      <c r="H296" s="883" t="str">
        <f t="shared" si="6"/>
        <v>ff296</v>
      </c>
      <c r="I296" s="883"/>
      <c r="J296" s="951">
        <v>16</v>
      </c>
      <c r="K296" s="890" t="s">
        <v>636</v>
      </c>
      <c r="L296" t="s">
        <v>1033</v>
      </c>
      <c r="M296" t="s">
        <v>1034</v>
      </c>
      <c r="N296" s="935"/>
      <c r="O296" s="883"/>
      <c r="P296" s="883"/>
      <c r="Q296" s="883"/>
    </row>
    <row r="297" spans="1:17">
      <c r="A297" s="883">
        <f t="shared" si="7"/>
        <v>297</v>
      </c>
      <c r="B297" s="1111" t="s">
        <v>663</v>
      </c>
      <c r="C297" s="1112" t="s">
        <v>85</v>
      </c>
      <c r="D297" s="1113"/>
      <c r="E297" s="1113"/>
      <c r="F297" s="481"/>
      <c r="G297" s="883"/>
      <c r="H297" s="883" t="str">
        <f t="shared" si="6"/>
        <v>ff297</v>
      </c>
      <c r="I297" s="883"/>
      <c r="J297" s="951">
        <v>17</v>
      </c>
      <c r="K297" s="890" t="s">
        <v>636</v>
      </c>
      <c r="L297" t="s">
        <v>1036</v>
      </c>
      <c r="M297" t="s">
        <v>1037</v>
      </c>
      <c r="N297" s="935"/>
      <c r="O297" s="883"/>
      <c r="P297" s="883"/>
      <c r="Q297" s="883"/>
    </row>
    <row r="298" spans="1:17">
      <c r="A298" s="883">
        <f t="shared" si="7"/>
        <v>298</v>
      </c>
      <c r="B298" s="1111" t="s">
        <v>664</v>
      </c>
      <c r="C298" s="1112" t="s">
        <v>85</v>
      </c>
      <c r="D298" s="1113"/>
      <c r="E298" s="1113"/>
      <c r="F298" s="481"/>
      <c r="G298" s="883"/>
      <c r="H298" s="883" t="str">
        <f t="shared" si="6"/>
        <v>ff298</v>
      </c>
      <c r="I298" s="883"/>
      <c r="J298" s="951">
        <v>18</v>
      </c>
      <c r="K298" s="890" t="s">
        <v>636</v>
      </c>
      <c r="L298" t="s">
        <v>1039</v>
      </c>
      <c r="M298" t="s">
        <v>1040</v>
      </c>
      <c r="N298" s="935"/>
      <c r="O298" s="883"/>
      <c r="P298" s="883"/>
      <c r="Q298" s="883"/>
    </row>
    <row r="299" spans="1:17">
      <c r="A299" s="883">
        <f t="shared" si="7"/>
        <v>299</v>
      </c>
      <c r="B299" s="1111" t="s">
        <v>665</v>
      </c>
      <c r="C299" s="1112" t="s">
        <v>85</v>
      </c>
      <c r="D299" s="1113"/>
      <c r="E299" s="1113"/>
      <c r="F299" s="481"/>
      <c r="G299" s="883"/>
      <c r="H299" s="883" t="str">
        <f t="shared" si="6"/>
        <v>ff299</v>
      </c>
      <c r="I299" s="883"/>
      <c r="J299" s="951">
        <v>19</v>
      </c>
      <c r="K299" s="890" t="s">
        <v>636</v>
      </c>
      <c r="L299" t="s">
        <v>1042</v>
      </c>
      <c r="M299" t="s">
        <v>1043</v>
      </c>
      <c r="N299" s="935"/>
      <c r="O299" s="883"/>
      <c r="P299" s="883"/>
      <c r="Q299" s="883"/>
    </row>
    <row r="300" spans="1:17">
      <c r="A300" s="883">
        <f t="shared" si="7"/>
        <v>300</v>
      </c>
      <c r="B300" s="1111" t="s">
        <v>666</v>
      </c>
      <c r="C300" s="1112" t="s">
        <v>85</v>
      </c>
      <c r="D300" s="1113"/>
      <c r="E300" s="1113"/>
      <c r="F300" s="481"/>
      <c r="G300" s="883"/>
      <c r="H300" s="883" t="str">
        <f t="shared" si="6"/>
        <v>ff300</v>
      </c>
      <c r="I300" s="883"/>
      <c r="J300" s="951">
        <v>20</v>
      </c>
      <c r="K300" s="890" t="s">
        <v>636</v>
      </c>
      <c r="L300" t="s">
        <v>1045</v>
      </c>
      <c r="M300" t="s">
        <v>1046</v>
      </c>
      <c r="N300" s="935"/>
      <c r="O300" s="883"/>
      <c r="P300" s="883"/>
      <c r="Q300" s="883"/>
    </row>
    <row r="301" spans="1:17">
      <c r="A301" s="883">
        <f t="shared" si="7"/>
        <v>301</v>
      </c>
      <c r="B301" s="1111" t="s">
        <v>667</v>
      </c>
      <c r="C301" s="1112" t="s">
        <v>642</v>
      </c>
      <c r="D301" s="1113"/>
      <c r="E301" s="1113"/>
      <c r="F301" s="481"/>
      <c r="G301" s="883"/>
      <c r="H301" s="883" t="str">
        <f t="shared" si="6"/>
        <v>ff301</v>
      </c>
      <c r="I301" s="883"/>
      <c r="J301" s="951">
        <v>21</v>
      </c>
      <c r="K301" s="890" t="s">
        <v>636</v>
      </c>
      <c r="L301" s="1113">
        <v>0</v>
      </c>
      <c r="M301" s="1113">
        <v>0</v>
      </c>
      <c r="N301" s="935"/>
      <c r="O301" s="883"/>
      <c r="P301" s="883"/>
      <c r="Q301" s="883"/>
    </row>
    <row r="302" spans="1:17">
      <c r="A302" s="883">
        <f t="shared" si="7"/>
        <v>302</v>
      </c>
      <c r="B302" s="1111" t="s">
        <v>668</v>
      </c>
      <c r="C302" s="1112" t="s">
        <v>85</v>
      </c>
      <c r="D302" s="1113"/>
      <c r="E302" s="1113"/>
      <c r="F302" s="481"/>
      <c r="G302" s="883"/>
      <c r="H302" s="883" t="str">
        <f t="shared" si="6"/>
        <v>ff302</v>
      </c>
      <c r="I302" s="883"/>
      <c r="J302" s="951">
        <v>22</v>
      </c>
      <c r="K302" s="890" t="s">
        <v>636</v>
      </c>
      <c r="L302" s="1113">
        <v>0</v>
      </c>
      <c r="M302" s="1113">
        <v>0</v>
      </c>
      <c r="N302" s="935"/>
      <c r="O302" s="883"/>
      <c r="P302" s="883"/>
      <c r="Q302" s="883"/>
    </row>
    <row r="303" spans="1:17">
      <c r="A303" s="883">
        <f t="shared" si="7"/>
        <v>303</v>
      </c>
      <c r="B303" s="1111" t="s">
        <v>669</v>
      </c>
      <c r="C303" s="1112" t="s">
        <v>85</v>
      </c>
      <c r="D303" s="1113"/>
      <c r="E303" s="1113"/>
      <c r="F303" s="481"/>
      <c r="G303" s="883"/>
      <c r="H303" s="883" t="str">
        <f t="shared" si="6"/>
        <v>ff303</v>
      </c>
      <c r="I303" s="883"/>
      <c r="J303" s="1114" t="s">
        <v>670</v>
      </c>
      <c r="K303" s="1115"/>
      <c r="L303" s="1102"/>
      <c r="M303" s="1103"/>
      <c r="N303" s="1104" t="s">
        <v>214</v>
      </c>
      <c r="O303" s="883"/>
      <c r="P303" s="883"/>
      <c r="Q303" s="883"/>
    </row>
    <row r="304" spans="1:17">
      <c r="A304" s="883">
        <f t="shared" si="7"/>
        <v>304</v>
      </c>
      <c r="B304" s="1111" t="s">
        <v>671</v>
      </c>
      <c r="C304" s="1112" t="s">
        <v>85</v>
      </c>
      <c r="D304" s="1113"/>
      <c r="E304" s="1113"/>
      <c r="F304" s="481"/>
      <c r="G304" s="883"/>
      <c r="H304" s="883" t="str">
        <f t="shared" si="6"/>
        <v>ff304</v>
      </c>
      <c r="I304" s="883"/>
      <c r="J304" s="1105" t="s">
        <v>639</v>
      </c>
      <c r="K304" s="1101" t="s">
        <v>160</v>
      </c>
      <c r="L304" s="1116">
        <f>D283</f>
        <v>156.19999999999999</v>
      </c>
      <c r="M304" s="1117" t="s">
        <v>942</v>
      </c>
      <c r="N304" s="1108"/>
      <c r="O304" s="883"/>
      <c r="P304" s="883"/>
      <c r="Q304" s="883"/>
    </row>
    <row r="305" spans="1:17">
      <c r="A305" s="883">
        <f t="shared" si="7"/>
        <v>305</v>
      </c>
      <c r="B305" s="1111" t="s">
        <v>672</v>
      </c>
      <c r="C305" s="1112" t="s">
        <v>85</v>
      </c>
      <c r="D305" s="1113"/>
      <c r="E305" s="1113"/>
      <c r="F305" s="481"/>
      <c r="G305" s="883"/>
      <c r="H305" s="883" t="str">
        <f t="shared" si="6"/>
        <v>ff305</v>
      </c>
      <c r="I305" s="883"/>
      <c r="J305" s="1109" t="s">
        <v>673</v>
      </c>
      <c r="K305" s="1101" t="s">
        <v>160</v>
      </c>
      <c r="L305" s="1118">
        <f>SUM(N281:N302)</f>
        <v>0</v>
      </c>
      <c r="M305" s="1103"/>
      <c r="N305" s="1119"/>
      <c r="O305" s="883"/>
      <c r="P305" s="883"/>
      <c r="Q305" s="883"/>
    </row>
    <row r="306" spans="1:17" ht="16">
      <c r="A306" s="883">
        <f t="shared" si="7"/>
        <v>306</v>
      </c>
      <c r="B306" s="1111" t="s">
        <v>674</v>
      </c>
      <c r="C306" s="1112" t="s">
        <v>675</v>
      </c>
      <c r="D306" s="1113"/>
      <c r="E306" s="1113"/>
      <c r="F306" s="481"/>
      <c r="G306" s="883"/>
      <c r="H306" s="883" t="str">
        <f t="shared" si="6"/>
        <v>ff306</v>
      </c>
      <c r="I306" s="883"/>
      <c r="J306" s="1111" t="s">
        <v>676</v>
      </c>
      <c r="K306" s="1112" t="s">
        <v>85</v>
      </c>
      <c r="L306" s="1120"/>
      <c r="M306" s="1112"/>
      <c r="N306" s="481"/>
      <c r="O306" s="883"/>
      <c r="P306" s="883"/>
      <c r="Q306" s="883"/>
    </row>
    <row r="307" spans="1:17" ht="16">
      <c r="A307" s="883">
        <f t="shared" si="7"/>
        <v>307</v>
      </c>
      <c r="B307" s="1111" t="s">
        <v>677</v>
      </c>
      <c r="C307" s="1112" t="s">
        <v>156</v>
      </c>
      <c r="D307" s="1121"/>
      <c r="E307" s="1121"/>
      <c r="F307" s="481"/>
      <c r="G307" s="883"/>
      <c r="H307" s="883" t="str">
        <f t="shared" si="6"/>
        <v>ff307</v>
      </c>
      <c r="I307" s="883"/>
      <c r="J307" s="1111" t="s">
        <v>655</v>
      </c>
      <c r="K307" s="1112" t="s">
        <v>85</v>
      </c>
      <c r="L307" s="1120"/>
      <c r="M307" s="1112"/>
      <c r="N307" s="481"/>
      <c r="O307" s="883"/>
      <c r="P307" s="883"/>
      <c r="Q307" s="883"/>
    </row>
    <row r="308" spans="1:17">
      <c r="A308" s="883">
        <f t="shared" si="7"/>
        <v>308</v>
      </c>
      <c r="B308" s="1111" t="s">
        <v>678</v>
      </c>
      <c r="C308" s="1112" t="s">
        <v>85</v>
      </c>
      <c r="D308" s="1113"/>
      <c r="E308" s="1113"/>
      <c r="F308" s="481"/>
      <c r="G308" s="883"/>
      <c r="H308" s="883" t="str">
        <f t="shared" si="6"/>
        <v>ff308</v>
      </c>
      <c r="I308" s="883"/>
      <c r="J308" s="1111" t="s">
        <v>657</v>
      </c>
      <c r="K308" s="1112" t="s">
        <v>85</v>
      </c>
      <c r="L308" s="1122"/>
      <c r="M308" s="1112"/>
      <c r="N308" s="1123">
        <f>F291</f>
        <v>0</v>
      </c>
      <c r="O308" s="883"/>
      <c r="P308" s="883"/>
      <c r="Q308" s="883"/>
    </row>
    <row r="309" spans="1:17">
      <c r="A309" s="883">
        <f t="shared" si="7"/>
        <v>309</v>
      </c>
      <c r="B309" s="1111" t="s">
        <v>679</v>
      </c>
      <c r="C309" s="1112" t="s">
        <v>85</v>
      </c>
      <c r="D309" s="1113"/>
      <c r="E309" s="1113"/>
      <c r="F309" s="481"/>
      <c r="G309" s="883"/>
      <c r="H309" s="883" t="str">
        <f t="shared" si="6"/>
        <v>ff309</v>
      </c>
      <c r="I309" s="883"/>
      <c r="J309" s="1111" t="s">
        <v>658</v>
      </c>
      <c r="K309" s="1112" t="s">
        <v>85</v>
      </c>
      <c r="L309" s="1122"/>
      <c r="M309" s="1112"/>
      <c r="N309" s="1123">
        <f>F292</f>
        <v>0</v>
      </c>
      <c r="O309" s="883"/>
      <c r="P309" s="883"/>
      <c r="Q309" s="883"/>
    </row>
    <row r="310" spans="1:17">
      <c r="A310" s="883">
        <f t="shared" si="7"/>
        <v>310</v>
      </c>
      <c r="B310" s="1111" t="s">
        <v>680</v>
      </c>
      <c r="C310" s="1112" t="s">
        <v>63</v>
      </c>
      <c r="D310" s="1113"/>
      <c r="E310" s="1112"/>
      <c r="F310" s="481"/>
      <c r="G310" s="883"/>
      <c r="H310" s="883" t="str">
        <f t="shared" si="6"/>
        <v>ff310</v>
      </c>
      <c r="I310" s="883"/>
      <c r="J310" s="1111" t="s">
        <v>681</v>
      </c>
      <c r="K310" s="1112" t="s">
        <v>85</v>
      </c>
      <c r="L310" s="1122"/>
      <c r="M310" s="1112"/>
      <c r="N310" s="1123">
        <f>F293</f>
        <v>0</v>
      </c>
      <c r="O310" s="883"/>
      <c r="P310" s="883"/>
      <c r="Q310" s="883"/>
    </row>
    <row r="311" spans="1:17" ht="30" customHeight="1">
      <c r="A311" s="883">
        <f t="shared" si="7"/>
        <v>311</v>
      </c>
      <c r="B311" s="1111" t="s">
        <v>682</v>
      </c>
      <c r="C311" s="1112" t="s">
        <v>85</v>
      </c>
      <c r="D311" s="1124"/>
      <c r="E311" s="1112"/>
      <c r="F311" s="481"/>
      <c r="G311" s="883"/>
      <c r="H311" s="883" t="str">
        <f t="shared" si="6"/>
        <v>ff311</v>
      </c>
      <c r="I311" s="883"/>
      <c r="J311" s="1111" t="s">
        <v>683</v>
      </c>
      <c r="K311" s="1112" t="s">
        <v>85</v>
      </c>
      <c r="L311" s="1120"/>
      <c r="M311" s="1112"/>
      <c r="N311" s="481"/>
      <c r="O311" s="883"/>
      <c r="P311" s="883"/>
      <c r="Q311" s="883"/>
    </row>
    <row r="312" spans="1:17" ht="16">
      <c r="A312" s="883">
        <f t="shared" si="7"/>
        <v>312</v>
      </c>
      <c r="B312" s="1111" t="s">
        <v>684</v>
      </c>
      <c r="C312" s="1112" t="s">
        <v>156</v>
      </c>
      <c r="D312" s="1124"/>
      <c r="E312" s="1112"/>
      <c r="F312" s="481"/>
      <c r="G312" s="883"/>
      <c r="H312" s="883" t="str">
        <f t="shared" si="6"/>
        <v>ff312</v>
      </c>
      <c r="I312" s="883"/>
      <c r="J312" s="1111" t="s">
        <v>685</v>
      </c>
      <c r="K312" s="1112" t="s">
        <v>85</v>
      </c>
      <c r="L312" s="1120"/>
      <c r="M312" s="1112"/>
      <c r="N312" s="481"/>
      <c r="O312" s="883"/>
      <c r="P312" s="883"/>
      <c r="Q312" s="883"/>
    </row>
    <row r="313" spans="1:17" ht="16">
      <c r="A313" s="883">
        <f t="shared" si="7"/>
        <v>313</v>
      </c>
      <c r="B313" s="1111" t="s">
        <v>686</v>
      </c>
      <c r="C313" s="1112" t="s">
        <v>63</v>
      </c>
      <c r="D313" s="1125"/>
      <c r="E313" s="1112"/>
      <c r="F313" s="481"/>
      <c r="G313" s="883"/>
      <c r="H313" s="883" t="str">
        <f t="shared" si="6"/>
        <v>ff313</v>
      </c>
      <c r="I313" s="883"/>
      <c r="J313" s="1111" t="s">
        <v>687</v>
      </c>
      <c r="K313" s="1112" t="s">
        <v>642</v>
      </c>
      <c r="L313" s="1120"/>
      <c r="M313" s="1112"/>
      <c r="N313" s="1123">
        <f>F307</f>
        <v>0</v>
      </c>
      <c r="O313" s="883"/>
      <c r="P313" s="883"/>
      <c r="Q313" s="883"/>
    </row>
    <row r="314" spans="1:17" ht="16">
      <c r="A314" s="883">
        <f t="shared" si="7"/>
        <v>314</v>
      </c>
      <c r="B314" s="1111" t="s">
        <v>688</v>
      </c>
      <c r="C314" s="1112" t="s">
        <v>156</v>
      </c>
      <c r="D314" s="1125"/>
      <c r="E314" s="1112"/>
      <c r="F314" s="481"/>
      <c r="G314" s="883"/>
      <c r="H314" s="883" t="str">
        <f t="shared" si="6"/>
        <v>ff314</v>
      </c>
      <c r="I314" s="883"/>
      <c r="J314" s="1111" t="s">
        <v>662</v>
      </c>
      <c r="K314" s="1112" t="s">
        <v>642</v>
      </c>
      <c r="L314" s="1120"/>
      <c r="M314" s="1112"/>
      <c r="N314" s="1123">
        <f>F296</f>
        <v>0</v>
      </c>
      <c r="O314" s="883"/>
      <c r="P314" s="883"/>
      <c r="Q314" s="883"/>
    </row>
    <row r="315" spans="1:17" ht="16">
      <c r="A315" s="883">
        <f t="shared" si="7"/>
        <v>315</v>
      </c>
      <c r="B315" s="1111" t="s">
        <v>689</v>
      </c>
      <c r="C315" s="1112" t="s">
        <v>85</v>
      </c>
      <c r="D315" s="1125"/>
      <c r="E315" s="1112"/>
      <c r="F315" s="481"/>
      <c r="G315" s="883"/>
      <c r="H315" s="883" t="str">
        <f t="shared" si="6"/>
        <v>ff315</v>
      </c>
      <c r="I315" s="883"/>
      <c r="J315" s="1111" t="s">
        <v>663</v>
      </c>
      <c r="K315" s="1112" t="s">
        <v>85</v>
      </c>
      <c r="L315" s="1120"/>
      <c r="M315" s="1112"/>
      <c r="N315" s="481"/>
      <c r="O315" s="883"/>
      <c r="P315" s="883"/>
      <c r="Q315" s="883"/>
    </row>
    <row r="316" spans="1:17" ht="16">
      <c r="A316" s="883">
        <f t="shared" si="7"/>
        <v>316</v>
      </c>
      <c r="B316" s="1111" t="s">
        <v>197</v>
      </c>
      <c r="C316" s="1112" t="s">
        <v>85</v>
      </c>
      <c r="D316" s="1125"/>
      <c r="E316" s="1112"/>
      <c r="F316" s="481"/>
      <c r="G316" s="883"/>
      <c r="H316" s="883" t="str">
        <f t="shared" si="6"/>
        <v>ff316</v>
      </c>
      <c r="I316" s="883"/>
      <c r="J316" s="1111" t="s">
        <v>664</v>
      </c>
      <c r="K316" s="1112" t="s">
        <v>85</v>
      </c>
      <c r="L316" s="1120"/>
      <c r="M316" s="1112"/>
      <c r="N316" s="1123">
        <f t="shared" ref="N316:N321" si="8">F298</f>
        <v>0</v>
      </c>
      <c r="O316" s="883"/>
      <c r="P316" s="883"/>
      <c r="Q316" s="883"/>
    </row>
    <row r="317" spans="1:17" ht="16">
      <c r="A317" s="883">
        <f t="shared" si="7"/>
        <v>317</v>
      </c>
      <c r="B317" s="1111" t="s">
        <v>690</v>
      </c>
      <c r="C317" s="1112" t="s">
        <v>85</v>
      </c>
      <c r="D317" s="1125"/>
      <c r="E317" s="1112"/>
      <c r="F317" s="481"/>
      <c r="G317" s="883"/>
      <c r="H317" s="883" t="str">
        <f t="shared" si="6"/>
        <v>ff317</v>
      </c>
      <c r="I317" s="883"/>
      <c r="J317" s="1111" t="s">
        <v>665</v>
      </c>
      <c r="K317" s="1112" t="s">
        <v>85</v>
      </c>
      <c r="L317" s="1120"/>
      <c r="M317" s="1112"/>
      <c r="N317" s="1123">
        <f t="shared" si="8"/>
        <v>0</v>
      </c>
      <c r="O317" s="883"/>
      <c r="P317" s="883"/>
      <c r="Q317" s="883"/>
    </row>
    <row r="318" spans="1:17">
      <c r="A318" s="883">
        <f t="shared" si="7"/>
        <v>318</v>
      </c>
      <c r="B318" s="1111" t="s">
        <v>691</v>
      </c>
      <c r="C318" s="1112" t="s">
        <v>85</v>
      </c>
      <c r="D318" s="1125"/>
      <c r="E318" s="1112"/>
      <c r="F318" s="481"/>
      <c r="G318" s="883"/>
      <c r="H318" s="883" t="str">
        <f t="shared" si="6"/>
        <v>ff318</v>
      </c>
      <c r="I318" s="883"/>
      <c r="J318" s="1111" t="s">
        <v>692</v>
      </c>
      <c r="K318" s="1112" t="s">
        <v>85</v>
      </c>
      <c r="L318" s="1122"/>
      <c r="M318" s="1112"/>
      <c r="N318" s="1123">
        <f t="shared" si="8"/>
        <v>0</v>
      </c>
      <c r="O318" s="883"/>
      <c r="P318" s="883"/>
      <c r="Q318" s="883"/>
    </row>
    <row r="319" spans="1:17" ht="30">
      <c r="A319" s="883">
        <f t="shared" si="7"/>
        <v>319</v>
      </c>
      <c r="B319" s="1111" t="s">
        <v>693</v>
      </c>
      <c r="C319" s="1112" t="s">
        <v>85</v>
      </c>
      <c r="D319" s="1125"/>
      <c r="E319" s="1112"/>
      <c r="F319" s="481"/>
      <c r="G319" s="883"/>
      <c r="H319" s="883" t="str">
        <f t="shared" si="6"/>
        <v>ff319</v>
      </c>
      <c r="I319" s="883"/>
      <c r="J319" s="1111" t="s">
        <v>667</v>
      </c>
      <c r="K319" s="1112" t="s">
        <v>85</v>
      </c>
      <c r="L319" s="1122"/>
      <c r="M319" s="1112"/>
      <c r="N319" s="1123">
        <f t="shared" si="8"/>
        <v>0</v>
      </c>
      <c r="O319" s="883"/>
      <c r="P319" s="883"/>
      <c r="Q319" s="883"/>
    </row>
    <row r="320" spans="1:17">
      <c r="A320" s="883">
        <f t="shared" si="7"/>
        <v>320</v>
      </c>
      <c r="B320" s="1111" t="s">
        <v>694</v>
      </c>
      <c r="C320" s="1112" t="s">
        <v>85</v>
      </c>
      <c r="D320" s="1112"/>
      <c r="E320" s="1112"/>
      <c r="F320" s="481"/>
      <c r="G320" s="883"/>
      <c r="H320" s="883" t="str">
        <f t="shared" si="6"/>
        <v>ff320</v>
      </c>
      <c r="I320" s="883"/>
      <c r="J320" s="1111" t="s">
        <v>668</v>
      </c>
      <c r="K320" s="1112" t="s">
        <v>85</v>
      </c>
      <c r="L320" s="1122"/>
      <c r="M320" s="1112"/>
      <c r="N320" s="1123">
        <f t="shared" si="8"/>
        <v>0</v>
      </c>
      <c r="O320" s="883"/>
      <c r="P320" s="883"/>
      <c r="Q320" s="883"/>
    </row>
    <row r="321" spans="1:49">
      <c r="A321" s="883">
        <f t="shared" si="7"/>
        <v>321</v>
      </c>
      <c r="B321" s="1111" t="s">
        <v>695</v>
      </c>
      <c r="C321" s="1112" t="s">
        <v>156</v>
      </c>
      <c r="D321" s="1112"/>
      <c r="E321" s="1112"/>
      <c r="F321" s="481"/>
      <c r="G321" s="883"/>
      <c r="H321" s="883" t="str">
        <f t="shared" si="6"/>
        <v>ff321</v>
      </c>
      <c r="I321" s="883"/>
      <c r="J321" s="1111" t="s">
        <v>669</v>
      </c>
      <c r="K321" s="1112" t="s">
        <v>85</v>
      </c>
      <c r="L321" s="1122"/>
      <c r="M321" s="1112"/>
      <c r="N321" s="1123">
        <f t="shared" si="8"/>
        <v>0</v>
      </c>
      <c r="O321" s="883"/>
      <c r="P321" s="883"/>
      <c r="Q321" s="883"/>
    </row>
    <row r="322" spans="1:49" ht="30" customHeight="1">
      <c r="A322" s="883">
        <f t="shared" si="7"/>
        <v>322</v>
      </c>
      <c r="B322" s="1111" t="s">
        <v>696</v>
      </c>
      <c r="C322" s="1112" t="s">
        <v>156</v>
      </c>
      <c r="D322" s="1112"/>
      <c r="E322" s="1112"/>
      <c r="F322" s="481"/>
      <c r="G322" s="883"/>
      <c r="H322" s="883" t="str">
        <f t="shared" si="6"/>
        <v>ff322</v>
      </c>
      <c r="I322" s="883"/>
      <c r="J322" s="1111" t="s">
        <v>671</v>
      </c>
      <c r="K322" s="1112" t="s">
        <v>85</v>
      </c>
      <c r="L322" s="1120"/>
      <c r="M322" s="1112"/>
      <c r="N322" s="481"/>
      <c r="O322" s="883"/>
      <c r="P322" s="883"/>
      <c r="Q322" s="883"/>
    </row>
    <row r="323" spans="1:49" ht="30">
      <c r="A323" s="883">
        <f t="shared" si="7"/>
        <v>323</v>
      </c>
      <c r="B323" s="1111" t="s">
        <v>697</v>
      </c>
      <c r="C323" s="1112" t="s">
        <v>85</v>
      </c>
      <c r="D323" s="1112"/>
      <c r="E323" s="1112"/>
      <c r="F323" s="481"/>
      <c r="G323" s="883"/>
      <c r="H323" s="883" t="str">
        <f t="shared" si="6"/>
        <v>ff323</v>
      </c>
      <c r="I323" s="883"/>
      <c r="J323" s="1111" t="s">
        <v>672</v>
      </c>
      <c r="K323" s="1112" t="s">
        <v>85</v>
      </c>
      <c r="L323" s="1120"/>
      <c r="M323" s="1112"/>
      <c r="N323" s="481"/>
      <c r="O323" s="883"/>
      <c r="P323" s="883"/>
      <c r="Q323" s="883"/>
    </row>
    <row r="324" spans="1:49">
      <c r="A324" s="883">
        <f t="shared" si="7"/>
        <v>324</v>
      </c>
      <c r="B324" s="1111" t="s">
        <v>180</v>
      </c>
      <c r="C324" s="1112" t="s">
        <v>85</v>
      </c>
      <c r="D324" s="1112"/>
      <c r="E324" s="1112"/>
      <c r="F324" s="481"/>
      <c r="G324" s="883"/>
      <c r="H324" s="883" t="str">
        <f t="shared" si="6"/>
        <v>ff324</v>
      </c>
      <c r="I324" s="883"/>
      <c r="J324" s="1111"/>
      <c r="K324" s="1112"/>
      <c r="L324" s="1121"/>
      <c r="M324" s="1112"/>
      <c r="N324" s="1108"/>
      <c r="O324" s="883"/>
      <c r="P324" s="883"/>
      <c r="Q324" s="883"/>
      <c r="S324" t="s">
        <v>2944</v>
      </c>
      <c r="T324" t="s">
        <v>2945</v>
      </c>
      <c r="U324" t="s">
        <v>360</v>
      </c>
      <c r="V324" t="s">
        <v>2946</v>
      </c>
      <c r="W324" t="s">
        <v>2947</v>
      </c>
      <c r="X324" t="s">
        <v>2948</v>
      </c>
      <c r="Y324" t="s">
        <v>2949</v>
      </c>
      <c r="Z324" t="s">
        <v>2950</v>
      </c>
    </row>
    <row r="325" spans="1:49">
      <c r="A325" s="883">
        <f t="shared" si="7"/>
        <v>325</v>
      </c>
      <c r="B325" s="1111" t="s">
        <v>698</v>
      </c>
      <c r="C325" s="1112" t="s">
        <v>85</v>
      </c>
      <c r="D325" s="1112"/>
      <c r="E325" s="1112"/>
      <c r="F325" s="481"/>
      <c r="G325" s="883"/>
      <c r="H325" s="883" t="str">
        <f t="shared" si="6"/>
        <v>ff325</v>
      </c>
      <c r="I325" s="883"/>
      <c r="J325" s="1111"/>
      <c r="K325" s="1112"/>
      <c r="L325" s="1121"/>
      <c r="M325" s="1112"/>
      <c r="N325" s="1108"/>
      <c r="O325" s="883"/>
      <c r="P325" s="883"/>
      <c r="Q325" s="883"/>
      <c r="R325">
        <v>1</v>
      </c>
      <c r="S325" t="str">
        <f>'материал - работа'!B1</f>
        <v>Кровля мягкая материал/работа</v>
      </c>
      <c r="T325">
        <f>'материал - работа'!C1</f>
        <v>0</v>
      </c>
      <c r="U325">
        <f>'материал - работа'!D1</f>
        <v>0</v>
      </c>
      <c r="V325">
        <f>'материал - работа'!E1</f>
        <v>0</v>
      </c>
      <c r="W325">
        <f>'материал - работа'!F1</f>
        <v>0</v>
      </c>
      <c r="X325">
        <f>'материал - работа'!G1</f>
        <v>0</v>
      </c>
      <c r="Y325" t="str">
        <f>'материал - работа'!H1</f>
        <v>Листы железа</v>
      </c>
      <c r="Z325">
        <f>'материал - работа'!I1</f>
        <v>0</v>
      </c>
      <c r="AA325">
        <f>'материал - работа'!J1</f>
        <v>0</v>
      </c>
      <c r="AB325">
        <f>'материал - работа'!K1</f>
        <v>0</v>
      </c>
      <c r="AC325">
        <f>'материал - работа'!L1</f>
        <v>0</v>
      </c>
      <c r="AD325">
        <f>'материал - работа'!M1</f>
        <v>0</v>
      </c>
      <c r="AE325">
        <f>'материал - работа'!N1</f>
        <v>0</v>
      </c>
      <c r="AF325">
        <f>'материал - работа'!O1</f>
        <v>0</v>
      </c>
      <c r="AG325">
        <f>'материал - работа'!P1</f>
        <v>0</v>
      </c>
      <c r="AH325">
        <f>'материал - работа'!Q1</f>
        <v>0</v>
      </c>
      <c r="AI325">
        <f>'материал - работа'!R1</f>
        <v>0</v>
      </c>
      <c r="AJ325">
        <f>'материал - работа'!S1</f>
        <v>0</v>
      </c>
      <c r="AK325">
        <f>'материал - работа'!T1</f>
        <v>0</v>
      </c>
      <c r="AL325">
        <f>'материал - работа'!U1</f>
        <v>0</v>
      </c>
      <c r="AM325">
        <f>'материал - работа'!V1</f>
        <v>0</v>
      </c>
      <c r="AN325">
        <f>'материал - работа'!W1</f>
        <v>0</v>
      </c>
      <c r="AO325">
        <f>'материал - работа'!X1</f>
        <v>0</v>
      </c>
      <c r="AP325">
        <f>'материал - работа'!Y1</f>
        <v>0</v>
      </c>
      <c r="AQ325">
        <f>'материал - работа'!Z1</f>
        <v>0</v>
      </c>
      <c r="AR325">
        <f>'материал - работа'!AA1</f>
        <v>0</v>
      </c>
      <c r="AS325">
        <f>'материал - работа'!AB1</f>
        <v>0</v>
      </c>
      <c r="AT325">
        <f>'материал - работа'!AC1</f>
        <v>0</v>
      </c>
      <c r="AU325">
        <f>'материал - работа'!AD1</f>
        <v>0</v>
      </c>
      <c r="AV325">
        <f>'материал - работа'!AE1</f>
        <v>0</v>
      </c>
      <c r="AW325">
        <f>'материал - работа'!AF1</f>
        <v>0</v>
      </c>
    </row>
    <row r="326" spans="1:49">
      <c r="A326" s="883">
        <f t="shared" si="7"/>
        <v>326</v>
      </c>
      <c r="B326" s="1111" t="s">
        <v>699</v>
      </c>
      <c r="C326" s="1112" t="s">
        <v>167</v>
      </c>
      <c r="D326" s="1112"/>
      <c r="E326" s="1112"/>
      <c r="F326" s="481"/>
      <c r="G326" s="883"/>
      <c r="H326" s="883" t="str">
        <f t="shared" si="6"/>
        <v>ff326</v>
      </c>
      <c r="I326" s="883"/>
      <c r="J326" s="1111" t="s">
        <v>700</v>
      </c>
      <c r="K326" s="1112" t="s">
        <v>63</v>
      </c>
      <c r="L326" s="1126"/>
      <c r="M326" s="1112" t="s">
        <v>942</v>
      </c>
      <c r="N326" s="1123">
        <f>F310</f>
        <v>0</v>
      </c>
      <c r="O326" s="883"/>
      <c r="P326" s="883"/>
      <c r="Q326" s="883"/>
      <c r="R326">
        <v>2</v>
      </c>
      <c r="S326" t="str">
        <f>'материал - работа'!B2</f>
        <v>Название</v>
      </c>
      <c r="T326" t="str">
        <f>'материал - работа'!C2</f>
        <v>парам</v>
      </c>
      <c r="U326" t="str">
        <f>'материал - работа'!D2</f>
        <v>колич</v>
      </c>
      <c r="V326">
        <f>'материал - работа'!E2</f>
        <v>0</v>
      </c>
      <c r="W326">
        <f>'материал - работа'!F2</f>
        <v>0</v>
      </c>
      <c r="X326">
        <f>'материал - работа'!G2</f>
        <v>0</v>
      </c>
    </row>
    <row r="327" spans="1:49" ht="45">
      <c r="A327" s="883">
        <f t="shared" si="7"/>
        <v>327</v>
      </c>
      <c r="B327" s="1111" t="s">
        <v>701</v>
      </c>
      <c r="C327" s="1112" t="s">
        <v>167</v>
      </c>
      <c r="D327" s="1112"/>
      <c r="E327" s="1112"/>
      <c r="F327" s="481">
        <v>10000</v>
      </c>
      <c r="G327" s="883"/>
      <c r="H327" s="883" t="str">
        <f t="shared" si="6"/>
        <v>ff327</v>
      </c>
      <c r="I327" s="883"/>
      <c r="J327" s="1111" t="s">
        <v>682</v>
      </c>
      <c r="K327" s="1112" t="s">
        <v>85</v>
      </c>
      <c r="L327" s="1124"/>
      <c r="M327" s="1112"/>
      <c r="N327" s="1123">
        <f>F311</f>
        <v>0</v>
      </c>
      <c r="O327" s="883"/>
      <c r="P327" s="883"/>
      <c r="Q327" s="883"/>
      <c r="R327">
        <f>R326+1</f>
        <v>3</v>
      </c>
      <c r="S327" t="str">
        <f>'материал - работа'!B3</f>
        <v>Площадь кровли</v>
      </c>
      <c r="T327" t="str">
        <f>'материал - работа'!C3</f>
        <v>м2</v>
      </c>
      <c r="U327" t="str">
        <f>'материал - работа'!D3</f>
        <v>DB-size</v>
      </c>
      <c r="V327">
        <f>'материал - работа'!E3</f>
        <v>0</v>
      </c>
      <c r="W327">
        <f>'материал - работа'!F3</f>
        <v>0</v>
      </c>
      <c r="X327">
        <f>'материал - работа'!G3</f>
        <v>0</v>
      </c>
    </row>
    <row r="328" spans="1:49">
      <c r="A328" s="883">
        <f t="shared" si="7"/>
        <v>328</v>
      </c>
      <c r="B328" s="1111"/>
      <c r="C328" s="1112"/>
      <c r="D328" s="1112"/>
      <c r="E328" s="1112"/>
      <c r="F328" s="1108"/>
      <c r="G328" s="883"/>
      <c r="H328" s="883" t="str">
        <f t="shared" si="6"/>
        <v>ff328</v>
      </c>
      <c r="I328" s="883"/>
      <c r="J328" s="1111" t="s">
        <v>702</v>
      </c>
      <c r="K328" s="1112" t="s">
        <v>63</v>
      </c>
      <c r="L328" s="1125"/>
      <c r="M328" s="1112"/>
      <c r="N328" s="1123">
        <f>F313</f>
        <v>0</v>
      </c>
      <c r="O328" s="883"/>
      <c r="P328" s="883"/>
      <c r="Q328" s="883"/>
      <c r="R328">
        <f t="shared" ref="R328:R385" si="9">R327+1</f>
        <v>4</v>
      </c>
      <c r="S328" t="str">
        <f>'материал - работа'!B4</f>
        <v>Гибкая черепица "Shnglas" коллекция _________</v>
      </c>
      <c r="T328" t="str">
        <f>'материал - работа'!C4</f>
        <v>упак</v>
      </c>
      <c r="U328" t="str">
        <f>'материал - работа'!D4</f>
        <v>DB-srCherep</v>
      </c>
      <c r="V328">
        <f>'материал - работа'!E4</f>
        <v>0</v>
      </c>
      <c r="W328">
        <f>'материал - работа'!F4</f>
        <v>0</v>
      </c>
      <c r="X328">
        <f>'материал - работа'!G4</f>
        <v>0</v>
      </c>
    </row>
    <row r="329" spans="1:49">
      <c r="A329" s="883">
        <f t="shared" si="7"/>
        <v>329</v>
      </c>
      <c r="B329" s="473"/>
      <c r="C329" s="474"/>
      <c r="D329" s="474"/>
      <c r="E329" s="474"/>
      <c r="F329" s="475"/>
      <c r="G329" s="883"/>
      <c r="H329" s="883"/>
      <c r="I329" s="883"/>
      <c r="J329" s="1111" t="s">
        <v>689</v>
      </c>
      <c r="K329" s="1112" t="s">
        <v>85</v>
      </c>
      <c r="L329" s="1125"/>
      <c r="M329" s="1112"/>
      <c r="N329" s="1123">
        <f t="shared" ref="N329:N334" si="10">F315</f>
        <v>0</v>
      </c>
      <c r="O329" s="883"/>
      <c r="P329" s="883"/>
      <c r="Q329" s="883"/>
      <c r="R329">
        <f t="shared" si="9"/>
        <v>5</v>
      </c>
      <c r="S329" t="str">
        <f>'материал - работа'!B5</f>
        <v xml:space="preserve">Подкладочный ковер </v>
      </c>
      <c r="T329" t="str">
        <f>'материал - работа'!C5</f>
        <v>рул</v>
      </c>
      <c r="U329" t="str">
        <f>'материал - работа'!D5</f>
        <v>DB-srKover</v>
      </c>
      <c r="V329">
        <f>'материал - работа'!E5</f>
        <v>0</v>
      </c>
      <c r="W329">
        <f>'материал - работа'!F5</f>
        <v>0</v>
      </c>
      <c r="X329">
        <f>'материал - работа'!G5</f>
        <v>0</v>
      </c>
    </row>
    <row r="330" spans="1:49">
      <c r="A330" s="883">
        <f t="shared" si="7"/>
        <v>330</v>
      </c>
      <c r="B330" s="1127" t="s">
        <v>494</v>
      </c>
      <c r="C330" s="1128"/>
      <c r="D330" s="1128"/>
      <c r="E330" s="1128"/>
      <c r="F330" s="1129"/>
      <c r="G330" s="883"/>
      <c r="H330" s="883" t="s">
        <v>2943</v>
      </c>
      <c r="I330" s="883"/>
      <c r="J330" s="1111" t="s">
        <v>197</v>
      </c>
      <c r="K330" s="1112" t="s">
        <v>85</v>
      </c>
      <c r="L330" s="1125"/>
      <c r="M330" s="1112"/>
      <c r="N330" s="1123">
        <f t="shared" si="10"/>
        <v>0</v>
      </c>
      <c r="O330" s="883"/>
      <c r="P330" s="883"/>
      <c r="Q330" s="883"/>
      <c r="R330">
        <f t="shared" si="9"/>
        <v>6</v>
      </c>
      <c r="S330" t="str">
        <f>'материал - работа'!B6</f>
        <v>Конек карниз</v>
      </c>
      <c r="T330" t="str">
        <f>'материал - работа'!C6</f>
        <v>уп</v>
      </c>
      <c r="U330" t="str">
        <f>'материал - работа'!D6</f>
        <v>DB-srKonK</v>
      </c>
      <c r="V330">
        <f>'материал - работа'!E6</f>
        <v>0</v>
      </c>
      <c r="W330">
        <f>'материал - работа'!F6</f>
        <v>0</v>
      </c>
      <c r="X330">
        <f>'материал - работа'!G6</f>
        <v>0</v>
      </c>
    </row>
    <row r="331" spans="1:49">
      <c r="A331" s="883">
        <f t="shared" si="7"/>
        <v>331</v>
      </c>
      <c r="B331" s="1130"/>
      <c r="C331" s="1042"/>
      <c r="D331" s="1131" t="s">
        <v>214</v>
      </c>
      <c r="E331" s="1043"/>
      <c r="F331" s="883"/>
      <c r="G331" s="1389" t="s">
        <v>703</v>
      </c>
      <c r="H331" s="883" t="str">
        <f>_xlfn.CONCAT($H$330,A332)</f>
        <v>fd332</v>
      </c>
      <c r="I331" s="883"/>
      <c r="J331" s="1111" t="s">
        <v>690</v>
      </c>
      <c r="K331" s="1112" t="s">
        <v>85</v>
      </c>
      <c r="L331" s="1125"/>
      <c r="M331" s="1112"/>
      <c r="N331" s="1123">
        <f t="shared" si="10"/>
        <v>0</v>
      </c>
      <c r="O331" s="883"/>
      <c r="P331" s="883"/>
      <c r="Q331" s="883"/>
      <c r="R331">
        <f t="shared" si="9"/>
        <v>7</v>
      </c>
      <c r="S331" t="str">
        <f>'материал - работа'!B7</f>
        <v>Мастика битумная 3.6 кг</v>
      </c>
      <c r="T331" t="str">
        <f>'материал - работа'!C7</f>
        <v>банк</v>
      </c>
      <c r="U331" t="str">
        <f>'материал - работа'!D7</f>
        <v>DB-srMastika1</v>
      </c>
      <c r="V331">
        <f>'материал - работа'!E7</f>
        <v>0</v>
      </c>
      <c r="W331">
        <f>'материал - работа'!F7</f>
        <v>0</v>
      </c>
      <c r="X331">
        <f>'материал - работа'!G7</f>
        <v>0</v>
      </c>
    </row>
    <row r="332" spans="1:49">
      <c r="A332" s="883">
        <f t="shared" si="7"/>
        <v>332</v>
      </c>
      <c r="B332" s="1132" t="s">
        <v>703</v>
      </c>
      <c r="C332" s="1042" t="s">
        <v>63</v>
      </c>
      <c r="D332" s="1133"/>
      <c r="E332" s="1043"/>
      <c r="F332" s="883"/>
      <c r="G332" s="1389" t="s">
        <v>704</v>
      </c>
      <c r="H332" s="883" t="str">
        <f t="shared" ref="H332:H347" si="11">_xlfn.CONCAT($H$330,A333)</f>
        <v>fd333</v>
      </c>
      <c r="I332" s="883"/>
      <c r="J332" s="1111" t="s">
        <v>691</v>
      </c>
      <c r="K332" s="1112" t="s">
        <v>85</v>
      </c>
      <c r="L332" s="1125"/>
      <c r="M332" s="1112"/>
      <c r="N332" s="1123">
        <f t="shared" si="10"/>
        <v>0</v>
      </c>
      <c r="O332" s="883"/>
      <c r="P332" s="883"/>
      <c r="Q332" s="883"/>
      <c r="R332">
        <f t="shared" si="9"/>
        <v>8</v>
      </c>
      <c r="S332" t="str">
        <f>'материал - работа'!B8</f>
        <v>Мастика битумная12 кг</v>
      </c>
      <c r="T332" t="str">
        <f>'материал - работа'!C8</f>
        <v>банк</v>
      </c>
      <c r="U332" t="str">
        <f>'материал - работа'!D8</f>
        <v>DB-srMastika</v>
      </c>
      <c r="V332">
        <f>'материал - работа'!E8</f>
        <v>0</v>
      </c>
      <c r="W332">
        <f>'материал - работа'!F8</f>
        <v>0</v>
      </c>
      <c r="X332">
        <f>'материал - работа'!G8</f>
        <v>0</v>
      </c>
    </row>
    <row r="333" spans="1:49" ht="19.75" customHeight="1">
      <c r="A333" s="883">
        <f t="shared" si="7"/>
        <v>333</v>
      </c>
      <c r="B333" s="1132" t="s">
        <v>704</v>
      </c>
      <c r="C333" s="1042" t="s">
        <v>160</v>
      </c>
      <c r="D333" s="1133"/>
      <c r="E333" s="1043"/>
      <c r="F333" s="883"/>
      <c r="G333" s="1390" t="s">
        <v>705</v>
      </c>
      <c r="H333" s="883" t="str">
        <f t="shared" si="11"/>
        <v>fd334</v>
      </c>
      <c r="I333" s="883"/>
      <c r="J333" s="1111" t="s">
        <v>693</v>
      </c>
      <c r="K333" s="1112" t="s">
        <v>85</v>
      </c>
      <c r="L333" s="1125"/>
      <c r="M333" s="1112"/>
      <c r="N333" s="1123">
        <f t="shared" si="10"/>
        <v>0</v>
      </c>
      <c r="O333" s="883"/>
      <c r="P333" s="883"/>
      <c r="Q333" s="883"/>
      <c r="R333">
        <f t="shared" si="9"/>
        <v>9</v>
      </c>
      <c r="S333" t="str">
        <f>'материал - работа'!B9</f>
        <v xml:space="preserve">Конек широкий </v>
      </c>
      <c r="T333" t="str">
        <f>'материал - работа'!C9</f>
        <v>шт</v>
      </c>
      <c r="U333" t="str">
        <f>'материал - работа'!D9</f>
        <v>DB-srKonShir</v>
      </c>
      <c r="V333">
        <f>'материал - работа'!E9</f>
        <v>0</v>
      </c>
      <c r="W333">
        <f>'материал - работа'!F9</f>
        <v>0</v>
      </c>
      <c r="X333">
        <f>'материал - работа'!G9</f>
        <v>0</v>
      </c>
    </row>
    <row r="334" spans="1:49">
      <c r="A334" s="883">
        <f t="shared" si="7"/>
        <v>334</v>
      </c>
      <c r="B334" s="1130" t="s">
        <v>705</v>
      </c>
      <c r="C334" s="1042" t="s">
        <v>160</v>
      </c>
      <c r="D334" s="1133"/>
      <c r="E334" s="1043"/>
      <c r="F334" s="883"/>
      <c r="G334" s="1389" t="s">
        <v>706</v>
      </c>
      <c r="H334" s="883" t="str">
        <f t="shared" si="11"/>
        <v>fd335</v>
      </c>
      <c r="I334" s="883"/>
      <c r="J334" s="1111" t="s">
        <v>694</v>
      </c>
      <c r="K334" s="1112" t="s">
        <v>85</v>
      </c>
      <c r="L334" s="1112"/>
      <c r="M334" s="1112"/>
      <c r="N334" s="1123">
        <f t="shared" si="10"/>
        <v>0</v>
      </c>
      <c r="O334" s="883"/>
      <c r="P334" s="883"/>
      <c r="Q334" s="883"/>
      <c r="R334">
        <f t="shared" si="9"/>
        <v>10</v>
      </c>
      <c r="S334" t="str">
        <f>'материал - работа'!B10</f>
        <v>Конек односкатной крыши</v>
      </c>
      <c r="T334" t="str">
        <f>'материал - работа'!C10</f>
        <v>шт</v>
      </c>
      <c r="U334" t="str">
        <f>'материал - работа'!D10</f>
        <v>DB-srKonOneSkat</v>
      </c>
      <c r="V334">
        <f>'материал - работа'!E10</f>
        <v>0</v>
      </c>
      <c r="W334">
        <f>'материал - работа'!F10</f>
        <v>0</v>
      </c>
      <c r="X334">
        <f>'материал - работа'!G10</f>
        <v>0</v>
      </c>
    </row>
    <row r="335" spans="1:49">
      <c r="A335" s="883">
        <f t="shared" si="7"/>
        <v>335</v>
      </c>
      <c r="B335" s="1132" t="s">
        <v>706</v>
      </c>
      <c r="C335" s="1042" t="s">
        <v>160</v>
      </c>
      <c r="D335" s="1133"/>
      <c r="E335" s="1043"/>
      <c r="F335" s="883"/>
      <c r="G335" s="1391" t="s">
        <v>707</v>
      </c>
      <c r="H335" s="883" t="str">
        <f t="shared" si="11"/>
        <v>fd336</v>
      </c>
      <c r="I335" s="883"/>
      <c r="J335" s="1111" t="s">
        <v>696</v>
      </c>
      <c r="K335" s="1112" t="s">
        <v>156</v>
      </c>
      <c r="L335" s="1112"/>
      <c r="M335" s="1112"/>
      <c r="N335" s="1123">
        <f>F322</f>
        <v>0</v>
      </c>
      <c r="O335" s="883"/>
      <c r="P335" s="883"/>
      <c r="Q335" s="883"/>
      <c r="R335">
        <f t="shared" si="9"/>
        <v>11</v>
      </c>
      <c r="S335" t="str">
        <f>'материал - работа'!B11</f>
        <v>Планка ветровая</v>
      </c>
      <c r="T335" t="str">
        <f>'материал - работа'!C11</f>
        <v>шт</v>
      </c>
      <c r="U335" t="str">
        <f>'материал - работа'!D11</f>
        <v>DB-srPlanVetr</v>
      </c>
      <c r="V335">
        <f>'материал - работа'!E11</f>
        <v>0</v>
      </c>
      <c r="W335">
        <f>'материал - работа'!F11</f>
        <v>0</v>
      </c>
      <c r="X335">
        <f>'материал - работа'!G11</f>
        <v>0</v>
      </c>
    </row>
    <row r="336" spans="1:49" ht="24.5" customHeight="1">
      <c r="A336" s="883">
        <f t="shared" si="7"/>
        <v>336</v>
      </c>
      <c r="B336" s="1041" t="s">
        <v>707</v>
      </c>
      <c r="C336" s="1042" t="s">
        <v>160</v>
      </c>
      <c r="D336" s="1133"/>
      <c r="E336" s="1043"/>
      <c r="F336" s="883"/>
      <c r="G336" s="1391" t="s">
        <v>1067</v>
      </c>
      <c r="H336" s="883" t="str">
        <f t="shared" si="11"/>
        <v>fd337</v>
      </c>
      <c r="I336" s="883"/>
      <c r="J336" s="1111" t="s">
        <v>697</v>
      </c>
      <c r="K336" s="1112" t="s">
        <v>85</v>
      </c>
      <c r="L336" s="1112"/>
      <c r="M336" s="1112"/>
      <c r="N336" s="1123">
        <f>F323</f>
        <v>0</v>
      </c>
      <c r="O336" s="883"/>
      <c r="P336" s="883"/>
      <c r="Q336" s="883"/>
      <c r="R336">
        <f t="shared" si="9"/>
        <v>12</v>
      </c>
      <c r="S336" t="str">
        <f>'материал - работа'!B12</f>
        <v>Карнизная планка</v>
      </c>
      <c r="T336" t="str">
        <f>'материал - работа'!C12</f>
        <v>шт</v>
      </c>
      <c r="U336" t="str">
        <f>'материал - работа'!D12</f>
        <v>DB-srPlanK</v>
      </c>
      <c r="V336">
        <f>'материал - работа'!E12</f>
        <v>0</v>
      </c>
      <c r="W336">
        <f>'материал - работа'!F12</f>
        <v>0</v>
      </c>
      <c r="X336">
        <f>'материал - работа'!G12</f>
        <v>0</v>
      </c>
    </row>
    <row r="337" spans="1:24">
      <c r="A337" s="883">
        <f t="shared" si="7"/>
        <v>337</v>
      </c>
      <c r="B337" s="1041" t="s">
        <v>1067</v>
      </c>
      <c r="C337" s="1042" t="s">
        <v>160</v>
      </c>
      <c r="D337" s="1133"/>
      <c r="E337" s="1043"/>
      <c r="F337" s="883"/>
      <c r="G337" s="1391" t="s">
        <v>1068</v>
      </c>
      <c r="H337" s="883" t="str">
        <f t="shared" si="11"/>
        <v>fd338</v>
      </c>
      <c r="I337" s="883"/>
      <c r="J337" s="1111" t="s">
        <v>180</v>
      </c>
      <c r="K337" s="1112" t="s">
        <v>85</v>
      </c>
      <c r="L337" s="1112"/>
      <c r="M337" s="1112"/>
      <c r="N337" s="1123">
        <f>F324</f>
        <v>0</v>
      </c>
      <c r="O337" s="883"/>
      <c r="P337" s="883"/>
      <c r="Q337" s="883"/>
      <c r="R337">
        <f t="shared" si="9"/>
        <v>13</v>
      </c>
      <c r="S337" t="str">
        <f>'материал - работа'!B13</f>
        <v xml:space="preserve">Капельники </v>
      </c>
      <c r="T337" t="str">
        <f>'материал - работа'!C13</f>
        <v>шт</v>
      </c>
      <c r="U337" t="str">
        <f>'материал - работа'!D13</f>
        <v>DB-srKapelnik</v>
      </c>
      <c r="V337">
        <f>'материал - работа'!E13</f>
        <v>0</v>
      </c>
      <c r="W337">
        <f>'материал - работа'!F13</f>
        <v>0</v>
      </c>
      <c r="X337">
        <f>'материал - работа'!G13</f>
        <v>0</v>
      </c>
    </row>
    <row r="338" spans="1:24" ht="24" customHeight="1">
      <c r="A338" s="883">
        <f t="shared" si="7"/>
        <v>338</v>
      </c>
      <c r="B338" s="1041" t="s">
        <v>1068</v>
      </c>
      <c r="C338" s="1042" t="s">
        <v>160</v>
      </c>
      <c r="D338" s="1133"/>
      <c r="E338" s="1043"/>
      <c r="F338" s="883"/>
      <c r="G338" s="1391" t="s">
        <v>709</v>
      </c>
      <c r="H338" s="883" t="str">
        <f t="shared" si="11"/>
        <v>fd339</v>
      </c>
      <c r="I338" s="883"/>
      <c r="J338" s="1111" t="s">
        <v>698</v>
      </c>
      <c r="K338" s="1112" t="s">
        <v>85</v>
      </c>
      <c r="L338" s="1112"/>
      <c r="M338" s="1112"/>
      <c r="N338" s="1123">
        <f>F325</f>
        <v>0</v>
      </c>
      <c r="O338" s="883"/>
      <c r="P338" s="883"/>
      <c r="Q338" s="883"/>
      <c r="R338">
        <f t="shared" si="9"/>
        <v>14</v>
      </c>
      <c r="S338" t="str">
        <f>'материал - работа'!B14</f>
        <v>Ендова</v>
      </c>
      <c r="T338" t="str">
        <f>'материал - работа'!C14</f>
        <v>шт</v>
      </c>
      <c r="U338" t="str">
        <f>'материал - работа'!D14</f>
        <v>DB-srEndn</v>
      </c>
      <c r="V338">
        <f>'материал - работа'!E14</f>
        <v>0</v>
      </c>
      <c r="W338">
        <f>'материал - работа'!F14</f>
        <v>0</v>
      </c>
      <c r="X338">
        <f>'материал - работа'!G14</f>
        <v>0</v>
      </c>
    </row>
    <row r="339" spans="1:24" ht="21.5" customHeight="1">
      <c r="A339" s="883">
        <f t="shared" si="7"/>
        <v>339</v>
      </c>
      <c r="B339" s="1041" t="s">
        <v>709</v>
      </c>
      <c r="C339" s="1042" t="s">
        <v>86</v>
      </c>
      <c r="D339" s="1133"/>
      <c r="E339" s="1043"/>
      <c r="F339" s="883"/>
      <c r="G339" s="1392" t="s">
        <v>710</v>
      </c>
      <c r="H339" s="883" t="str">
        <f t="shared" si="11"/>
        <v>fd340</v>
      </c>
      <c r="I339" s="883"/>
      <c r="J339" s="1111" t="s">
        <v>699</v>
      </c>
      <c r="K339" s="1112" t="s">
        <v>167</v>
      </c>
      <c r="L339" s="1112"/>
      <c r="M339" s="1112"/>
      <c r="N339" s="481"/>
      <c r="O339" s="883"/>
      <c r="P339" s="883"/>
      <c r="Q339" s="883"/>
      <c r="R339">
        <f t="shared" si="9"/>
        <v>15</v>
      </c>
      <c r="S339" t="str">
        <f>'материал - работа'!B15</f>
        <v>Гвоздь кровельный</v>
      </c>
      <c r="T339" t="str">
        <f>'материал - работа'!C15</f>
        <v>уп</v>
      </c>
      <c r="U339" t="str">
        <f>'материал - работа'!D15</f>
        <v>DB-srGvozd</v>
      </c>
      <c r="V339">
        <f>'материал - работа'!E15</f>
        <v>0</v>
      </c>
      <c r="W339">
        <f>'материал - работа'!F15</f>
        <v>0</v>
      </c>
      <c r="X339">
        <f>'материал - работа'!G15</f>
        <v>0</v>
      </c>
    </row>
    <row r="340" spans="1:24" ht="28.25" customHeight="1">
      <c r="A340" s="883">
        <f t="shared" si="7"/>
        <v>340</v>
      </c>
      <c r="B340" s="447" t="s">
        <v>710</v>
      </c>
      <c r="C340" s="1042" t="s">
        <v>160</v>
      </c>
      <c r="D340" s="1133"/>
      <c r="E340" s="1043"/>
      <c r="F340" s="883"/>
      <c r="G340" s="1391" t="s">
        <v>711</v>
      </c>
      <c r="H340" s="883" t="str">
        <f t="shared" si="11"/>
        <v>fd341</v>
      </c>
      <c r="I340" s="883"/>
      <c r="J340" s="1111" t="s">
        <v>701</v>
      </c>
      <c r="K340" s="1112" t="s">
        <v>167</v>
      </c>
      <c r="L340" s="1112"/>
      <c r="M340" s="1112"/>
      <c r="N340" s="481"/>
      <c r="O340" s="883"/>
      <c r="P340" s="883"/>
      <c r="Q340" s="883"/>
      <c r="R340">
        <f t="shared" si="9"/>
        <v>16</v>
      </c>
      <c r="S340" t="str">
        <f>'материал - работа'!B16</f>
        <v>Саморез 70</v>
      </c>
      <c r="T340" t="str">
        <f>'материал - работа'!C16</f>
        <v>уп</v>
      </c>
      <c r="U340" t="str">
        <f>'материал - работа'!D16</f>
        <v>DB-srSam70</v>
      </c>
      <c r="V340">
        <f>'материал - работа'!E16</f>
        <v>0</v>
      </c>
      <c r="W340">
        <f>'материал - работа'!F16</f>
        <v>0</v>
      </c>
      <c r="X340">
        <f>'материал - работа'!G16</f>
        <v>0</v>
      </c>
    </row>
    <row r="341" spans="1:24">
      <c r="A341" s="883">
        <f t="shared" si="7"/>
        <v>341</v>
      </c>
      <c r="B341" s="1041" t="s">
        <v>711</v>
      </c>
      <c r="C341" s="1042" t="s">
        <v>160</v>
      </c>
      <c r="D341" s="1085">
        <f>E272</f>
        <v>45</v>
      </c>
      <c r="E341" s="1043"/>
      <c r="F341" s="883"/>
      <c r="G341" s="1390" t="s">
        <v>674</v>
      </c>
      <c r="H341" s="883" t="str">
        <f t="shared" si="11"/>
        <v>fd342</v>
      </c>
      <c r="I341" s="883"/>
      <c r="J341" s="1111"/>
      <c r="K341" s="1112"/>
      <c r="L341" s="1112"/>
      <c r="M341" s="1112"/>
      <c r="N341" s="1108"/>
      <c r="O341" s="883"/>
      <c r="P341" s="883"/>
      <c r="Q341" s="883"/>
      <c r="R341">
        <f t="shared" si="9"/>
        <v>17</v>
      </c>
      <c r="S341" t="str">
        <f>'материал - работа'!B17</f>
        <v>Упаковка</v>
      </c>
      <c r="T341" t="str">
        <f>'материал - работа'!C17</f>
        <v>шт</v>
      </c>
      <c r="U341" t="str">
        <f>'материал - работа'!D17</f>
        <v>DB-srPack</v>
      </c>
      <c r="V341">
        <f>'материал - работа'!E17</f>
        <v>0</v>
      </c>
      <c r="W341">
        <f>'материал - работа'!F17</f>
        <v>0</v>
      </c>
      <c r="X341">
        <f>'материал - работа'!G17</f>
        <v>0</v>
      </c>
    </row>
    <row r="342" spans="1:24">
      <c r="A342" s="883">
        <f t="shared" si="7"/>
        <v>342</v>
      </c>
      <c r="B342" s="1130" t="s">
        <v>674</v>
      </c>
      <c r="C342" s="1042" t="s">
        <v>160</v>
      </c>
      <c r="D342" s="1133"/>
      <c r="E342" s="1043"/>
      <c r="F342" s="883"/>
      <c r="G342" s="1393" t="s">
        <v>712</v>
      </c>
      <c r="H342" s="883" t="str">
        <f t="shared" si="11"/>
        <v>fd343</v>
      </c>
      <c r="I342" s="883"/>
      <c r="J342" s="473"/>
      <c r="K342" s="474"/>
      <c r="L342" s="474"/>
      <c r="M342" s="474"/>
      <c r="N342" s="475"/>
      <c r="O342" s="883"/>
      <c r="P342" s="883"/>
      <c r="Q342" s="883"/>
      <c r="R342">
        <f t="shared" si="9"/>
        <v>18</v>
      </c>
      <c r="S342" t="str">
        <f>'материал - работа'!B18</f>
        <v>Изоспан АМ 70м2</v>
      </c>
      <c r="T342" t="str">
        <f>'материал - работа'!C18</f>
        <v>шт</v>
      </c>
      <c r="U342" t="str">
        <f>'материал - работа'!D18</f>
        <v>DB-srIzospanAM</v>
      </c>
      <c r="V342">
        <f>'материал - работа'!E18</f>
        <v>0</v>
      </c>
      <c r="W342">
        <f>'материал - работа'!F18</f>
        <v>0</v>
      </c>
      <c r="X342">
        <f>'материал - работа'!G18</f>
        <v>0</v>
      </c>
    </row>
    <row r="343" spans="1:24">
      <c r="A343" s="883">
        <f t="shared" si="7"/>
        <v>343</v>
      </c>
      <c r="B343" s="1134" t="s">
        <v>712</v>
      </c>
      <c r="C343" s="1105" t="s">
        <v>160</v>
      </c>
      <c r="D343" s="1135"/>
      <c r="E343" s="1043"/>
      <c r="F343" s="883"/>
      <c r="G343" s="1394" t="s">
        <v>713</v>
      </c>
      <c r="H343" s="883" t="str">
        <f t="shared" si="11"/>
        <v>fd344</v>
      </c>
      <c r="I343" s="883"/>
      <c r="J343" s="1152" t="s">
        <v>494</v>
      </c>
      <c r="K343" s="1153"/>
      <c r="L343" s="1153"/>
      <c r="M343" s="1153"/>
      <c r="N343" s="1154"/>
      <c r="O343" s="883"/>
      <c r="P343" s="883"/>
      <c r="Q343" s="883"/>
      <c r="R343">
        <f t="shared" si="9"/>
        <v>19</v>
      </c>
      <c r="S343" t="str">
        <f>'материал - работа'!B19</f>
        <v>Изоспан АМ 35м2</v>
      </c>
      <c r="T343" t="str">
        <f>'материал - работа'!C19</f>
        <v>шт</v>
      </c>
      <c r="U343" t="str">
        <f>'материал - работа'!D19</f>
        <v>DB-srIzospanAM35</v>
      </c>
      <c r="V343">
        <f>'материал - работа'!E19</f>
        <v>0</v>
      </c>
      <c r="W343">
        <f>'материал - работа'!F19</f>
        <v>0</v>
      </c>
      <c r="X343">
        <f>'материал - работа'!G19</f>
        <v>0</v>
      </c>
    </row>
    <row r="344" spans="1:24">
      <c r="A344" s="883">
        <f t="shared" si="7"/>
        <v>344</v>
      </c>
      <c r="B344" s="928" t="s">
        <v>713</v>
      </c>
      <c r="C344" s="930" t="s">
        <v>160</v>
      </c>
      <c r="D344" s="1136"/>
      <c r="E344" s="1043"/>
      <c r="F344" s="1137"/>
      <c r="G344" s="1394" t="s">
        <v>714</v>
      </c>
      <c r="H344" s="883" t="str">
        <f t="shared" si="11"/>
        <v>fd345</v>
      </c>
      <c r="I344" s="883"/>
      <c r="J344" s="1130"/>
      <c r="K344" s="1042"/>
      <c r="L344" s="1131"/>
      <c r="M344" s="1138" t="s">
        <v>214</v>
      </c>
      <c r="N344" s="883"/>
      <c r="O344" s="883"/>
      <c r="P344" s="883"/>
      <c r="Q344" s="883"/>
      <c r="R344">
        <f t="shared" si="9"/>
        <v>20</v>
      </c>
      <c r="S344" t="str">
        <f>'материал - работа'!B20</f>
        <v>Лента клеещая двухсторонняя</v>
      </c>
      <c r="T344" t="str">
        <f>'материал - работа'!C20</f>
        <v>шт</v>
      </c>
      <c r="U344" t="str">
        <f>'материал - работа'!D20</f>
        <v>DB-srLenta</v>
      </c>
      <c r="V344">
        <f>'материал - работа'!E20</f>
        <v>0</v>
      </c>
      <c r="W344">
        <f>'материал - работа'!F20</f>
        <v>0</v>
      </c>
      <c r="X344">
        <f>'материал - работа'!G20</f>
        <v>0</v>
      </c>
    </row>
    <row r="345" spans="1:24">
      <c r="A345" s="883">
        <f t="shared" si="7"/>
        <v>345</v>
      </c>
      <c r="B345" s="928" t="s">
        <v>714</v>
      </c>
      <c r="C345" s="930" t="s">
        <v>86</v>
      </c>
      <c r="D345" s="1136"/>
      <c r="E345" s="1043"/>
      <c r="F345" s="1137"/>
      <c r="G345" s="1394" t="s">
        <v>715</v>
      </c>
      <c r="H345" s="883" t="str">
        <f t="shared" si="11"/>
        <v>fd346</v>
      </c>
      <c r="I345" s="883"/>
      <c r="J345" s="1130" t="s">
        <v>703</v>
      </c>
      <c r="K345" s="883"/>
      <c r="L345" s="1042" t="s">
        <v>63</v>
      </c>
      <c r="M345" s="1085">
        <f t="shared" ref="M345:M350" si="12">D332</f>
        <v>0</v>
      </c>
      <c r="N345" s="883"/>
      <c r="O345" s="883"/>
      <c r="P345" s="883"/>
      <c r="Q345" s="883"/>
      <c r="R345">
        <f t="shared" si="9"/>
        <v>21</v>
      </c>
      <c r="S345" t="str">
        <f>'материал - работа'!B21</f>
        <v>Роквул скандик при 200мм утепление</v>
      </c>
      <c r="T345" t="str">
        <f>'материал - работа'!C21</f>
        <v>шт</v>
      </c>
      <c r="U345" t="str">
        <f>'материал - работа'!D21</f>
        <v>DB-srRokvul</v>
      </c>
      <c r="V345">
        <f>'материал - работа'!E21</f>
        <v>0</v>
      </c>
      <c r="W345">
        <f>'материал - работа'!F21</f>
        <v>0</v>
      </c>
      <c r="X345">
        <f>'материал - работа'!G21</f>
        <v>0</v>
      </c>
    </row>
    <row r="346" spans="1:24">
      <c r="A346" s="883">
        <f t="shared" si="7"/>
        <v>346</v>
      </c>
      <c r="B346" s="928" t="s">
        <v>715</v>
      </c>
      <c r="C346" s="930" t="s">
        <v>86</v>
      </c>
      <c r="D346" s="1136"/>
      <c r="E346" s="1043"/>
      <c r="F346" s="883"/>
      <c r="G346" s="1394" t="s">
        <v>716</v>
      </c>
      <c r="H346" s="883" t="str">
        <f t="shared" si="11"/>
        <v>fd347</v>
      </c>
      <c r="I346" s="883"/>
      <c r="J346" s="1130" t="s">
        <v>704</v>
      </c>
      <c r="K346" s="883"/>
      <c r="L346" s="1042" t="s">
        <v>160</v>
      </c>
      <c r="M346" s="1085">
        <f t="shared" si="12"/>
        <v>0</v>
      </c>
      <c r="N346" s="883"/>
      <c r="O346" s="883"/>
      <c r="P346" s="883"/>
      <c r="Q346" s="883"/>
      <c r="R346">
        <f t="shared" si="9"/>
        <v>22</v>
      </c>
      <c r="S346" t="str">
        <f>'материал - работа'!B22</f>
        <v>Изоспан В 70м2</v>
      </c>
      <c r="T346" t="str">
        <f>'материал - работа'!C22</f>
        <v>шт</v>
      </c>
      <c r="U346" t="str">
        <f>'материал - работа'!D22</f>
        <v>DB-srIzospanB</v>
      </c>
      <c r="V346">
        <f>'материал - работа'!E22</f>
        <v>0</v>
      </c>
      <c r="W346">
        <f>'материал - работа'!F22</f>
        <v>0</v>
      </c>
      <c r="X346">
        <f>'материал - работа'!G22</f>
        <v>0</v>
      </c>
    </row>
    <row r="347" spans="1:24">
      <c r="A347" s="883">
        <f t="shared" si="7"/>
        <v>347</v>
      </c>
      <c r="B347" s="928" t="s">
        <v>716</v>
      </c>
      <c r="C347" s="930" t="s">
        <v>63</v>
      </c>
      <c r="D347" s="1136"/>
      <c r="E347" s="1043"/>
      <c r="F347" s="883"/>
      <c r="G347" s="1394" t="s">
        <v>717</v>
      </c>
      <c r="H347" s="883" t="str">
        <f t="shared" si="11"/>
        <v>fd348</v>
      </c>
      <c r="I347" s="883"/>
      <c r="J347" s="1130" t="s">
        <v>705</v>
      </c>
      <c r="K347" s="883"/>
      <c r="L347" s="1042" t="s">
        <v>160</v>
      </c>
      <c r="M347" s="1085">
        <f t="shared" si="12"/>
        <v>0</v>
      </c>
      <c r="N347" s="883"/>
      <c r="O347" s="883"/>
      <c r="P347" s="883"/>
      <c r="Q347" s="883"/>
      <c r="R347">
        <f t="shared" si="9"/>
        <v>23</v>
      </c>
      <c r="S347" t="str">
        <f>'материал - работа'!B23</f>
        <v>Изоспан В 35м2</v>
      </c>
      <c r="T347" t="str">
        <f>'материал - работа'!C23</f>
        <v>шт</v>
      </c>
      <c r="U347" t="str">
        <f>'материал - работа'!D23</f>
        <v>DB-srIzospanB35</v>
      </c>
      <c r="V347">
        <f>'материал - работа'!E23</f>
        <v>0</v>
      </c>
      <c r="W347">
        <f>'материал - работа'!F23</f>
        <v>0</v>
      </c>
      <c r="X347">
        <f>'материал - работа'!G23</f>
        <v>0</v>
      </c>
    </row>
    <row r="348" spans="1:24">
      <c r="A348" s="883">
        <f t="shared" si="7"/>
        <v>348</v>
      </c>
      <c r="B348" s="928" t="s">
        <v>717</v>
      </c>
      <c r="C348" s="930" t="s">
        <v>654</v>
      </c>
      <c r="D348" s="1136"/>
      <c r="E348" s="1043"/>
      <c r="F348" s="883"/>
      <c r="G348" s="883"/>
      <c r="H348" s="883"/>
      <c r="I348" s="883"/>
      <c r="J348" s="1130" t="s">
        <v>706</v>
      </c>
      <c r="K348" s="883"/>
      <c r="L348" s="1042" t="s">
        <v>160</v>
      </c>
      <c r="M348" s="1085">
        <f t="shared" si="12"/>
        <v>0</v>
      </c>
      <c r="N348" s="883"/>
      <c r="O348" s="883"/>
      <c r="P348" s="883"/>
      <c r="Q348" s="883"/>
      <c r="R348">
        <f t="shared" si="9"/>
        <v>24</v>
      </c>
      <c r="S348" t="str">
        <f>'материал - работа'!B24</f>
        <v>Примыкание угловое</v>
      </c>
      <c r="T348" t="str">
        <f>'материал - работа'!C24</f>
        <v>шт</v>
      </c>
      <c r="U348" t="str">
        <f>'материал - работа'!D24</f>
        <v>DB-srPrimUgol</v>
      </c>
      <c r="V348">
        <f>'материал - работа'!E24</f>
        <v>0</v>
      </c>
      <c r="W348">
        <f>'материал - работа'!F24</f>
        <v>0</v>
      </c>
      <c r="X348">
        <f>'материал - работа'!G24</f>
        <v>0</v>
      </c>
    </row>
    <row r="349" spans="1:24">
      <c r="A349" s="883">
        <f t="shared" si="7"/>
        <v>349</v>
      </c>
      <c r="B349" s="1111"/>
      <c r="C349" s="1112"/>
      <c r="D349" s="1112"/>
      <c r="E349" s="1112"/>
      <c r="F349" s="1108"/>
      <c r="G349" s="883"/>
      <c r="H349" s="883"/>
      <c r="I349" s="883"/>
      <c r="J349" s="1130" t="s">
        <v>707</v>
      </c>
      <c r="K349" s="883"/>
      <c r="L349" s="1042" t="s">
        <v>160</v>
      </c>
      <c r="M349" s="1085">
        <f t="shared" si="12"/>
        <v>0</v>
      </c>
      <c r="N349" s="883"/>
      <c r="O349" s="883"/>
      <c r="P349" s="883"/>
      <c r="Q349" s="883"/>
      <c r="R349">
        <f t="shared" si="9"/>
        <v>25</v>
      </c>
      <c r="S349" t="str">
        <f>'материал - работа'!B25</f>
        <v>Примыкание накладное</v>
      </c>
      <c r="T349" t="str">
        <f>'материал - работа'!C25</f>
        <v>шт</v>
      </c>
      <c r="U349" t="str">
        <f>'материал - работа'!D25</f>
        <v>DB-mrPrimNakl</v>
      </c>
      <c r="V349">
        <f>'материал - работа'!E25</f>
        <v>0</v>
      </c>
      <c r="W349">
        <f>'материал - работа'!F25</f>
        <v>0</v>
      </c>
      <c r="X349">
        <f>'материал - работа'!G25</f>
        <v>0</v>
      </c>
    </row>
    <row r="350" spans="1:24">
      <c r="A350" s="883">
        <f t="shared" ref="A350:A380" si="13">A349+1</f>
        <v>350</v>
      </c>
      <c r="B350" s="1139" t="s">
        <v>718</v>
      </c>
      <c r="C350" s="1112"/>
      <c r="D350" s="1140" t="s">
        <v>213</v>
      </c>
      <c r="E350" s="1112"/>
      <c r="F350" s="1141" t="s">
        <v>214</v>
      </c>
      <c r="G350" s="883"/>
      <c r="H350" s="883"/>
      <c r="I350" s="883"/>
      <c r="J350" s="1130" t="s">
        <v>708</v>
      </c>
      <c r="K350" s="883"/>
      <c r="L350" s="1042" t="s">
        <v>160</v>
      </c>
      <c r="M350" s="1085">
        <f t="shared" si="12"/>
        <v>0</v>
      </c>
      <c r="N350" s="883"/>
      <c r="O350" s="883"/>
      <c r="P350" s="883"/>
      <c r="Q350" s="883"/>
      <c r="R350">
        <f t="shared" si="9"/>
        <v>26</v>
      </c>
      <c r="S350" t="str">
        <f>'материал - работа'!B26</f>
        <v>OSB-3 12 мм</v>
      </c>
      <c r="T350" t="str">
        <f>'материал - работа'!C26</f>
        <v>лист</v>
      </c>
      <c r="U350" t="str">
        <f>'материал - работа'!D26</f>
        <v>DB-srOSB</v>
      </c>
      <c r="V350">
        <f>'материал - работа'!E26</f>
        <v>0</v>
      </c>
      <c r="W350">
        <f>'материал - работа'!F26</f>
        <v>0</v>
      </c>
      <c r="X350">
        <f>'материал - работа'!G26</f>
        <v>0</v>
      </c>
    </row>
    <row r="351" spans="1:24">
      <c r="A351" s="883">
        <f t="shared" si="13"/>
        <v>351</v>
      </c>
      <c r="B351" s="1111" t="s">
        <v>719</v>
      </c>
      <c r="C351" s="1112" t="s">
        <v>85</v>
      </c>
      <c r="D351" s="483"/>
      <c r="E351" s="1112"/>
      <c r="F351" s="481"/>
      <c r="G351" s="883"/>
      <c r="H351" s="883"/>
      <c r="I351" s="883"/>
      <c r="J351" s="1130" t="s">
        <v>709</v>
      </c>
      <c r="K351" s="883"/>
      <c r="L351" s="1042" t="s">
        <v>86</v>
      </c>
      <c r="M351" s="1085">
        <f>D339</f>
        <v>0</v>
      </c>
      <c r="N351" s="883"/>
      <c r="O351" s="883"/>
      <c r="P351" s="883"/>
      <c r="Q351" s="883"/>
      <c r="R351">
        <f t="shared" si="9"/>
        <v>27</v>
      </c>
      <c r="S351" t="str">
        <f>'материал - работа'!B27</f>
        <v>Саморез 35мм в 1 кг 550шт 32шт на лист</v>
      </c>
      <c r="T351" t="str">
        <f>'материал - работа'!C27</f>
        <v>кг</v>
      </c>
      <c r="U351" t="e">
        <f>'материал - работа'!D27</f>
        <v>#VALUE!</v>
      </c>
      <c r="V351">
        <f>'материал - работа'!E27</f>
        <v>380</v>
      </c>
      <c r="W351">
        <f>'материал - работа'!F27</f>
        <v>0</v>
      </c>
      <c r="X351">
        <f>'материал - работа'!G27</f>
        <v>0</v>
      </c>
    </row>
    <row r="352" spans="1:24">
      <c r="A352" s="883">
        <f t="shared" si="13"/>
        <v>352</v>
      </c>
      <c r="B352" s="1111" t="s">
        <v>720</v>
      </c>
      <c r="C352" s="1112" t="s">
        <v>85</v>
      </c>
      <c r="D352" s="483"/>
      <c r="E352" s="1112"/>
      <c r="F352" s="481"/>
      <c r="G352" s="883"/>
      <c r="H352" s="883"/>
      <c r="I352" s="883"/>
      <c r="J352" s="1130" t="s">
        <v>710</v>
      </c>
      <c r="K352" s="883"/>
      <c r="L352" s="1042" t="s">
        <v>160</v>
      </c>
      <c r="M352" s="1085">
        <f>D340</f>
        <v>0</v>
      </c>
      <c r="N352" s="883"/>
      <c r="O352" s="883"/>
      <c r="P352" s="883"/>
      <c r="Q352" s="883"/>
      <c r="R352">
        <f t="shared" si="9"/>
        <v>28</v>
      </c>
      <c r="S352" t="str">
        <f>'материал - работа'!B28</f>
        <v>Аэратор конька</v>
      </c>
      <c r="T352" t="str">
        <f>'материал - работа'!C28</f>
        <v>шт</v>
      </c>
      <c r="U352" t="str">
        <f>'материал - работа'!D28</f>
        <v>DB-srAero</v>
      </c>
      <c r="V352">
        <f>'материал - работа'!E28</f>
        <v>0</v>
      </c>
      <c r="W352">
        <f>'материал - работа'!F28</f>
        <v>0</v>
      </c>
      <c r="X352">
        <f>'материал - работа'!G28</f>
        <v>0</v>
      </c>
    </row>
    <row r="353" spans="1:24">
      <c r="A353" s="883">
        <f t="shared" si="13"/>
        <v>353</v>
      </c>
      <c r="B353" s="1111" t="s">
        <v>721</v>
      </c>
      <c r="C353" s="1112" t="s">
        <v>85</v>
      </c>
      <c r="D353" s="483"/>
      <c r="E353" s="1112"/>
      <c r="F353" s="481"/>
      <c r="G353" s="883"/>
      <c r="H353" s="883"/>
      <c r="I353" s="883"/>
      <c r="J353" s="1130" t="s">
        <v>711</v>
      </c>
      <c r="K353" s="883"/>
      <c r="L353" s="1042" t="s">
        <v>160</v>
      </c>
      <c r="M353" s="1085">
        <f>D341</f>
        <v>45</v>
      </c>
      <c r="N353" s="883"/>
      <c r="O353" s="883"/>
      <c r="P353" s="883"/>
      <c r="Q353" s="883"/>
      <c r="R353">
        <f t="shared" si="9"/>
        <v>29</v>
      </c>
      <c r="S353" t="str">
        <f>'материал - работа'!B29</f>
        <v>Аэратор скатный</v>
      </c>
      <c r="T353" t="str">
        <f>'материал - работа'!C29</f>
        <v>шт</v>
      </c>
      <c r="U353" t="str">
        <f>'материал - работа'!D29</f>
        <v>DB-srAeroSkat</v>
      </c>
      <c r="V353">
        <f>'материал - работа'!E29</f>
        <v>0</v>
      </c>
      <c r="W353">
        <f>'материал - работа'!F29</f>
        <v>0</v>
      </c>
      <c r="X353">
        <f>'материал - работа'!G29</f>
        <v>0</v>
      </c>
    </row>
    <row r="354" spans="1:24" ht="22.25" customHeight="1">
      <c r="A354" s="883">
        <f t="shared" si="13"/>
        <v>354</v>
      </c>
      <c r="B354" s="1111" t="s">
        <v>722</v>
      </c>
      <c r="C354" s="1112" t="s">
        <v>85</v>
      </c>
      <c r="D354" s="483"/>
      <c r="E354" s="1112"/>
      <c r="F354" s="481"/>
      <c r="G354" s="883"/>
      <c r="H354" s="883"/>
      <c r="I354" s="883"/>
      <c r="J354" s="1148" t="s">
        <v>712</v>
      </c>
      <c r="K354" s="1148"/>
      <c r="L354" s="1105" t="s">
        <v>160</v>
      </c>
      <c r="M354" s="1135">
        <v>500</v>
      </c>
      <c r="N354" s="883"/>
      <c r="O354" s="883"/>
      <c r="P354" s="883"/>
      <c r="Q354" s="883"/>
      <c r="R354">
        <f t="shared" si="9"/>
        <v>30</v>
      </c>
      <c r="S354" t="str">
        <f>'материал - работа'!B30</f>
        <v>Стропила 50х150мм</v>
      </c>
      <c r="T354" t="str">
        <f>'материал - работа'!C30</f>
        <v>м3</v>
      </c>
      <c r="U354" t="e">
        <f>'материал - работа'!D30</f>
        <v>#VALUE!</v>
      </c>
      <c r="V354">
        <f>'материал - работа'!E30</f>
        <v>0</v>
      </c>
      <c r="W354">
        <f>'материал - работа'!F30</f>
        <v>0</v>
      </c>
      <c r="X354">
        <f>'материал - работа'!G30</f>
        <v>0</v>
      </c>
    </row>
    <row r="355" spans="1:24" ht="22.25" customHeight="1">
      <c r="A355" s="883">
        <f t="shared" si="13"/>
        <v>355</v>
      </c>
      <c r="B355" s="1111" t="s">
        <v>723</v>
      </c>
      <c r="C355" s="1112" t="s">
        <v>85</v>
      </c>
      <c r="D355" s="483"/>
      <c r="E355" s="1112"/>
      <c r="F355" s="481"/>
      <c r="G355" s="883"/>
      <c r="H355" s="883"/>
      <c r="I355" s="883"/>
      <c r="J355" s="1148" t="s">
        <v>714</v>
      </c>
      <c r="K355" s="1148"/>
      <c r="L355" s="930" t="s">
        <v>86</v>
      </c>
      <c r="M355" s="1142">
        <f>D345</f>
        <v>0</v>
      </c>
      <c r="N355" s="883"/>
      <c r="O355" s="883"/>
      <c r="P355" s="883"/>
      <c r="Q355" s="883"/>
      <c r="R355">
        <f t="shared" si="9"/>
        <v>31</v>
      </c>
      <c r="S355" t="str">
        <f>'материал - работа'!B31</f>
        <v>Стропила 50х200мм</v>
      </c>
      <c r="T355" t="str">
        <f>'материал - работа'!C31</f>
        <v>м3</v>
      </c>
      <c r="U355" t="str">
        <f>'материал - работа'!D31</f>
        <v>DB-srtropValue</v>
      </c>
      <c r="V355">
        <f>'материал - работа'!E31</f>
        <v>0</v>
      </c>
      <c r="W355">
        <f>'материал - работа'!F31</f>
        <v>0</v>
      </c>
      <c r="X355">
        <f>'материал - работа'!G31</f>
        <v>0</v>
      </c>
    </row>
    <row r="356" spans="1:24" ht="22.75" customHeight="1">
      <c r="A356" s="883">
        <f t="shared" si="13"/>
        <v>356</v>
      </c>
      <c r="B356" s="1111" t="s">
        <v>724</v>
      </c>
      <c r="C356" s="1112" t="s">
        <v>85</v>
      </c>
      <c r="D356" s="483"/>
      <c r="E356" s="1112"/>
      <c r="F356" s="481"/>
      <c r="G356" s="883"/>
      <c r="H356" s="883"/>
      <c r="I356" s="883"/>
      <c r="J356" s="1148" t="s">
        <v>715</v>
      </c>
      <c r="K356" s="1148"/>
      <c r="L356" s="930" t="s">
        <v>86</v>
      </c>
      <c r="M356" s="1142">
        <f>D346</f>
        <v>0</v>
      </c>
      <c r="N356" s="883"/>
      <c r="O356" s="883"/>
      <c r="P356" s="883"/>
      <c r="Q356" s="883"/>
      <c r="R356">
        <f t="shared" si="9"/>
        <v>32</v>
      </c>
      <c r="S356" t="str">
        <f>'материал - работа'!B32</f>
        <v>Соеденительная пластина</v>
      </c>
      <c r="T356" t="str">
        <f>'материал - работа'!C32</f>
        <v>шт</v>
      </c>
      <c r="U356" t="e">
        <f>'материал - работа'!D32</f>
        <v>#VALUE!</v>
      </c>
      <c r="V356">
        <f>'материал - работа'!E32</f>
        <v>0</v>
      </c>
      <c r="W356">
        <f>'материал - работа'!F32</f>
        <v>0</v>
      </c>
      <c r="X356">
        <f>'материал - работа'!G32</f>
        <v>0</v>
      </c>
    </row>
    <row r="357" spans="1:24" ht="22.75" customHeight="1">
      <c r="A357" s="883">
        <f t="shared" si="13"/>
        <v>357</v>
      </c>
      <c r="B357" s="1111" t="s">
        <v>725</v>
      </c>
      <c r="C357" s="1112" t="s">
        <v>85</v>
      </c>
      <c r="D357" s="483"/>
      <c r="E357" s="1112"/>
      <c r="F357" s="481"/>
      <c r="G357" s="883"/>
      <c r="H357" s="883"/>
      <c r="I357" s="883"/>
      <c r="J357" s="1148" t="s">
        <v>716</v>
      </c>
      <c r="K357" s="1148"/>
      <c r="L357" s="930" t="s">
        <v>63</v>
      </c>
      <c r="M357" s="1142">
        <f>D347</f>
        <v>0</v>
      </c>
      <c r="N357" s="883"/>
      <c r="O357" s="883"/>
      <c r="P357" s="883"/>
      <c r="Q357" s="883"/>
      <c r="R357">
        <f t="shared" si="9"/>
        <v>33</v>
      </c>
      <c r="S357" t="str">
        <f>'материал - работа'!B33</f>
        <v>Шпилька 12мм 2000мм</v>
      </c>
      <c r="T357" t="str">
        <f>'материал - работа'!C33</f>
        <v>шт</v>
      </c>
      <c r="U357" t="e">
        <f>'материал - работа'!D33</f>
        <v>#VALUE!</v>
      </c>
      <c r="V357">
        <f>'материал - работа'!E33</f>
        <v>0</v>
      </c>
      <c r="W357">
        <f>'материал - работа'!F33</f>
        <v>0</v>
      </c>
      <c r="X357">
        <f>'материал - работа'!G33</f>
        <v>0</v>
      </c>
    </row>
    <row r="358" spans="1:24" ht="21" customHeight="1">
      <c r="A358" s="883">
        <f t="shared" si="13"/>
        <v>358</v>
      </c>
      <c r="B358" s="1111" t="s">
        <v>726</v>
      </c>
      <c r="C358" s="1112" t="s">
        <v>85</v>
      </c>
      <c r="D358" s="483"/>
      <c r="E358" s="1112"/>
      <c r="F358" s="481"/>
      <c r="G358" s="883"/>
      <c r="H358" s="883"/>
      <c r="I358" s="883"/>
      <c r="J358" s="1148" t="s">
        <v>717</v>
      </c>
      <c r="K358" s="1148"/>
      <c r="L358" s="930" t="s">
        <v>654</v>
      </c>
      <c r="M358" s="1136"/>
      <c r="N358" s="883"/>
      <c r="O358" s="883"/>
      <c r="P358" s="883"/>
      <c r="Q358" s="883"/>
      <c r="R358">
        <f t="shared" si="9"/>
        <v>34</v>
      </c>
      <c r="S358" t="str">
        <f>'материал - работа'!B34</f>
        <v>Гайки 12мм</v>
      </c>
      <c r="T358" t="str">
        <f>'материал - работа'!C34</f>
        <v>шт</v>
      </c>
      <c r="U358" t="e">
        <f>'материал - работа'!D34</f>
        <v>#VALUE!</v>
      </c>
      <c r="V358">
        <f>'материал - работа'!E34</f>
        <v>0</v>
      </c>
      <c r="W358">
        <f>'материал - работа'!F34</f>
        <v>0</v>
      </c>
      <c r="X358">
        <f>'материал - работа'!G34</f>
        <v>0</v>
      </c>
    </row>
    <row r="359" spans="1:24">
      <c r="A359" s="883">
        <f t="shared" si="13"/>
        <v>359</v>
      </c>
      <c r="B359" s="1111" t="s">
        <v>727</v>
      </c>
      <c r="C359" s="1112" t="s">
        <v>85</v>
      </c>
      <c r="D359" s="483"/>
      <c r="E359" s="1112"/>
      <c r="F359" s="481"/>
      <c r="G359" s="883"/>
      <c r="H359" s="883"/>
      <c r="I359" s="883"/>
      <c r="J359" s="883"/>
      <c r="K359" s="883"/>
      <c r="L359" s="883"/>
      <c r="M359" s="883"/>
      <c r="N359" s="883"/>
      <c r="O359" s="883"/>
      <c r="P359" s="883"/>
      <c r="Q359" s="883"/>
      <c r="R359">
        <f t="shared" si="9"/>
        <v>35</v>
      </c>
      <c r="S359" t="str">
        <f>'материал - работа'!B35</f>
        <v>Шайбы 12мм усиленные</v>
      </c>
      <c r="T359" t="str">
        <f>'материал - работа'!C35</f>
        <v>шт</v>
      </c>
      <c r="U359" t="e">
        <f>'материал - работа'!D35</f>
        <v>#VALUE!</v>
      </c>
      <c r="V359">
        <f>'материал - работа'!E35</f>
        <v>0</v>
      </c>
      <c r="W359">
        <f>'материал - работа'!F35</f>
        <v>0</v>
      </c>
      <c r="X359">
        <f>'материал - работа'!G35</f>
        <v>0</v>
      </c>
    </row>
    <row r="360" spans="1:24">
      <c r="A360" s="883">
        <f t="shared" si="13"/>
        <v>360</v>
      </c>
      <c r="B360" s="1111" t="s">
        <v>728</v>
      </c>
      <c r="C360" s="1112" t="s">
        <v>85</v>
      </c>
      <c r="D360" s="483"/>
      <c r="E360" s="1112"/>
      <c r="F360" s="481"/>
      <c r="G360" s="883"/>
      <c r="H360" s="883"/>
      <c r="I360" s="883"/>
      <c r="J360" s="883"/>
      <c r="K360" s="883"/>
      <c r="L360" s="883"/>
      <c r="M360" s="883"/>
      <c r="N360" s="883"/>
      <c r="O360" s="883"/>
      <c r="P360" s="883"/>
      <c r="Q360" s="883"/>
      <c r="R360">
        <f t="shared" si="9"/>
        <v>36</v>
      </c>
      <c r="S360" t="str">
        <f>'материал - работа'!B36</f>
        <v>уплотнительная лента для контробрешетки 60мм</v>
      </c>
      <c r="T360" t="str">
        <f>'материал - работа'!C36</f>
        <v>рул</v>
      </c>
      <c r="U360" t="e">
        <f>'материал - работа'!D36</f>
        <v>#VALUE!</v>
      </c>
      <c r="V360">
        <f>'материал - работа'!E36</f>
        <v>0</v>
      </c>
      <c r="W360" t="e">
        <f>'материал - работа'!F36</f>
        <v>#VALUE!</v>
      </c>
      <c r="X360">
        <f>'материал - работа'!G36</f>
        <v>0</v>
      </c>
    </row>
    <row r="361" spans="1:24">
      <c r="A361" s="883">
        <f t="shared" si="13"/>
        <v>361</v>
      </c>
      <c r="B361" s="1111" t="s">
        <v>729</v>
      </c>
      <c r="C361" s="1112" t="s">
        <v>85</v>
      </c>
      <c r="D361" s="483"/>
      <c r="E361" s="1112"/>
      <c r="F361" s="481"/>
      <c r="G361" s="883"/>
      <c r="H361" s="883"/>
      <c r="I361" s="883"/>
      <c r="J361" s="883"/>
      <c r="K361" s="883"/>
      <c r="L361" s="883"/>
      <c r="M361" s="883"/>
      <c r="N361" s="883"/>
      <c r="O361" s="883"/>
      <c r="P361" s="883"/>
      <c r="Q361" s="883"/>
      <c r="R361">
        <f t="shared" si="9"/>
        <v>37</v>
      </c>
      <c r="S361" t="str">
        <f>'материал - работа'!B37</f>
        <v>Брусок 50х50х3000мм</v>
      </c>
      <c r="T361" t="str">
        <f>'материал - работа'!C37</f>
        <v>шт</v>
      </c>
      <c r="U361" t="e">
        <f>'материал - работа'!D37</f>
        <v>#VALUE!</v>
      </c>
      <c r="V361">
        <f>'материал - работа'!E37</f>
        <v>0</v>
      </c>
      <c r="W361">
        <f>'материал - работа'!F37</f>
        <v>0</v>
      </c>
      <c r="X361">
        <f>'материал - работа'!G37</f>
        <v>0</v>
      </c>
    </row>
    <row r="362" spans="1:24" ht="16">
      <c r="A362" s="883">
        <f t="shared" si="13"/>
        <v>362</v>
      </c>
      <c r="B362" s="1111" t="s">
        <v>730</v>
      </c>
      <c r="C362" s="1112" t="s">
        <v>85</v>
      </c>
      <c r="D362" s="483"/>
      <c r="E362" s="1112"/>
      <c r="F362" s="481"/>
      <c r="G362" s="1146" t="s">
        <v>637</v>
      </c>
      <c r="H362" s="1147"/>
      <c r="I362" s="1147"/>
      <c r="J362" s="1147"/>
      <c r="K362" s="1147"/>
      <c r="L362" s="883"/>
      <c r="M362" s="883"/>
      <c r="N362" s="883"/>
      <c r="O362" s="883"/>
      <c r="P362" s="883"/>
      <c r="Q362" s="883"/>
      <c r="R362">
        <f t="shared" si="9"/>
        <v>38</v>
      </c>
      <c r="S362" t="str">
        <f>'материал - работа'!B38</f>
        <v>Доска 25х150мм</v>
      </c>
      <c r="T362" t="str">
        <f>'материал - работа'!C38</f>
        <v>м3</v>
      </c>
      <c r="U362" t="e">
        <f>'материал - работа'!D38</f>
        <v>#VALUE!</v>
      </c>
      <c r="V362">
        <f>'материал - работа'!E38</f>
        <v>0</v>
      </c>
      <c r="W362" t="e">
        <f>'материал - работа'!F38</f>
        <v>#VALUE!</v>
      </c>
      <c r="X362">
        <f>'материал - работа'!G38</f>
        <v>0</v>
      </c>
    </row>
    <row r="363" spans="1:24" ht="19">
      <c r="A363" s="883">
        <f t="shared" si="13"/>
        <v>363</v>
      </c>
      <c r="B363" s="1111" t="s">
        <v>731</v>
      </c>
      <c r="C363" s="1112" t="s">
        <v>85</v>
      </c>
      <c r="D363" s="483"/>
      <c r="E363" s="1112"/>
      <c r="F363" s="481"/>
      <c r="G363" s="1143" t="s">
        <v>639</v>
      </c>
      <c r="H363" s="950" t="s">
        <v>160</v>
      </c>
      <c r="I363" s="1144">
        <f>D283</f>
        <v>156.19999999999999</v>
      </c>
      <c r="J363" s="953" t="s">
        <v>942</v>
      </c>
      <c r="K363" s="950"/>
      <c r="L363" s="883"/>
      <c r="M363" s="883"/>
      <c r="N363" s="883"/>
      <c r="O363" s="883"/>
      <c r="P363" s="883"/>
      <c r="Q363" s="883"/>
      <c r="R363">
        <f t="shared" si="9"/>
        <v>39</v>
      </c>
      <c r="S363" t="str">
        <f>'материал - работа'!B39</f>
        <v>Скользячки</v>
      </c>
      <c r="T363" t="str">
        <f>'материал - работа'!C39</f>
        <v>шт</v>
      </c>
      <c r="U363" t="e">
        <f>'материал - работа'!D39</f>
        <v>#VALUE!</v>
      </c>
      <c r="V363">
        <f>'материал - работа'!E39</f>
        <v>0</v>
      </c>
      <c r="W363">
        <f>'материал - работа'!F39</f>
        <v>0</v>
      </c>
      <c r="X363">
        <f>'материал - работа'!G39</f>
        <v>0</v>
      </c>
    </row>
    <row r="364" spans="1:24">
      <c r="A364" s="883">
        <f t="shared" si="13"/>
        <v>364</v>
      </c>
      <c r="B364" s="1111"/>
      <c r="C364" s="1112"/>
      <c r="D364" s="1112"/>
      <c r="E364" s="1112"/>
      <c r="F364" s="1108"/>
      <c r="G364" s="928" t="s">
        <v>640</v>
      </c>
      <c r="H364" s="930" t="s">
        <v>63</v>
      </c>
      <c r="I364" s="933"/>
      <c r="J364" s="1136"/>
      <c r="K364" s="930"/>
      <c r="L364" s="883"/>
      <c r="M364" s="883"/>
      <c r="N364" s="883"/>
      <c r="O364" s="883"/>
      <c r="P364" s="883"/>
      <c r="Q364" s="883"/>
      <c r="R364">
        <f t="shared" si="9"/>
        <v>40</v>
      </c>
      <c r="S364" t="str">
        <f>'материал - работа'!B40</f>
        <v>Саморез 4,2х90 мм 131шт в кг</v>
      </c>
      <c r="T364" t="str">
        <f>'материал - работа'!C40</f>
        <v>кг</v>
      </c>
      <c r="U364" t="e">
        <f>'материал - работа'!D40</f>
        <v>#VALUE!</v>
      </c>
      <c r="V364">
        <f>'материал - работа'!E40</f>
        <v>0</v>
      </c>
      <c r="W364">
        <f>'материал - работа'!F40</f>
        <v>0</v>
      </c>
      <c r="X364">
        <f>'материал - работа'!G40</f>
        <v>0</v>
      </c>
    </row>
    <row r="365" spans="1:24">
      <c r="A365" s="883">
        <f t="shared" si="13"/>
        <v>365</v>
      </c>
      <c r="B365" s="1111"/>
      <c r="C365" s="1112"/>
      <c r="D365" s="1112"/>
      <c r="E365" s="1112"/>
      <c r="F365" s="1108"/>
      <c r="G365" s="928" t="s">
        <v>643</v>
      </c>
      <c r="H365" s="930" t="s">
        <v>63</v>
      </c>
      <c r="I365" s="933"/>
      <c r="J365" s="1136"/>
      <c r="K365" s="930"/>
      <c r="L365" s="883"/>
      <c r="M365" s="883"/>
      <c r="N365" s="883"/>
      <c r="O365" s="883"/>
      <c r="P365" s="883"/>
      <c r="Q365" s="883"/>
      <c r="R365">
        <f t="shared" si="9"/>
        <v>41</v>
      </c>
      <c r="S365" t="str">
        <f>'материал - работа'!B41</f>
        <v>Саморез 51 на скользячки</v>
      </c>
      <c r="T365" t="str">
        <f>'материал - работа'!C41</f>
        <v>кг</v>
      </c>
      <c r="U365" t="e">
        <f>'материал - работа'!D41</f>
        <v>#VALUE!</v>
      </c>
      <c r="V365">
        <f>'материал - работа'!E41</f>
        <v>0</v>
      </c>
      <c r="W365">
        <f>'материал - работа'!F41</f>
        <v>0</v>
      </c>
      <c r="X365">
        <f>'материал - работа'!G41</f>
        <v>0</v>
      </c>
    </row>
    <row r="366" spans="1:24">
      <c r="A366" s="883">
        <f t="shared" si="13"/>
        <v>366</v>
      </c>
      <c r="B366" s="1139" t="s">
        <v>732</v>
      </c>
      <c r="C366" s="1112"/>
      <c r="D366" s="1140" t="s">
        <v>213</v>
      </c>
      <c r="E366" s="1112"/>
      <c r="F366" s="1141" t="s">
        <v>214</v>
      </c>
      <c r="G366" s="928" t="s">
        <v>645</v>
      </c>
      <c r="H366" s="930" t="s">
        <v>184</v>
      </c>
      <c r="I366" s="933"/>
      <c r="J366" s="1136"/>
      <c r="K366" s="930"/>
      <c r="L366" s="883"/>
      <c r="M366" s="883"/>
      <c r="N366" s="883"/>
      <c r="O366" s="883"/>
      <c r="P366" s="883"/>
      <c r="Q366" s="883"/>
      <c r="R366">
        <f t="shared" si="9"/>
        <v>42</v>
      </c>
      <c r="S366" t="str">
        <f>'материал - работа'!B42</f>
        <v>Гвоздь 120мм в 1кг - 87 штук</v>
      </c>
      <c r="T366" t="str">
        <f>'материал - работа'!C42</f>
        <v>кг</v>
      </c>
      <c r="U366" t="e">
        <f>'материал - работа'!D42</f>
        <v>#VALUE!</v>
      </c>
      <c r="V366">
        <f>'материал - работа'!E42</f>
        <v>0</v>
      </c>
      <c r="W366">
        <f>'материал - работа'!F42</f>
        <v>0</v>
      </c>
      <c r="X366">
        <f>'материал - работа'!G42</f>
        <v>0</v>
      </c>
    </row>
    <row r="367" spans="1:24">
      <c r="A367" s="883">
        <f t="shared" si="13"/>
        <v>367</v>
      </c>
      <c r="B367" s="1111" t="s">
        <v>719</v>
      </c>
      <c r="C367" s="1112" t="s">
        <v>85</v>
      </c>
      <c r="D367" s="483"/>
      <c r="E367" s="1112"/>
      <c r="F367" s="481"/>
      <c r="G367" s="928" t="s">
        <v>647</v>
      </c>
      <c r="H367" s="930" t="s">
        <v>86</v>
      </c>
      <c r="I367" s="933"/>
      <c r="J367" s="1136"/>
      <c r="K367" s="930"/>
      <c r="L367" s="883"/>
      <c r="M367" s="883"/>
      <c r="N367" s="883"/>
      <c r="O367" s="883"/>
      <c r="P367" s="883"/>
      <c r="Q367" s="883"/>
      <c r="R367">
        <f t="shared" si="9"/>
        <v>43</v>
      </c>
      <c r="S367" t="str">
        <f>'материал - работа'!B43</f>
        <v>Саморез 3.8х70мм   в 1кг - 248 штук</v>
      </c>
      <c r="T367" t="str">
        <f>'материал - работа'!C43</f>
        <v>кг</v>
      </c>
      <c r="U367" t="e">
        <f>'материал - работа'!D43</f>
        <v>#VALUE!</v>
      </c>
      <c r="V367">
        <f>'материал - работа'!E43</f>
        <v>0</v>
      </c>
      <c r="W367">
        <f>'материал - работа'!F43</f>
        <v>0</v>
      </c>
      <c r="X367">
        <f>'материал - работа'!G43</f>
        <v>0</v>
      </c>
    </row>
    <row r="368" spans="1:24">
      <c r="A368" s="883">
        <f t="shared" si="13"/>
        <v>368</v>
      </c>
      <c r="B368" s="1111" t="s">
        <v>720</v>
      </c>
      <c r="C368" s="1112" t="s">
        <v>85</v>
      </c>
      <c r="D368" s="483"/>
      <c r="E368" s="1112"/>
      <c r="F368" s="481"/>
      <c r="G368" s="928" t="s">
        <v>650</v>
      </c>
      <c r="H368" s="930" t="s">
        <v>160</v>
      </c>
      <c r="I368" s="933"/>
      <c r="J368" s="1136"/>
      <c r="K368" s="930"/>
      <c r="L368" s="883"/>
      <c r="M368" s="883"/>
      <c r="N368" s="883"/>
      <c r="O368" s="883"/>
      <c r="P368" s="883"/>
      <c r="Q368" s="883"/>
      <c r="R368">
        <f t="shared" si="9"/>
        <v>44</v>
      </c>
      <c r="S368">
        <f>'материал - работа'!B44</f>
        <v>0</v>
      </c>
      <c r="T368">
        <f>'материал - работа'!C44</f>
        <v>0</v>
      </c>
      <c r="U368">
        <f>'материал - работа'!D44</f>
        <v>0</v>
      </c>
      <c r="V368">
        <f>'материал - работа'!E44</f>
        <v>0</v>
      </c>
      <c r="W368">
        <f>'материал - работа'!F44</f>
        <v>0</v>
      </c>
      <c r="X368">
        <f>'материал - работа'!G44</f>
        <v>0</v>
      </c>
    </row>
    <row r="369" spans="1:24">
      <c r="A369" s="883">
        <f t="shared" si="13"/>
        <v>369</v>
      </c>
      <c r="B369" s="1111" t="s">
        <v>721</v>
      </c>
      <c r="C369" s="1112" t="s">
        <v>85</v>
      </c>
      <c r="D369" s="483"/>
      <c r="E369" s="1112"/>
      <c r="F369" s="481"/>
      <c r="G369" s="928" t="s">
        <v>799</v>
      </c>
      <c r="H369" s="930" t="s">
        <v>160</v>
      </c>
      <c r="I369" s="933"/>
      <c r="J369" s="1136"/>
      <c r="K369" s="930"/>
      <c r="L369" s="883"/>
      <c r="M369" s="883"/>
      <c r="N369" s="883"/>
      <c r="O369" s="883"/>
      <c r="P369" s="883"/>
      <c r="Q369" s="883"/>
      <c r="R369">
        <f t="shared" si="9"/>
        <v>45</v>
      </c>
      <c r="S369">
        <f>'материал - работа'!B45</f>
        <v>0</v>
      </c>
      <c r="T369">
        <f>'материал - работа'!C45</f>
        <v>0</v>
      </c>
      <c r="U369">
        <f>'материал - работа'!D45</f>
        <v>0</v>
      </c>
      <c r="V369">
        <f>'материал - работа'!E45</f>
        <v>0</v>
      </c>
      <c r="W369">
        <f>'материал - работа'!F45</f>
        <v>0</v>
      </c>
      <c r="X369">
        <f>'материал - работа'!G45</f>
        <v>0</v>
      </c>
    </row>
    <row r="370" spans="1:24">
      <c r="A370" s="883">
        <f t="shared" si="13"/>
        <v>370</v>
      </c>
      <c r="B370" s="1111" t="s">
        <v>722</v>
      </c>
      <c r="C370" s="1112" t="s">
        <v>85</v>
      </c>
      <c r="D370" s="483"/>
      <c r="E370" s="1112"/>
      <c r="F370" s="481"/>
      <c r="G370" s="928" t="s">
        <v>796</v>
      </c>
      <c r="H370" s="930" t="s">
        <v>160</v>
      </c>
      <c r="I370" s="933"/>
      <c r="J370" s="1136"/>
      <c r="K370" s="930"/>
      <c r="L370" s="883"/>
      <c r="M370" s="883"/>
      <c r="N370" s="883"/>
      <c r="O370" s="883"/>
      <c r="P370" s="883"/>
      <c r="Q370" s="883"/>
      <c r="R370">
        <f t="shared" si="9"/>
        <v>46</v>
      </c>
      <c r="S370" t="str">
        <f>'материал - работа'!B46</f>
        <v>Лента вентиляционная карнизная  0.1х5м</v>
      </c>
      <c r="T370" t="str">
        <f>'материал - работа'!C46</f>
        <v>шт</v>
      </c>
      <c r="U370" t="e">
        <f>'материал - работа'!D46</f>
        <v>#VALUE!</v>
      </c>
      <c r="V370">
        <f>'материал - работа'!E46</f>
        <v>612</v>
      </c>
      <c r="W370">
        <f>'материал - работа'!F46</f>
        <v>0</v>
      </c>
      <c r="X370">
        <f>'материал - работа'!G46</f>
        <v>0</v>
      </c>
    </row>
    <row r="371" spans="1:24">
      <c r="A371" s="883">
        <f t="shared" si="13"/>
        <v>371</v>
      </c>
      <c r="B371" s="1111" t="s">
        <v>723</v>
      </c>
      <c r="C371" s="1112" t="s">
        <v>85</v>
      </c>
      <c r="D371" s="483"/>
      <c r="E371" s="1112"/>
      <c r="F371" s="481"/>
      <c r="G371" s="928"/>
      <c r="H371" s="930"/>
      <c r="I371" s="933"/>
      <c r="J371" s="930"/>
      <c r="K371" s="930"/>
      <c r="L371" s="883"/>
      <c r="M371" s="883"/>
      <c r="N371" s="883"/>
      <c r="O371" s="883"/>
      <c r="P371" s="883"/>
      <c r="Q371" s="883"/>
      <c r="R371">
        <f t="shared" si="9"/>
        <v>47</v>
      </c>
      <c r="S371" t="str">
        <f>'материал - работа'!B47</f>
        <v>Скобы степлерные</v>
      </c>
      <c r="T371" t="str">
        <f>'материал - работа'!C47</f>
        <v>уп</v>
      </c>
      <c r="U371" t="e">
        <f>'материал - работа'!D47</f>
        <v>#VALUE!</v>
      </c>
      <c r="V371">
        <f>'материал - работа'!E47</f>
        <v>0</v>
      </c>
      <c r="W371">
        <f>'материал - работа'!F47</f>
        <v>0</v>
      </c>
      <c r="X371">
        <f>'материал - работа'!G47</f>
        <v>0</v>
      </c>
    </row>
    <row r="372" spans="1:24">
      <c r="A372" s="883">
        <f t="shared" si="13"/>
        <v>372</v>
      </c>
      <c r="B372" s="1145" t="s">
        <v>724</v>
      </c>
      <c r="C372" s="1112" t="s">
        <v>85</v>
      </c>
      <c r="D372" s="483"/>
      <c r="E372" s="1112"/>
      <c r="F372" s="481"/>
      <c r="G372" s="928" t="s">
        <v>653</v>
      </c>
      <c r="H372" s="930" t="s">
        <v>654</v>
      </c>
      <c r="I372" s="933">
        <v>1</v>
      </c>
      <c r="J372" s="1136"/>
      <c r="K372" s="930"/>
      <c r="L372" s="883"/>
      <c r="M372" s="883"/>
      <c r="N372" s="883"/>
      <c r="O372" s="883"/>
      <c r="P372" s="883"/>
      <c r="Q372" s="883"/>
      <c r="R372">
        <f t="shared" si="9"/>
        <v>48</v>
      </c>
      <c r="S372" t="str">
        <f>'материал - работа'!B48</f>
        <v xml:space="preserve">Огнебиозащита Сенеж Проф 23кг         300 гр/м² для II группы </v>
      </c>
      <c r="T372" t="str">
        <f>'материал - работа'!C48</f>
        <v>шт</v>
      </c>
      <c r="U372" t="e">
        <f>'материал - работа'!D48</f>
        <v>#VALUE!</v>
      </c>
      <c r="V372">
        <f>'материал - работа'!E48</f>
        <v>0</v>
      </c>
      <c r="W372" t="e">
        <f>'материал - работа'!F48</f>
        <v>#VALUE!</v>
      </c>
      <c r="X372">
        <f>'материал - работа'!G48</f>
        <v>0</v>
      </c>
    </row>
    <row r="373" spans="1:24">
      <c r="A373" s="883">
        <f t="shared" si="13"/>
        <v>373</v>
      </c>
      <c r="B373" s="1145" t="s">
        <v>725</v>
      </c>
      <c r="C373" s="1112" t="s">
        <v>85</v>
      </c>
      <c r="D373" s="483"/>
      <c r="E373" s="1112"/>
      <c r="F373" s="481"/>
      <c r="G373" s="928" t="s">
        <v>656</v>
      </c>
      <c r="H373" s="930" t="s">
        <v>167</v>
      </c>
      <c r="I373" s="933">
        <v>1</v>
      </c>
      <c r="J373" s="1136"/>
      <c r="K373" s="890"/>
      <c r="L373" s="883"/>
      <c r="M373" s="883"/>
      <c r="N373" s="883"/>
      <c r="O373" s="883"/>
      <c r="P373" s="883"/>
      <c r="Q373" s="883"/>
      <c r="R373">
        <f t="shared" si="9"/>
        <v>49</v>
      </c>
      <c r="S373" t="str">
        <f>'материал - работа'!B49</f>
        <v>стропила 50х200мм - м2</v>
      </c>
      <c r="T373" t="str">
        <f>'материал - работа'!C49</f>
        <v>м2</v>
      </c>
      <c r="U373" t="e">
        <f>'материал - работа'!D49</f>
        <v>#VALUE!</v>
      </c>
      <c r="V373">
        <f>'материал - работа'!E49</f>
        <v>0</v>
      </c>
      <c r="W373">
        <f>'материал - работа'!F49</f>
        <v>0</v>
      </c>
      <c r="X373" t="str">
        <f>'материал - работа'!G49</f>
        <v>м3</v>
      </c>
    </row>
    <row r="374" spans="1:24">
      <c r="A374" s="883">
        <f t="shared" si="13"/>
        <v>374</v>
      </c>
      <c r="B374" s="1145" t="s">
        <v>726</v>
      </c>
      <c r="C374" s="1112" t="s">
        <v>85</v>
      </c>
      <c r="D374" s="483"/>
      <c r="E374" s="1112"/>
      <c r="F374" s="481"/>
      <c r="G374" s="883"/>
      <c r="H374" s="883"/>
      <c r="I374" s="883"/>
      <c r="J374" s="883"/>
      <c r="K374" s="883"/>
      <c r="L374" s="883"/>
      <c r="M374" s="883"/>
      <c r="N374" s="883"/>
      <c r="O374" s="883"/>
      <c r="P374" s="883"/>
      <c r="Q374" s="883"/>
      <c r="R374">
        <f t="shared" si="9"/>
        <v>50</v>
      </c>
      <c r="S374" t="str">
        <f>'материал - работа'!B50</f>
        <v>Брусок 50х50х3000мм - м2</v>
      </c>
      <c r="T374" t="str">
        <f>'материал - работа'!C50</f>
        <v>м2</v>
      </c>
      <c r="U374" t="e">
        <f>'материал - работа'!D50</f>
        <v>#VALUE!</v>
      </c>
      <c r="V374">
        <f>'материал - работа'!E50</f>
        <v>0</v>
      </c>
      <c r="W374">
        <f>'материал - работа'!F50</f>
        <v>0</v>
      </c>
      <c r="X374" t="e">
        <f>'материал - работа'!G50</f>
        <v>#VALUE!</v>
      </c>
    </row>
    <row r="375" spans="1:24">
      <c r="A375" s="883">
        <f t="shared" si="13"/>
        <v>375</v>
      </c>
      <c r="B375" s="1145" t="s">
        <v>727</v>
      </c>
      <c r="C375" s="1112" t="s">
        <v>85</v>
      </c>
      <c r="D375" s="483"/>
      <c r="E375" s="1112"/>
      <c r="F375" s="481"/>
      <c r="G375" s="883"/>
      <c r="H375" s="883"/>
      <c r="I375" s="883"/>
      <c r="J375" s="883"/>
      <c r="K375" s="883"/>
      <c r="L375" s="883"/>
      <c r="M375" s="883"/>
      <c r="N375" s="883"/>
      <c r="O375" s="883"/>
      <c r="P375" s="883"/>
      <c r="Q375" s="883"/>
      <c r="R375">
        <f t="shared" si="9"/>
        <v>51</v>
      </c>
      <c r="S375" t="str">
        <f>'материал - работа'!B51</f>
        <v>Доска 25х150мм - м2</v>
      </c>
      <c r="T375" t="str">
        <f>'материал - работа'!C51</f>
        <v>м2</v>
      </c>
      <c r="U375" t="e">
        <f>'материал - работа'!D51</f>
        <v>#VALUE!</v>
      </c>
      <c r="V375">
        <f>'материал - работа'!E51</f>
        <v>0</v>
      </c>
      <c r="W375" t="str">
        <f>'материал - работа'!F51</f>
        <v>тон.</v>
      </c>
      <c r="X375">
        <f>'материал - работа'!G51</f>
        <v>0</v>
      </c>
    </row>
    <row r="376" spans="1:24">
      <c r="A376" s="883">
        <f t="shared" si="13"/>
        <v>376</v>
      </c>
      <c r="B376" s="1145" t="s">
        <v>728</v>
      </c>
      <c r="C376" s="1112" t="s">
        <v>85</v>
      </c>
      <c r="D376" s="483"/>
      <c r="E376" s="1112"/>
      <c r="F376" s="481"/>
      <c r="G376" s="883"/>
      <c r="H376" s="883"/>
      <c r="I376" s="883"/>
      <c r="J376" s="883"/>
      <c r="K376" s="883"/>
      <c r="L376" s="883"/>
      <c r="M376" s="883"/>
      <c r="N376" s="883"/>
      <c r="O376" s="883"/>
      <c r="P376" s="883"/>
      <c r="Q376" s="883"/>
      <c r="R376">
        <f t="shared" si="9"/>
        <v>52</v>
      </c>
      <c r="S376" t="str">
        <f>'материал - работа'!B52</f>
        <v>Доставка пиломатериал до 10т.</v>
      </c>
      <c r="T376" t="str">
        <f>'материал - работа'!C52</f>
        <v>м3</v>
      </c>
      <c r="U376" t="e">
        <f>'материал - работа'!D52</f>
        <v>#VALUE!</v>
      </c>
      <c r="V376" t="e">
        <f>'материал - работа'!E52</f>
        <v>#VALUE!</v>
      </c>
      <c r="W376" t="e">
        <f>'материал - работа'!F52</f>
        <v>#VALUE!</v>
      </c>
      <c r="X376">
        <f>'материал - работа'!G52</f>
        <v>0</v>
      </c>
    </row>
    <row r="377" spans="1:24">
      <c r="A377" s="883">
        <f t="shared" si="13"/>
        <v>377</v>
      </c>
      <c r="B377" s="1145" t="s">
        <v>733</v>
      </c>
      <c r="C377" s="1112" t="s">
        <v>85</v>
      </c>
      <c r="D377" s="483"/>
      <c r="E377" s="1112"/>
      <c r="F377" s="481"/>
      <c r="G377" s="883"/>
      <c r="H377" s="883"/>
      <c r="I377" s="883"/>
      <c r="J377" s="883"/>
      <c r="K377" s="883"/>
      <c r="L377" s="883"/>
      <c r="M377" s="883"/>
      <c r="N377" s="883"/>
      <c r="O377" s="883"/>
      <c r="P377" s="883"/>
      <c r="Q377" s="883"/>
      <c r="R377">
        <f t="shared" si="9"/>
        <v>53</v>
      </c>
      <c r="S377" t="str">
        <f>'материал - работа'!B53</f>
        <v>Доставка кровля/утепдитель/водосток/комплектующие</v>
      </c>
      <c r="T377" t="str">
        <f>'материал - работа'!C53</f>
        <v>м/см</v>
      </c>
      <c r="U377" t="e">
        <f>'материал - работа'!D53</f>
        <v>#VALUE!</v>
      </c>
      <c r="V377">
        <f>'материал - работа'!E53</f>
        <v>1</v>
      </c>
      <c r="W377" t="str">
        <f>'материал - работа'!F53</f>
        <v>мягкая крыш</v>
      </c>
      <c r="X377" t="str">
        <f>'материал - работа'!G53</f>
        <v>металлоч</v>
      </c>
    </row>
    <row r="378" spans="1:24">
      <c r="A378" s="883">
        <f t="shared" si="13"/>
        <v>378</v>
      </c>
      <c r="B378" s="1145" t="s">
        <v>734</v>
      </c>
      <c r="C378" s="1112" t="s">
        <v>85</v>
      </c>
      <c r="D378" s="483"/>
      <c r="E378" s="1112"/>
      <c r="F378" s="481"/>
      <c r="G378" s="883"/>
      <c r="H378" s="883"/>
      <c r="I378" s="883"/>
      <c r="J378" s="883"/>
      <c r="K378" s="883"/>
      <c r="L378" s="883"/>
      <c r="M378" s="883"/>
      <c r="N378" s="883"/>
      <c r="O378" s="883"/>
      <c r="P378" s="883"/>
      <c r="Q378" s="883"/>
      <c r="R378">
        <f t="shared" si="9"/>
        <v>54</v>
      </c>
      <c r="S378">
        <f>'материал - работа'!B54</f>
        <v>0</v>
      </c>
      <c r="T378">
        <f>'материал - работа'!C54</f>
        <v>0</v>
      </c>
      <c r="U378">
        <f>'материал - работа'!D54</f>
        <v>0</v>
      </c>
      <c r="V378">
        <f>'материал - работа'!E54</f>
        <v>0</v>
      </c>
      <c r="W378">
        <f>'материал - работа'!F54</f>
        <v>0</v>
      </c>
      <c r="X378">
        <f>'материал - работа'!G54</f>
        <v>0</v>
      </c>
    </row>
    <row r="379" spans="1:24">
      <c r="A379" s="883">
        <f t="shared" si="13"/>
        <v>379</v>
      </c>
      <c r="B379" s="1145" t="s">
        <v>735</v>
      </c>
      <c r="C379" s="1112" t="s">
        <v>85</v>
      </c>
      <c r="D379" s="483"/>
      <c r="E379" s="1112"/>
      <c r="F379" s="481"/>
      <c r="G379" s="883"/>
      <c r="H379" s="883"/>
      <c r="I379" s="883"/>
      <c r="J379" s="883"/>
      <c r="K379" s="883"/>
      <c r="L379" s="883"/>
      <c r="M379" s="883"/>
      <c r="N379" s="883"/>
      <c r="O379" s="883"/>
      <c r="P379" s="883"/>
      <c r="Q379" s="883"/>
      <c r="R379">
        <f t="shared" si="9"/>
        <v>55</v>
      </c>
      <c r="S379" t="str">
        <f>'материал - работа'!B55</f>
        <v>Роквул скандик при 150мм утепление</v>
      </c>
      <c r="T379" t="str">
        <f>'материал - работа'!C55</f>
        <v>шт</v>
      </c>
      <c r="U379" t="e">
        <f>'материал - работа'!D55</f>
        <v>#VALUE!</v>
      </c>
      <c r="V379">
        <f>'материал - работа'!E55</f>
        <v>980</v>
      </c>
      <c r="W379">
        <f>'материал - работа'!F55</f>
        <v>0</v>
      </c>
      <c r="X379">
        <f>'материал - работа'!G55</f>
        <v>0</v>
      </c>
    </row>
    <row r="380" spans="1:24">
      <c r="A380" s="883">
        <f t="shared" si="13"/>
        <v>380</v>
      </c>
      <c r="B380" s="1111"/>
      <c r="C380" s="1112"/>
      <c r="D380" s="1112"/>
      <c r="E380" s="1112"/>
      <c r="F380" s="1108"/>
      <c r="G380" s="883"/>
      <c r="H380" s="883"/>
      <c r="I380" s="883"/>
      <c r="J380" s="883"/>
      <c r="K380" s="883"/>
      <c r="L380" s="883"/>
      <c r="M380" s="883"/>
      <c r="N380" s="883"/>
      <c r="O380" s="883"/>
      <c r="P380" s="883"/>
      <c r="Q380" s="883"/>
      <c r="R380">
        <f t="shared" si="9"/>
        <v>56</v>
      </c>
      <c r="S380">
        <f>'материал - работа'!B56</f>
        <v>0</v>
      </c>
      <c r="T380">
        <f>'материал - работа'!C56</f>
        <v>0</v>
      </c>
      <c r="U380">
        <f>'материал - работа'!D56</f>
        <v>0</v>
      </c>
      <c r="V380">
        <f>'материал - работа'!E56</f>
        <v>0</v>
      </c>
      <c r="W380">
        <f>'материал - работа'!F56</f>
        <v>0</v>
      </c>
      <c r="X380">
        <f>'материал - работа'!G56</f>
        <v>0</v>
      </c>
    </row>
    <row r="381" spans="1:24">
      <c r="A381" s="883"/>
      <c r="B381" s="1111"/>
      <c r="C381" s="1112"/>
      <c r="D381" s="1112"/>
      <c r="E381" s="1112"/>
      <c r="F381" s="1108"/>
      <c r="G381" s="883"/>
      <c r="H381" s="883"/>
      <c r="I381" s="883"/>
      <c r="J381" s="883"/>
      <c r="K381" s="883"/>
      <c r="L381" s="883"/>
      <c r="M381" s="883"/>
      <c r="N381" s="883"/>
      <c r="O381" s="883"/>
      <c r="P381" s="883"/>
      <c r="Q381" s="883"/>
      <c r="R381">
        <f t="shared" si="9"/>
        <v>57</v>
      </c>
      <c r="S381">
        <f>'материал - работа'!B57</f>
        <v>0</v>
      </c>
      <c r="T381">
        <f>'материал - работа'!C57</f>
        <v>0</v>
      </c>
      <c r="U381">
        <f>'материал - работа'!D57</f>
        <v>0</v>
      </c>
      <c r="V381">
        <f>'материал - работа'!E57</f>
        <v>0</v>
      </c>
      <c r="W381">
        <f>'материал - работа'!F57</f>
        <v>0</v>
      </c>
      <c r="X381">
        <f>'материал - работа'!G57</f>
        <v>0</v>
      </c>
    </row>
    <row r="382" spans="1:24">
      <c r="A382" s="883"/>
      <c r="B382" s="1111"/>
      <c r="C382" s="1112"/>
      <c r="D382" s="1112"/>
      <c r="E382" s="1112"/>
      <c r="F382" s="1108"/>
      <c r="G382" s="883"/>
      <c r="H382" s="883"/>
      <c r="I382" s="883"/>
      <c r="J382" s="883"/>
      <c r="K382" s="883"/>
      <c r="L382" s="883"/>
      <c r="M382" s="883"/>
      <c r="N382" s="883"/>
      <c r="O382" s="883"/>
      <c r="P382" s="883"/>
      <c r="Q382" s="883"/>
      <c r="R382">
        <f t="shared" si="9"/>
        <v>58</v>
      </c>
      <c r="S382" t="str">
        <f>'материал - работа'!B58</f>
        <v>Работа кровля</v>
      </c>
      <c r="T382">
        <f>'материал - работа'!C58</f>
        <v>0</v>
      </c>
      <c r="U382">
        <f>'материал - работа'!D58</f>
        <v>0</v>
      </c>
      <c r="V382">
        <f>'материал - работа'!E58</f>
        <v>0</v>
      </c>
      <c r="W382">
        <f>'материал - работа'!F58</f>
        <v>0</v>
      </c>
      <c r="X382">
        <f>'материал - работа'!G58</f>
        <v>0</v>
      </c>
    </row>
    <row r="383" spans="1:24">
      <c r="A383" s="883"/>
      <c r="B383" s="1111"/>
      <c r="C383" s="1112"/>
      <c r="D383" s="1112"/>
      <c r="E383" s="1112"/>
      <c r="F383" s="1108"/>
      <c r="G383" s="883"/>
      <c r="H383" s="883"/>
      <c r="I383" s="883"/>
      <c r="J383" s="883"/>
      <c r="K383" s="883"/>
      <c r="L383" s="883"/>
      <c r="M383" s="883"/>
      <c r="N383" s="883"/>
      <c r="O383" s="883"/>
      <c r="P383" s="883"/>
      <c r="Q383" s="883"/>
      <c r="R383">
        <f t="shared" si="9"/>
        <v>59</v>
      </c>
      <c r="S383" t="str">
        <f>'материал - работа'!B59</f>
        <v>Монтаж пароизоляционной мембраны</v>
      </c>
      <c r="T383" t="str">
        <f>'материал - работа'!C59</f>
        <v>м2</v>
      </c>
      <c r="U383">
        <f>'материал - работа'!D59</f>
        <v>0</v>
      </c>
      <c r="V383">
        <f>'материал - работа'!E59</f>
        <v>0</v>
      </c>
      <c r="W383">
        <f>'материал - работа'!F59</f>
        <v>0</v>
      </c>
      <c r="X383">
        <f>'материал - работа'!G59</f>
        <v>0</v>
      </c>
    </row>
    <row r="384" spans="1:24">
      <c r="A384" s="883"/>
      <c r="B384" s="1111"/>
      <c r="C384" s="1112"/>
      <c r="D384" s="1112"/>
      <c r="E384" s="1112"/>
      <c r="F384" s="1108"/>
      <c r="G384" s="883"/>
      <c r="H384" s="883"/>
      <c r="I384" s="883"/>
      <c r="J384" s="883"/>
      <c r="K384" s="883"/>
      <c r="L384" s="883"/>
      <c r="M384" s="883"/>
      <c r="N384" s="883"/>
      <c r="O384" s="883"/>
      <c r="P384" s="883"/>
      <c r="Q384" s="883"/>
      <c r="R384">
        <f t="shared" si="9"/>
        <v>60</v>
      </c>
      <c r="S384" t="str">
        <f>'материал - работа'!B60</f>
        <v>Монтаж утеплителя 150мм</v>
      </c>
      <c r="T384" t="str">
        <f>'материал - работа'!C60</f>
        <v>м2</v>
      </c>
      <c r="U384">
        <f>'материал - работа'!D60</f>
        <v>0</v>
      </c>
      <c r="V384">
        <f>'материал - работа'!E60</f>
        <v>0</v>
      </c>
      <c r="W384">
        <f>'материал - работа'!F60</f>
        <v>0</v>
      </c>
      <c r="X384">
        <f>'материал - работа'!G60</f>
        <v>0</v>
      </c>
    </row>
    <row r="385" spans="1:24">
      <c r="A385" s="883"/>
      <c r="B385" s="1111"/>
      <c r="C385" s="1112"/>
      <c r="D385" s="1112"/>
      <c r="E385" s="1112"/>
      <c r="F385" s="935"/>
      <c r="G385" s="883"/>
      <c r="H385" s="883"/>
      <c r="I385" s="883"/>
      <c r="J385" s="883"/>
      <c r="K385" s="883"/>
      <c r="L385" s="883"/>
      <c r="M385" s="883"/>
      <c r="N385" s="883"/>
      <c r="O385" s="883"/>
      <c r="P385" s="883"/>
      <c r="Q385" s="883"/>
      <c r="R385">
        <f t="shared" si="9"/>
        <v>61</v>
      </c>
      <c r="S385" t="str">
        <f>'материал - работа'!B61</f>
        <v>Монтаж утеплителя 200мм</v>
      </c>
      <c r="T385" t="str">
        <f>'материал - работа'!C61</f>
        <v>м2</v>
      </c>
      <c r="U385">
        <f>'материал - работа'!D61</f>
        <v>0</v>
      </c>
      <c r="V385">
        <f>'материал - работа'!E61</f>
        <v>0</v>
      </c>
      <c r="W385">
        <f>'материал - работа'!F61</f>
        <v>0</v>
      </c>
      <c r="X385">
        <f>'материал - работа'!G61</f>
        <v>0</v>
      </c>
    </row>
    <row r="386" spans="1:24">
      <c r="A386" s="883"/>
      <c r="B386" s="883"/>
      <c r="C386" s="883"/>
      <c r="D386" s="883"/>
      <c r="E386" s="883"/>
      <c r="F386" s="883"/>
      <c r="G386" s="883"/>
      <c r="H386" s="883"/>
      <c r="I386" s="883"/>
      <c r="J386" s="883"/>
      <c r="K386" s="883"/>
      <c r="L386" s="883"/>
      <c r="M386" s="883"/>
      <c r="N386" s="883"/>
      <c r="O386" s="883"/>
      <c r="P386" s="883"/>
      <c r="Q386" s="883"/>
      <c r="R386">
        <f t="shared" ref="R386:R449" si="14">R385+1</f>
        <v>62</v>
      </c>
      <c r="S386" t="str">
        <f>'материал - работа'!B62</f>
        <v>Монтаж гидроизоляционной мембраны</v>
      </c>
      <c r="T386" t="str">
        <f>'материал - работа'!C62</f>
        <v>м2</v>
      </c>
      <c r="U386">
        <f>'материал - работа'!D62</f>
        <v>0</v>
      </c>
      <c r="V386">
        <f>'материал - работа'!E62</f>
        <v>0</v>
      </c>
      <c r="W386">
        <f>'материал - работа'!F62</f>
        <v>0</v>
      </c>
      <c r="X386">
        <f>'материал - работа'!G62</f>
        <v>0</v>
      </c>
    </row>
    <row r="387" spans="1:24">
      <c r="A387" s="883"/>
      <c r="B387" s="883"/>
      <c r="C387" s="883"/>
      <c r="D387" s="883"/>
      <c r="E387" s="883"/>
      <c r="F387" s="883"/>
      <c r="G387" s="883"/>
      <c r="H387" s="883"/>
      <c r="I387" s="883"/>
      <c r="J387" s="883"/>
      <c r="K387" s="883"/>
      <c r="L387" s="883"/>
      <c r="M387" s="883"/>
      <c r="N387" s="883"/>
      <c r="O387" s="883"/>
      <c r="P387" s="883"/>
      <c r="Q387" s="883"/>
      <c r="R387">
        <f t="shared" si="14"/>
        <v>63</v>
      </c>
      <c r="S387" t="str">
        <f>'материал - работа'!B63</f>
        <v>Монтаж стропила 200/150мм</v>
      </c>
      <c r="T387" t="str">
        <f>'материал - работа'!C63</f>
        <v>м2</v>
      </c>
      <c r="U387">
        <f>'материал - работа'!D63</f>
        <v>0</v>
      </c>
      <c r="V387">
        <f>'материал - работа'!E63</f>
        <v>0</v>
      </c>
      <c r="W387">
        <f>'материал - работа'!F63</f>
        <v>0</v>
      </c>
      <c r="X387">
        <f>'материал - работа'!G63</f>
        <v>0</v>
      </c>
    </row>
    <row r="388" spans="1:24">
      <c r="A388" s="883"/>
      <c r="B388" s="883"/>
      <c r="C388" s="883"/>
      <c r="D388" s="883"/>
      <c r="E388" s="883"/>
      <c r="F388" s="883"/>
      <c r="G388" s="883"/>
      <c r="H388" s="883"/>
      <c r="I388" s="883"/>
      <c r="J388" s="883"/>
      <c r="K388" s="883"/>
      <c r="L388" s="883"/>
      <c r="M388" s="883"/>
      <c r="N388" s="883"/>
      <c r="O388" s="883"/>
      <c r="P388" s="883"/>
      <c r="Q388" s="883"/>
      <c r="R388">
        <f t="shared" si="14"/>
        <v>64</v>
      </c>
      <c r="S388" t="str">
        <f>'материал - работа'!B64</f>
        <v>Монтаж контробрешетки</v>
      </c>
      <c r="T388" t="str">
        <f>'материал - работа'!C64</f>
        <v>м2</v>
      </c>
      <c r="U388">
        <f>'материал - работа'!D64</f>
        <v>0</v>
      </c>
      <c r="V388">
        <f>'материал - работа'!E64</f>
        <v>0</v>
      </c>
      <c r="W388">
        <f>'материал - работа'!F64</f>
        <v>0</v>
      </c>
      <c r="X388">
        <f>'материал - работа'!G64</f>
        <v>0</v>
      </c>
    </row>
    <row r="389" spans="1:24">
      <c r="A389" s="883"/>
      <c r="B389" s="883"/>
      <c r="C389" s="883"/>
      <c r="D389" s="883"/>
      <c r="E389" s="883"/>
      <c r="F389" s="883"/>
      <c r="G389" s="883"/>
      <c r="H389" s="883"/>
      <c r="I389" s="883"/>
      <c r="J389" s="883"/>
      <c r="K389" s="883"/>
      <c r="L389" s="883"/>
      <c r="M389" s="883"/>
      <c r="N389" s="883"/>
      <c r="O389" s="883"/>
      <c r="P389" s="883"/>
      <c r="Q389" s="883"/>
      <c r="R389">
        <f t="shared" si="14"/>
        <v>65</v>
      </c>
      <c r="S389" t="str">
        <f>'материал - работа'!B65</f>
        <v>Монтаж уплотнительной ленты</v>
      </c>
      <c r="T389" t="str">
        <f>'материал - работа'!C65</f>
        <v>п.м.</v>
      </c>
      <c r="U389">
        <f>'материал - работа'!D65</f>
        <v>0</v>
      </c>
      <c r="V389">
        <f>'материал - работа'!E65</f>
        <v>0</v>
      </c>
      <c r="W389">
        <f>'материал - работа'!F65</f>
        <v>0</v>
      </c>
      <c r="X389">
        <f>'материал - работа'!G65</f>
        <v>0</v>
      </c>
    </row>
    <row r="390" spans="1:24">
      <c r="A390" s="883"/>
      <c r="B390" s="883"/>
      <c r="C390" s="883"/>
      <c r="D390" s="883"/>
      <c r="E390" s="883"/>
      <c r="F390" s="883"/>
      <c r="G390" s="883"/>
      <c r="H390" s="883"/>
      <c r="I390" s="883"/>
      <c r="J390" s="883"/>
      <c r="K390" s="883"/>
      <c r="L390" s="883"/>
      <c r="M390" s="883"/>
      <c r="N390" s="883"/>
      <c r="O390" s="883"/>
      <c r="P390" s="883"/>
      <c r="Q390" s="883"/>
      <c r="R390">
        <f t="shared" si="14"/>
        <v>66</v>
      </c>
      <c r="S390" t="str">
        <f>'материал - работа'!B66</f>
        <v>Монтаж обрешетки</v>
      </c>
      <c r="T390" t="str">
        <f>'материал - работа'!C66</f>
        <v>м2</v>
      </c>
      <c r="U390">
        <f>'материал - работа'!D66</f>
        <v>0</v>
      </c>
      <c r="V390">
        <f>'материал - работа'!E66</f>
        <v>0</v>
      </c>
      <c r="W390">
        <f>'материал - работа'!F66</f>
        <v>0</v>
      </c>
      <c r="X390">
        <f>'материал - работа'!G66</f>
        <v>0</v>
      </c>
    </row>
    <row r="391" spans="1:24">
      <c r="A391" s="883"/>
      <c r="B391" s="883"/>
      <c r="C391" s="883"/>
      <c r="D391" s="883"/>
      <c r="E391" s="883"/>
      <c r="F391" s="883"/>
      <c r="G391" s="883"/>
      <c r="H391" s="883"/>
      <c r="I391" s="883"/>
      <c r="J391" s="883"/>
      <c r="K391" s="883"/>
      <c r="L391" s="883"/>
      <c r="M391" s="883"/>
      <c r="N391" s="883"/>
      <c r="O391" s="883"/>
      <c r="P391" s="883"/>
      <c r="Q391" s="883"/>
      <c r="R391">
        <f t="shared" si="14"/>
        <v>67</v>
      </c>
      <c r="S391" t="str">
        <f>'материал - работа'!B67</f>
        <v>Обработка септиком</v>
      </c>
      <c r="T391" t="str">
        <f>'материал - работа'!C67</f>
        <v>м2</v>
      </c>
      <c r="U391">
        <f>'материал - работа'!D67</f>
        <v>0</v>
      </c>
      <c r="V391">
        <f>'материал - работа'!E67</f>
        <v>0</v>
      </c>
      <c r="W391">
        <f>'материал - работа'!F67</f>
        <v>0</v>
      </c>
      <c r="X391">
        <f>'материал - работа'!G67</f>
        <v>0</v>
      </c>
    </row>
    <row r="392" spans="1:24">
      <c r="A392" s="883"/>
      <c r="B392" s="883"/>
      <c r="C392" s="883"/>
      <c r="D392" s="883"/>
      <c r="E392" s="883"/>
      <c r="F392" s="883"/>
      <c r="G392" s="883"/>
      <c r="H392" s="883"/>
      <c r="I392" s="883"/>
      <c r="J392" s="883"/>
      <c r="K392" s="883"/>
      <c r="L392" s="883"/>
      <c r="M392" s="883"/>
      <c r="N392" s="883"/>
      <c r="O392" s="883"/>
      <c r="P392" s="883"/>
      <c r="Q392" s="883"/>
      <c r="R392">
        <f t="shared" si="14"/>
        <v>68</v>
      </c>
      <c r="S392" t="str">
        <f>'материал - работа'!B68</f>
        <v>OSB-3 12 мм</v>
      </c>
      <c r="T392" t="str">
        <f>'материал - работа'!C68</f>
        <v>м2</v>
      </c>
      <c r="U392">
        <f>'материал - работа'!D68</f>
        <v>45</v>
      </c>
      <c r="V392">
        <f>'материал - работа'!E68</f>
        <v>0</v>
      </c>
      <c r="W392">
        <f>'материал - работа'!F68</f>
        <v>0</v>
      </c>
      <c r="X392">
        <f>'материал - работа'!G68</f>
        <v>0</v>
      </c>
    </row>
    <row r="393" spans="1:24">
      <c r="A393" s="883"/>
      <c r="B393" s="883"/>
      <c r="C393" s="883"/>
      <c r="D393" s="883"/>
      <c r="E393" s="883"/>
      <c r="F393" s="883"/>
      <c r="G393" s="883"/>
      <c r="H393" s="883"/>
      <c r="I393" s="883"/>
      <c r="J393" s="883"/>
      <c r="K393" s="883"/>
      <c r="L393" s="883"/>
      <c r="M393" s="883"/>
      <c r="N393" s="883"/>
      <c r="O393" s="883"/>
      <c r="P393" s="883"/>
      <c r="Q393" s="883"/>
      <c r="R393">
        <f t="shared" si="14"/>
        <v>69</v>
      </c>
      <c r="S393" t="str">
        <f>'материал - работа'!B69</f>
        <v xml:space="preserve">Монтаж кровельного покрытия </v>
      </c>
      <c r="T393" t="str">
        <f>'материал - работа'!C69</f>
        <v>м2</v>
      </c>
      <c r="U393">
        <f>'материал - работа'!D69</f>
        <v>0</v>
      </c>
      <c r="V393">
        <f>'материал - работа'!E69</f>
        <v>0</v>
      </c>
      <c r="W393">
        <f>'материал - работа'!F69</f>
        <v>0</v>
      </c>
      <c r="X393">
        <f>'материал - работа'!G69</f>
        <v>0</v>
      </c>
    </row>
    <row r="394" spans="1:24">
      <c r="A394" s="883"/>
      <c r="B394" s="883"/>
      <c r="C394" s="883"/>
      <c r="D394" s="883"/>
      <c r="E394" s="883"/>
      <c r="F394" s="883"/>
      <c r="G394" s="883"/>
      <c r="H394" s="883"/>
      <c r="I394" s="883"/>
      <c r="J394" s="883"/>
      <c r="K394" s="883"/>
      <c r="L394" s="883"/>
      <c r="M394" s="883"/>
      <c r="N394" s="883"/>
      <c r="O394" s="883"/>
      <c r="P394" s="883"/>
      <c r="Q394" s="883"/>
      <c r="R394">
        <f t="shared" si="14"/>
        <v>70</v>
      </c>
      <c r="S394" t="str">
        <f>'материал - работа'!B70</f>
        <v>Монтаж подкладочного ковра</v>
      </c>
      <c r="T394" t="str">
        <f>'материал - работа'!C70</f>
        <v>м2</v>
      </c>
      <c r="U394">
        <f>'материал - работа'!D70</f>
        <v>0</v>
      </c>
      <c r="V394">
        <f>'материал - работа'!E70</f>
        <v>0</v>
      </c>
      <c r="W394">
        <f>'материал - работа'!F70</f>
        <v>0</v>
      </c>
      <c r="X394">
        <f>'материал - работа'!G70</f>
        <v>0</v>
      </c>
    </row>
    <row r="395" spans="1:24">
      <c r="A395" s="883"/>
      <c r="B395" s="883"/>
      <c r="C395" s="883"/>
      <c r="D395" s="883"/>
      <c r="E395" s="883"/>
      <c r="F395" s="883"/>
      <c r="G395" s="883"/>
      <c r="H395" s="883"/>
      <c r="I395" s="883"/>
      <c r="J395" s="883"/>
      <c r="K395" s="883"/>
      <c r="L395" s="883"/>
      <c r="M395" s="883"/>
      <c r="N395" s="883"/>
      <c r="O395" s="883"/>
      <c r="P395" s="883"/>
      <c r="Q395" s="883"/>
      <c r="R395">
        <f t="shared" si="14"/>
        <v>71</v>
      </c>
      <c r="S395" t="str">
        <f>'материал - работа'!B71</f>
        <v>Монтаж водостока труба</v>
      </c>
      <c r="T395" t="str">
        <f>'материал - работа'!C71</f>
        <v>п.м.</v>
      </c>
      <c r="U395">
        <f>'материал - работа'!D71</f>
        <v>0</v>
      </c>
      <c r="V395">
        <f>'материал - работа'!E71</f>
        <v>16</v>
      </c>
      <c r="W395">
        <f>'материал - работа'!F71</f>
        <v>16</v>
      </c>
      <c r="X395">
        <f>'материал - работа'!G71</f>
        <v>0</v>
      </c>
    </row>
    <row r="396" spans="1:24">
      <c r="R396">
        <f t="shared" si="14"/>
        <v>72</v>
      </c>
      <c r="S396" t="str">
        <f>'материал - работа'!B72</f>
        <v>Монтаж водостока желоб</v>
      </c>
      <c r="T396" t="str">
        <f>'материал - работа'!C72</f>
        <v>п.м.</v>
      </c>
      <c r="U396">
        <f>'материал - работа'!D72</f>
        <v>0</v>
      </c>
      <c r="V396">
        <f>'материал - работа'!E72</f>
        <v>24</v>
      </c>
      <c r="W396">
        <f>'материал - работа'!F72</f>
        <v>24</v>
      </c>
      <c r="X396">
        <f>'материал - работа'!G72</f>
        <v>0</v>
      </c>
    </row>
    <row r="397" spans="1:24">
      <c r="R397">
        <f t="shared" si="14"/>
        <v>73</v>
      </c>
      <c r="S397" t="str">
        <f>'материал - работа'!B73</f>
        <v>Прием  пиломатериалов для кровли</v>
      </c>
      <c r="T397" t="str">
        <f>'материал - работа'!C73</f>
        <v>м3</v>
      </c>
      <c r="U397">
        <f>'материал - работа'!D73</f>
        <v>0</v>
      </c>
      <c r="V397">
        <f>'материал - работа'!E73</f>
        <v>0</v>
      </c>
      <c r="W397">
        <f>'материал - работа'!F73</f>
        <v>0</v>
      </c>
      <c r="X397" t="str">
        <f>'материал - работа'!G73</f>
        <v>ковер</v>
      </c>
    </row>
    <row r="398" spans="1:24">
      <c r="R398">
        <f t="shared" si="14"/>
        <v>74</v>
      </c>
      <c r="S398" t="str">
        <f>'материал - работа'!B74</f>
        <v>Прием  материалов кровли мягкая</v>
      </c>
      <c r="T398" t="str">
        <f>'материал - работа'!C74</f>
        <v>компл</v>
      </c>
      <c r="U398">
        <f>'материал - работа'!D74</f>
        <v>0</v>
      </c>
      <c r="V398" t="e">
        <f>'материал - работа'!E74</f>
        <v>#VALUE!</v>
      </c>
      <c r="W398" t="e">
        <f>'материал - работа'!F74</f>
        <v>#VALUE!</v>
      </c>
      <c r="X398" t="e">
        <f>'материал - работа'!G74</f>
        <v>#VALUE!</v>
      </c>
    </row>
    <row r="399" spans="1:24">
      <c r="R399">
        <f t="shared" si="14"/>
        <v>75</v>
      </c>
      <c r="S399" t="str">
        <f>'материал - работа'!B75</f>
        <v>Прием  материалов кровли железо</v>
      </c>
      <c r="T399" t="str">
        <f>'материал - работа'!C75</f>
        <v>компл</v>
      </c>
      <c r="U399">
        <f>'материал - работа'!D75</f>
        <v>0</v>
      </c>
      <c r="V399" t="e">
        <f>'материал - работа'!E75</f>
        <v>#VALUE!</v>
      </c>
      <c r="W399">
        <f>'материал - работа'!F75</f>
        <v>915.05049999999994</v>
      </c>
      <c r="X399" t="str">
        <f>'материал - работа'!G75</f>
        <v>ОСБ</v>
      </c>
    </row>
    <row r="400" spans="1:24">
      <c r="R400">
        <f t="shared" si="14"/>
        <v>76</v>
      </c>
      <c r="S400">
        <f>'материал - работа'!B76</f>
        <v>0</v>
      </c>
      <c r="T400">
        <f>'материал - работа'!C76</f>
        <v>0</v>
      </c>
      <c r="U400">
        <f>'материал - работа'!D76</f>
        <v>0</v>
      </c>
      <c r="V400" t="str">
        <f>'материал - работа'!E76</f>
        <v>утепл вес</v>
      </c>
      <c r="W400" t="e">
        <f>'материал - работа'!F76</f>
        <v>#VALUE!</v>
      </c>
      <c r="X400" t="e">
        <f>'материал - работа'!G76</f>
        <v>#VALUE!</v>
      </c>
    </row>
    <row r="401" spans="18:24">
      <c r="R401">
        <f t="shared" si="14"/>
        <v>77</v>
      </c>
      <c r="S401" t="str">
        <f>'материал - работа'!B77</f>
        <v>Водосток пластиковый</v>
      </c>
      <c r="T401">
        <f>'материал - работа'!C77</f>
        <v>0</v>
      </c>
      <c r="U401">
        <f>'материал - работа'!D77</f>
        <v>0</v>
      </c>
      <c r="V401">
        <f>'материал - работа'!E77</f>
        <v>0</v>
      </c>
      <c r="W401" t="str">
        <f>'материал - работа'!F77</f>
        <v>огнебио</v>
      </c>
      <c r="X401">
        <f>'материал - работа'!G77</f>
        <v>0</v>
      </c>
    </row>
    <row r="402" spans="18:24">
      <c r="R402">
        <f t="shared" si="14"/>
        <v>78</v>
      </c>
      <c r="S402" t="str">
        <f>'материал - работа'!B78</f>
        <v>Желоб 3м</v>
      </c>
      <c r="T402" t="str">
        <f>'материал - работа'!C78</f>
        <v>шт</v>
      </c>
      <c r="U402">
        <f>'материал - работа'!D78</f>
        <v>0</v>
      </c>
      <c r="V402">
        <f>'материал - работа'!E78</f>
        <v>0</v>
      </c>
      <c r="W402" t="e">
        <f>'материал - работа'!F78</f>
        <v>#VALUE!</v>
      </c>
      <c r="X402">
        <f>'материал - работа'!G78</f>
        <v>0</v>
      </c>
    </row>
    <row r="403" spans="18:24">
      <c r="R403">
        <f t="shared" si="14"/>
        <v>79</v>
      </c>
      <c r="S403" t="str">
        <f>'материал - работа'!B79</f>
        <v>Соединитель желоба</v>
      </c>
      <c r="T403" t="str">
        <f>'материал - работа'!C79</f>
        <v>шт</v>
      </c>
      <c r="U403">
        <f>'материал - работа'!D79</f>
        <v>0</v>
      </c>
      <c r="V403">
        <f>'материал - работа'!E79</f>
        <v>0</v>
      </c>
      <c r="W403">
        <f>'материал - работа'!F79</f>
        <v>0</v>
      </c>
      <c r="X403">
        <f>'материал - работа'!G79</f>
        <v>0</v>
      </c>
    </row>
    <row r="404" spans="18:24">
      <c r="R404">
        <f t="shared" si="14"/>
        <v>80</v>
      </c>
      <c r="S404" t="str">
        <f>'материал - работа'!B80</f>
        <v>Кронштейн желоба</v>
      </c>
      <c r="T404" t="str">
        <f>'материал - работа'!C80</f>
        <v>шт</v>
      </c>
      <c r="U404">
        <f>'материал - работа'!D80</f>
        <v>0</v>
      </c>
      <c r="V404">
        <f>'материал - работа'!E80</f>
        <v>0</v>
      </c>
      <c r="W404" t="str">
        <f>'материал - работа'!F80</f>
        <v>маст 3,6кг</v>
      </c>
      <c r="X404" t="e">
        <f>'материал - работа'!G80</f>
        <v>#VALUE!</v>
      </c>
    </row>
    <row r="405" spans="18:24">
      <c r="R405">
        <f t="shared" si="14"/>
        <v>81</v>
      </c>
      <c r="S405" t="str">
        <f>'материал - работа'!B81</f>
        <v>Заглушка</v>
      </c>
      <c r="T405" t="str">
        <f>'материал - работа'!C81</f>
        <v>шт</v>
      </c>
      <c r="U405">
        <f>'материал - работа'!D81</f>
        <v>0</v>
      </c>
      <c r="V405">
        <f>'материал - работа'!E81</f>
        <v>0</v>
      </c>
      <c r="W405" t="str">
        <f>'материал - работа'!F81</f>
        <v>маст 12кг</v>
      </c>
      <c r="X405" t="e">
        <f>'материал - работа'!G81</f>
        <v>#VALUE!</v>
      </c>
    </row>
    <row r="406" spans="18:24">
      <c r="R406">
        <f t="shared" si="14"/>
        <v>82</v>
      </c>
      <c r="S406" t="str">
        <f>'материал - работа'!B82</f>
        <v>Воронка</v>
      </c>
      <c r="T406" t="str">
        <f>'материал - работа'!C82</f>
        <v>шт</v>
      </c>
      <c r="U406">
        <f>'материал - работа'!D82</f>
        <v>0</v>
      </c>
      <c r="V406">
        <f>'материал - работа'!E82</f>
        <v>0</v>
      </c>
      <c r="W406">
        <f>'материал - работа'!F82</f>
        <v>0</v>
      </c>
      <c r="X406">
        <f>'материал - работа'!G82</f>
        <v>0</v>
      </c>
    </row>
    <row r="407" spans="18:24">
      <c r="R407">
        <f t="shared" si="14"/>
        <v>83</v>
      </c>
      <c r="S407" t="str">
        <f>'материал - работа'!B83</f>
        <v>Колено</v>
      </c>
      <c r="T407" t="str">
        <f>'материал - работа'!C83</f>
        <v>шт</v>
      </c>
      <c r="U407">
        <f>'материал - работа'!D83</f>
        <v>0</v>
      </c>
      <c r="V407">
        <f>'материал - работа'!E83</f>
        <v>0</v>
      </c>
      <c r="W407">
        <f>'материал - работа'!F83</f>
        <v>0</v>
      </c>
      <c r="X407">
        <f>'материал - работа'!G83</f>
        <v>0</v>
      </c>
    </row>
    <row r="408" spans="18:24">
      <c r="R408">
        <f t="shared" si="14"/>
        <v>84</v>
      </c>
      <c r="S408" t="str">
        <f>'материал - работа'!B84</f>
        <v>Отвод</v>
      </c>
      <c r="T408" t="str">
        <f>'материал - работа'!C84</f>
        <v>шт</v>
      </c>
      <c r="U408">
        <f>'материал - работа'!D84</f>
        <v>0</v>
      </c>
      <c r="V408">
        <f>'материал - работа'!E84</f>
        <v>0</v>
      </c>
      <c r="W408">
        <f>'материал - работа'!F84</f>
        <v>0</v>
      </c>
      <c r="X408">
        <f>'материал - работа'!G84</f>
        <v>0</v>
      </c>
    </row>
    <row r="409" spans="18:24">
      <c r="R409">
        <f t="shared" si="14"/>
        <v>85</v>
      </c>
      <c r="S409" t="str">
        <f>'материал - работа'!B85</f>
        <v>Труба 3м</v>
      </c>
      <c r="T409" t="str">
        <f>'материал - работа'!C85</f>
        <v>шт</v>
      </c>
      <c r="U409">
        <f>'материал - работа'!D85</f>
        <v>0</v>
      </c>
      <c r="V409">
        <f>'материал - работа'!E85</f>
        <v>0</v>
      </c>
      <c r="W409">
        <f>'материал - работа'!F85</f>
        <v>0</v>
      </c>
      <c r="X409">
        <f>'материал - работа'!G85</f>
        <v>0</v>
      </c>
    </row>
    <row r="410" spans="18:24">
      <c r="R410">
        <f t="shared" si="14"/>
        <v>86</v>
      </c>
      <c r="S410" t="str">
        <f>'материал - работа'!B86</f>
        <v>Труба 1м</v>
      </c>
      <c r="T410" t="str">
        <f>'материал - работа'!C86</f>
        <v>шт</v>
      </c>
      <c r="U410">
        <f>'материал - работа'!D86</f>
        <v>0</v>
      </c>
      <c r="V410">
        <f>'материал - работа'!E86</f>
        <v>0</v>
      </c>
      <c r="W410">
        <f>'материал - работа'!F86</f>
        <v>0</v>
      </c>
      <c r="X410">
        <f>'материал - работа'!G86</f>
        <v>0</v>
      </c>
    </row>
    <row r="411" spans="18:24">
      <c r="R411">
        <f t="shared" si="14"/>
        <v>87</v>
      </c>
      <c r="S411" t="str">
        <f>'материал - работа'!B87</f>
        <v>Хомут трубы</v>
      </c>
      <c r="T411" t="str">
        <f>'материал - работа'!C87</f>
        <v>шт</v>
      </c>
      <c r="U411">
        <f>'материал - работа'!D87</f>
        <v>0</v>
      </c>
      <c r="V411">
        <f>'материал - работа'!E87</f>
        <v>0</v>
      </c>
      <c r="W411">
        <f>'материал - работа'!F87</f>
        <v>0</v>
      </c>
      <c r="X411">
        <f>'материал - работа'!G87</f>
        <v>0</v>
      </c>
    </row>
    <row r="412" spans="18:24">
      <c r="R412">
        <f t="shared" si="14"/>
        <v>88</v>
      </c>
      <c r="S412" t="str">
        <f>'материал - работа'!B88</f>
        <v>Муфта трубы</v>
      </c>
      <c r="T412" t="str">
        <f>'материал - работа'!C88</f>
        <v>шт</v>
      </c>
      <c r="U412">
        <f>'материал - работа'!D88</f>
        <v>0</v>
      </c>
      <c r="V412">
        <f>'материал - работа'!E88</f>
        <v>0</v>
      </c>
      <c r="W412">
        <f>'материал - работа'!F88</f>
        <v>0</v>
      </c>
      <c r="X412">
        <f>'материал - работа'!G88</f>
        <v>0</v>
      </c>
    </row>
    <row r="413" spans="18:24">
      <c r="R413">
        <f t="shared" si="14"/>
        <v>89</v>
      </c>
      <c r="S413" t="str">
        <f>'материал - работа'!B89</f>
        <v>Угол желоба 90°</v>
      </c>
      <c r="T413" t="str">
        <f>'материал - работа'!C89</f>
        <v>шт</v>
      </c>
      <c r="U413">
        <f>'материал - работа'!D89</f>
        <v>0</v>
      </c>
      <c r="V413">
        <f>'материал - работа'!E89</f>
        <v>0</v>
      </c>
      <c r="W413">
        <f>'материал - работа'!F89</f>
        <v>0</v>
      </c>
      <c r="X413">
        <f>'материал - работа'!G89</f>
        <v>0</v>
      </c>
    </row>
    <row r="414" spans="18:24">
      <c r="R414">
        <f t="shared" si="14"/>
        <v>90</v>
      </c>
      <c r="S414" t="str">
        <f>'материал - работа'!B90</f>
        <v>Угол желоба 135°</v>
      </c>
      <c r="T414" t="str">
        <f>'материал - работа'!C90</f>
        <v>шт</v>
      </c>
      <c r="U414">
        <f>'материал - работа'!D90</f>
        <v>0</v>
      </c>
      <c r="V414">
        <f>'материал - работа'!E90</f>
        <v>0</v>
      </c>
      <c r="W414">
        <f>'материал - работа'!F90</f>
        <v>0</v>
      </c>
      <c r="X414">
        <f>'материал - работа'!G90</f>
        <v>0</v>
      </c>
    </row>
    <row r="415" spans="18:24">
      <c r="R415">
        <f t="shared" si="14"/>
        <v>91</v>
      </c>
      <c r="S415">
        <f>'материал - работа'!B91</f>
        <v>0</v>
      </c>
      <c r="T415">
        <f>'материал - работа'!C91</f>
        <v>0</v>
      </c>
      <c r="U415">
        <f>'материал - работа'!D91</f>
        <v>0</v>
      </c>
      <c r="V415">
        <f>'материал - работа'!E91</f>
        <v>0</v>
      </c>
      <c r="W415">
        <f>'материал - работа'!F91</f>
        <v>0</v>
      </c>
      <c r="X415">
        <f>'материал - работа'!G91</f>
        <v>0</v>
      </c>
    </row>
    <row r="416" spans="18:24">
      <c r="R416">
        <f t="shared" si="14"/>
        <v>92</v>
      </c>
      <c r="S416" t="str">
        <f>'материал - работа'!B92</f>
        <v>Водосток металлический</v>
      </c>
      <c r="T416">
        <f>'материал - работа'!C92</f>
        <v>0</v>
      </c>
      <c r="U416">
        <f>'материал - работа'!D92</f>
        <v>0</v>
      </c>
      <c r="V416">
        <f>'материал - работа'!E92</f>
        <v>0</v>
      </c>
      <c r="W416">
        <f>'материал - работа'!F92</f>
        <v>0</v>
      </c>
      <c r="X416">
        <f>'материал - работа'!G92</f>
        <v>0</v>
      </c>
    </row>
    <row r="417" spans="18:24">
      <c r="R417">
        <f t="shared" si="14"/>
        <v>93</v>
      </c>
      <c r="S417" t="str">
        <f>'материал - работа'!B93</f>
        <v>Желоб 3м</v>
      </c>
      <c r="T417" t="str">
        <f>'материал - работа'!C93</f>
        <v>шт</v>
      </c>
      <c r="U417">
        <f>'материал - работа'!D93</f>
        <v>0</v>
      </c>
      <c r="V417">
        <f>'материал - работа'!E93</f>
        <v>0</v>
      </c>
      <c r="W417">
        <f>'материал - работа'!F93</f>
        <v>0</v>
      </c>
      <c r="X417">
        <f>'материал - работа'!G93</f>
        <v>0</v>
      </c>
    </row>
    <row r="418" spans="18:24">
      <c r="R418">
        <f t="shared" si="14"/>
        <v>94</v>
      </c>
      <c r="S418" t="str">
        <f>'материал - работа'!B94</f>
        <v>Соединитель желоба</v>
      </c>
      <c r="T418" t="str">
        <f>'материал - работа'!C94</f>
        <v>шт</v>
      </c>
      <c r="U418">
        <f>'материал - работа'!D94</f>
        <v>0</v>
      </c>
      <c r="V418">
        <f>'материал - работа'!E94</f>
        <v>0</v>
      </c>
      <c r="W418">
        <f>'материал - работа'!F94</f>
        <v>0</v>
      </c>
      <c r="X418">
        <f>'материал - работа'!G94</f>
        <v>0</v>
      </c>
    </row>
    <row r="419" spans="18:24">
      <c r="R419">
        <f t="shared" si="14"/>
        <v>95</v>
      </c>
      <c r="S419" t="str">
        <f>'материал - работа'!B95</f>
        <v>Кронштейн желоба</v>
      </c>
      <c r="T419" t="str">
        <f>'материал - работа'!C95</f>
        <v>шт</v>
      </c>
      <c r="U419">
        <f>'материал - работа'!D95</f>
        <v>0</v>
      </c>
      <c r="V419">
        <f>'материал - работа'!E95</f>
        <v>0</v>
      </c>
      <c r="W419">
        <f>'материал - работа'!F95</f>
        <v>0</v>
      </c>
      <c r="X419">
        <f>'материал - работа'!G95</f>
        <v>0</v>
      </c>
    </row>
    <row r="420" spans="18:24">
      <c r="R420">
        <f t="shared" si="14"/>
        <v>96</v>
      </c>
      <c r="S420" t="str">
        <f>'материал - работа'!B96</f>
        <v>Заглушка</v>
      </c>
      <c r="T420" t="str">
        <f>'материал - работа'!C96</f>
        <v>шт</v>
      </c>
      <c r="U420">
        <f>'материал - работа'!D96</f>
        <v>0</v>
      </c>
      <c r="V420">
        <f>'материал - работа'!E96</f>
        <v>0</v>
      </c>
      <c r="W420">
        <f>'материал - работа'!F96</f>
        <v>0</v>
      </c>
      <c r="X420">
        <f>'материал - работа'!G96</f>
        <v>0</v>
      </c>
    </row>
    <row r="421" spans="18:24">
      <c r="R421">
        <f t="shared" si="14"/>
        <v>97</v>
      </c>
      <c r="S421" t="str">
        <f>'материал - работа'!B97</f>
        <v>Воронка</v>
      </c>
      <c r="T421" t="str">
        <f>'материал - работа'!C97</f>
        <v>шт</v>
      </c>
      <c r="U421">
        <f>'материал - работа'!D97</f>
        <v>0</v>
      </c>
      <c r="V421">
        <f>'материал - работа'!E97</f>
        <v>0</v>
      </c>
      <c r="W421">
        <f>'материал - работа'!F97</f>
        <v>0</v>
      </c>
      <c r="X421">
        <f>'материал - работа'!G97</f>
        <v>0</v>
      </c>
    </row>
    <row r="422" spans="18:24">
      <c r="R422">
        <f t="shared" si="14"/>
        <v>98</v>
      </c>
      <c r="S422" t="str">
        <f>'материал - работа'!B98</f>
        <v>Колено</v>
      </c>
      <c r="T422" t="str">
        <f>'материал - работа'!C98</f>
        <v>шт</v>
      </c>
      <c r="U422">
        <f>'материал - работа'!D98</f>
        <v>0</v>
      </c>
      <c r="V422">
        <f>'материал - работа'!E98</f>
        <v>0</v>
      </c>
      <c r="W422">
        <f>'материал - работа'!F98</f>
        <v>0</v>
      </c>
      <c r="X422">
        <f>'материал - работа'!G98</f>
        <v>0</v>
      </c>
    </row>
    <row r="423" spans="18:24">
      <c r="R423">
        <f t="shared" si="14"/>
        <v>99</v>
      </c>
      <c r="S423" t="str">
        <f>'материал - работа'!B99</f>
        <v>Отвод</v>
      </c>
      <c r="T423" t="str">
        <f>'материал - работа'!C99</f>
        <v>шт</v>
      </c>
      <c r="U423">
        <f>'материал - работа'!D99</f>
        <v>2</v>
      </c>
      <c r="V423">
        <f>'материал - работа'!E99</f>
        <v>0</v>
      </c>
      <c r="W423">
        <f>'материал - работа'!F99</f>
        <v>0</v>
      </c>
      <c r="X423">
        <f>'материал - работа'!G99</f>
        <v>0</v>
      </c>
    </row>
    <row r="424" spans="18:24">
      <c r="R424">
        <f t="shared" si="14"/>
        <v>100</v>
      </c>
      <c r="S424" t="str">
        <f>'материал - работа'!B100</f>
        <v>Труба 3м</v>
      </c>
      <c r="T424" t="str">
        <f>'материал - работа'!C100</f>
        <v>шт</v>
      </c>
      <c r="U424">
        <f>'материал - работа'!D100</f>
        <v>4</v>
      </c>
      <c r="V424">
        <f>'материал - работа'!E100</f>
        <v>0</v>
      </c>
      <c r="W424">
        <f>'материал - работа'!F100</f>
        <v>0</v>
      </c>
      <c r="X424">
        <f>'материал - работа'!G100</f>
        <v>0</v>
      </c>
    </row>
    <row r="425" spans="18:24">
      <c r="R425">
        <f t="shared" si="14"/>
        <v>101</v>
      </c>
      <c r="S425" t="str">
        <f>'материал - работа'!B101</f>
        <v>Труба 1м</v>
      </c>
      <c r="T425" t="str">
        <f>'материал - работа'!C101</f>
        <v>шт</v>
      </c>
      <c r="U425">
        <f>'материал - работа'!D101</f>
        <v>2</v>
      </c>
      <c r="V425">
        <f>'материал - работа'!E101</f>
        <v>0</v>
      </c>
      <c r="W425">
        <f>'материал - работа'!F101</f>
        <v>0</v>
      </c>
      <c r="X425">
        <f>'материал - работа'!G101</f>
        <v>0</v>
      </c>
    </row>
    <row r="426" spans="18:24">
      <c r="R426">
        <f t="shared" si="14"/>
        <v>102</v>
      </c>
      <c r="S426" t="str">
        <f>'материал - работа'!B102</f>
        <v>Хомут трубы</v>
      </c>
      <c r="T426" t="str">
        <f>'материал - работа'!C102</f>
        <v>шт</v>
      </c>
      <c r="U426">
        <f>'материал - работа'!D102</f>
        <v>2</v>
      </c>
      <c r="V426">
        <f>'материал - работа'!E102</f>
        <v>0</v>
      </c>
      <c r="W426">
        <f>'материал - работа'!F102</f>
        <v>0</v>
      </c>
      <c r="X426">
        <f>'материал - работа'!G102</f>
        <v>0</v>
      </c>
    </row>
    <row r="427" spans="18:24">
      <c r="R427">
        <f t="shared" si="14"/>
        <v>103</v>
      </c>
      <c r="S427" t="str">
        <f>'материал - работа'!B103</f>
        <v>Угол желоба 90° внутренний</v>
      </c>
      <c r="T427" t="str">
        <f>'материал - работа'!C103</f>
        <v>шт</v>
      </c>
      <c r="U427">
        <f>'материал - работа'!D103</f>
        <v>0</v>
      </c>
      <c r="V427">
        <f>'материал - работа'!E103</f>
        <v>0</v>
      </c>
      <c r="W427">
        <f>'материал - работа'!F103</f>
        <v>0</v>
      </c>
      <c r="X427">
        <f>'материал - работа'!G103</f>
        <v>0</v>
      </c>
    </row>
    <row r="428" spans="18:24">
      <c r="R428">
        <f t="shared" si="14"/>
        <v>104</v>
      </c>
      <c r="S428" t="str">
        <f>'материал - работа'!B104</f>
        <v>Угол желоба 90° внешний</v>
      </c>
      <c r="T428" t="str">
        <f>'материал - работа'!C104</f>
        <v>шт</v>
      </c>
      <c r="U428">
        <f>'материал - работа'!D104</f>
        <v>0</v>
      </c>
      <c r="V428">
        <f>'материал - работа'!E104</f>
        <v>0</v>
      </c>
      <c r="W428">
        <f>'материал - работа'!F104</f>
        <v>0</v>
      </c>
      <c r="X428">
        <f>'материал - работа'!G104</f>
        <v>0</v>
      </c>
    </row>
    <row r="429" spans="18:24">
      <c r="R429">
        <f t="shared" si="14"/>
        <v>105</v>
      </c>
      <c r="S429" t="str">
        <f>'материал - работа'!B105</f>
        <v>Угол желоба наружный 135°</v>
      </c>
      <c r="T429" t="str">
        <f>'материал - работа'!C105</f>
        <v>шт</v>
      </c>
      <c r="U429">
        <f>'материал - работа'!D105</f>
        <v>0</v>
      </c>
      <c r="V429">
        <f>'материал - работа'!E105</f>
        <v>0</v>
      </c>
      <c r="W429">
        <f>'материал - работа'!F105</f>
        <v>0</v>
      </c>
      <c r="X429">
        <f>'материал - работа'!G105</f>
        <v>0</v>
      </c>
    </row>
    <row r="430" spans="18:24">
      <c r="R430">
        <f t="shared" si="14"/>
        <v>106</v>
      </c>
      <c r="S430">
        <f>'материал - работа'!B106</f>
        <v>0</v>
      </c>
      <c r="T430">
        <f>'материал - работа'!C106</f>
        <v>0</v>
      </c>
      <c r="U430">
        <f>'материал - работа'!D106</f>
        <v>0</v>
      </c>
      <c r="V430">
        <f>'материал - работа'!E106</f>
        <v>0</v>
      </c>
      <c r="W430">
        <f>'материал - работа'!F106</f>
        <v>0</v>
      </c>
      <c r="X430">
        <f>'материал - работа'!G106</f>
        <v>0</v>
      </c>
    </row>
  </sheetData>
  <customSheetViews>
    <customSheetView guid="{3274156B-1D2A-4448-883E-F1EEF1AAE0AF}" topLeftCell="A7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50">
    <mergeCell ref="K31:L31"/>
    <mergeCell ref="B26:C26"/>
    <mergeCell ref="B27:C27"/>
    <mergeCell ref="B28:C28"/>
    <mergeCell ref="B29:C29"/>
    <mergeCell ref="K30:L30"/>
    <mergeCell ref="F1:N2"/>
    <mergeCell ref="G16:H16"/>
    <mergeCell ref="G21:H21"/>
    <mergeCell ref="G22:H22"/>
    <mergeCell ref="G23:H23"/>
    <mergeCell ref="F37:N38"/>
    <mergeCell ref="B40:D40"/>
    <mergeCell ref="G40:I40"/>
    <mergeCell ref="B47:D47"/>
    <mergeCell ref="G47:I47"/>
    <mergeCell ref="G61:I61"/>
    <mergeCell ref="B67:D67"/>
    <mergeCell ref="B68:C68"/>
    <mergeCell ref="F79:N80"/>
    <mergeCell ref="B83:C83"/>
    <mergeCell ref="E84:F84"/>
    <mergeCell ref="A85:A91"/>
    <mergeCell ref="E87:F87"/>
    <mergeCell ref="A92:A96"/>
    <mergeCell ref="B96:C96"/>
    <mergeCell ref="A97:A100"/>
    <mergeCell ref="B101:C101"/>
    <mergeCell ref="K101:L101"/>
    <mergeCell ref="G110:L111"/>
    <mergeCell ref="I131:I132"/>
    <mergeCell ref="J131:J132"/>
    <mergeCell ref="K131:K132"/>
    <mergeCell ref="L131:L132"/>
    <mergeCell ref="A165:Q166"/>
    <mergeCell ref="I169:I170"/>
    <mergeCell ref="J169:J170"/>
    <mergeCell ref="K169:K170"/>
    <mergeCell ref="A208:Q209"/>
    <mergeCell ref="I212:I213"/>
    <mergeCell ref="J212:J213"/>
    <mergeCell ref="K212:K213"/>
    <mergeCell ref="A277:Q278"/>
    <mergeCell ref="J343:N343"/>
    <mergeCell ref="G362:K362"/>
    <mergeCell ref="J354:K354"/>
    <mergeCell ref="J355:K355"/>
    <mergeCell ref="J356:K356"/>
    <mergeCell ref="J357:K357"/>
    <mergeCell ref="J358:K358"/>
  </mergeCell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260-2645-47FC-B0D7-6B8B007139E7}">
  <sheetPr codeName="Sheet3">
    <tabColor rgb="FFFF0000"/>
  </sheetPr>
  <dimension ref="A1:U72"/>
  <sheetViews>
    <sheetView workbookViewId="0">
      <selection activeCell="B3" sqref="B3"/>
    </sheetView>
  </sheetViews>
  <sheetFormatPr baseColWidth="10" defaultColWidth="8.83203125" defaultRowHeight="15"/>
  <cols>
    <col min="1" max="1" width="11.1640625" style="544" bestFit="1" customWidth="1"/>
    <col min="2" max="2" width="10" style="544" bestFit="1" customWidth="1"/>
    <col min="3" max="3" width="19.33203125" style="544" customWidth="1"/>
    <col min="4" max="4" width="6.1640625" style="551" customWidth="1"/>
    <col min="5" max="5" width="11" style="544" bestFit="1" customWidth="1"/>
    <col min="6" max="6" width="2.83203125" style="551" bestFit="1" customWidth="1"/>
    <col min="7" max="7" width="18.6640625" style="544" customWidth="1"/>
    <col min="8" max="8" width="9.1640625" style="544" customWidth="1"/>
    <col min="9" max="9" width="11.33203125" style="544" customWidth="1"/>
    <col min="10" max="10" width="6" style="551" customWidth="1"/>
    <col min="11" max="11" width="8.33203125" style="544" bestFit="1" customWidth="1"/>
    <col min="12" max="12" width="8.83203125" style="544"/>
    <col min="13" max="13" width="4.5" style="544" bestFit="1" customWidth="1"/>
    <col min="14" max="16384" width="8.83203125" style="544"/>
  </cols>
  <sheetData>
    <row r="1" spans="1:20" ht="16">
      <c r="A1" s="686"/>
      <c r="B1" s="687"/>
      <c r="C1" s="687"/>
      <c r="D1" s="688"/>
      <c r="E1" s="1204" t="s">
        <v>408</v>
      </c>
      <c r="F1" s="1204"/>
      <c r="G1" s="1205"/>
      <c r="H1" s="686"/>
      <c r="I1" s="1206" t="s">
        <v>409</v>
      </c>
      <c r="J1" s="1206"/>
      <c r="K1" s="1206"/>
      <c r="L1" s="1207"/>
      <c r="M1" s="686"/>
      <c r="N1" s="1208" t="s">
        <v>410</v>
      </c>
      <c r="O1" s="1208"/>
      <c r="P1" s="1209"/>
    </row>
    <row r="2" spans="1:20">
      <c r="A2" s="1202" t="s">
        <v>411</v>
      </c>
      <c r="B2" s="1203"/>
      <c r="C2" s="1203"/>
      <c r="G2" s="689"/>
      <c r="H2" s="1202" t="s">
        <v>412</v>
      </c>
      <c r="I2" s="1203"/>
      <c r="L2" s="689"/>
      <c r="M2" s="690"/>
      <c r="N2" s="691">
        <f>ROUNDUP('Лента - данные'!D16/100,0)</f>
        <v>0</v>
      </c>
      <c r="P2" s="689"/>
    </row>
    <row r="3" spans="1:20" s="693" customFormat="1" ht="16" thickBot="1">
      <c r="A3" s="692"/>
      <c r="B3" s="693">
        <f>'Лента - данные'!D4/5.45</f>
        <v>0</v>
      </c>
      <c r="C3" s="694">
        <f>ROUNDUP(B3,0)*5.85</f>
        <v>0</v>
      </c>
      <c r="D3" s="695" t="s">
        <v>148</v>
      </c>
      <c r="F3" s="695"/>
      <c r="G3" s="696"/>
      <c r="H3" s="697">
        <f>'Лента - данные'!D4*('Лента - данные'!D5+0.1)*(0.1+'Лента - данные'!D14+'Лента - данные'!D15+'Лента - данные'!D13/2)+'Лента - данные'!D6*('Лента - данные'!D7+0.1)*(0.1+'Лента - данные'!D14+'Лента - данные'!D15+'Лента - данные'!D13/2)</f>
        <v>0</v>
      </c>
      <c r="I3" s="691">
        <f>H3</f>
        <v>0</v>
      </c>
      <c r="J3" s="695" t="s">
        <v>63</v>
      </c>
      <c r="L3" s="696"/>
      <c r="M3" s="698"/>
      <c r="N3" s="699"/>
      <c r="O3" s="699"/>
      <c r="P3" s="700"/>
    </row>
    <row r="4" spans="1:20">
      <c r="A4" s="1202" t="s">
        <v>413</v>
      </c>
      <c r="B4" s="1203"/>
      <c r="C4" s="1203"/>
      <c r="G4" s="689"/>
      <c r="H4" s="1202" t="s">
        <v>414</v>
      </c>
      <c r="I4" s="1203"/>
      <c r="L4" s="689"/>
    </row>
    <row r="5" spans="1:20" s="693" customFormat="1">
      <c r="A5" s="692"/>
      <c r="B5" s="693">
        <f>'Лента - данные'!D6/5.45</f>
        <v>0</v>
      </c>
      <c r="C5" s="694">
        <f>ROUNDUP(B5,0)*5.85</f>
        <v>0</v>
      </c>
      <c r="D5" s="695" t="s">
        <v>148</v>
      </c>
      <c r="F5" s="695"/>
      <c r="G5" s="696"/>
      <c r="H5" s="697">
        <f>'Лента - данные'!D4*('Лента - данные'!D5+0.1)+'Лента - данные'!D6*('Лента - данные'!D7+0.1)</f>
        <v>0</v>
      </c>
      <c r="I5" s="691">
        <f>H5</f>
        <v>0</v>
      </c>
      <c r="J5" s="695" t="s">
        <v>160</v>
      </c>
      <c r="L5" s="696"/>
    </row>
    <row r="6" spans="1:20">
      <c r="A6" s="1202" t="s">
        <v>415</v>
      </c>
      <c r="B6" s="1203"/>
      <c r="C6" s="1203"/>
      <c r="G6" s="689"/>
      <c r="H6" s="1212" t="s">
        <v>416</v>
      </c>
      <c r="I6" s="1213"/>
      <c r="L6" s="689"/>
    </row>
    <row r="7" spans="1:20" s="693" customFormat="1">
      <c r="A7" s="692"/>
      <c r="B7" s="693">
        <f>('Лента - данные'!D5-0.06)/0.17</f>
        <v>-0.3529411764705882</v>
      </c>
      <c r="C7" s="694">
        <f>ROUNDUP(B7,0)</f>
        <v>-1</v>
      </c>
      <c r="D7" s="695" t="s">
        <v>417</v>
      </c>
      <c r="F7" s="695"/>
      <c r="G7" s="696"/>
      <c r="H7" s="697">
        <f>H5*'Лента - данные'!D14</f>
        <v>0</v>
      </c>
      <c r="I7" s="691">
        <f>H7</f>
        <v>0</v>
      </c>
      <c r="J7" s="695" t="s">
        <v>63</v>
      </c>
      <c r="L7" s="696"/>
    </row>
    <row r="8" spans="1:20">
      <c r="A8" s="1202" t="s">
        <v>418</v>
      </c>
      <c r="B8" s="1203"/>
      <c r="C8" s="1203"/>
      <c r="G8" s="689"/>
      <c r="H8" s="690" t="s">
        <v>419</v>
      </c>
      <c r="L8" s="689"/>
    </row>
    <row r="9" spans="1:20" s="693" customFormat="1">
      <c r="A9" s="692"/>
      <c r="B9" s="693">
        <f>IF('Лента - данные'!D6=0,0,('Лента - данные'!D7-0.06)/0.15)</f>
        <v>0</v>
      </c>
      <c r="C9" s="694">
        <f>ROUNDUP(B9,0)</f>
        <v>0</v>
      </c>
      <c r="D9" s="695" t="s">
        <v>417</v>
      </c>
      <c r="F9" s="695"/>
      <c r="G9" s="696"/>
      <c r="H9" s="697">
        <f>I5*'Лента - данные'!D15</f>
        <v>0</v>
      </c>
      <c r="I9" s="691">
        <f>H9</f>
        <v>0</v>
      </c>
      <c r="J9" s="695" t="s">
        <v>63</v>
      </c>
      <c r="L9" s="696"/>
    </row>
    <row r="10" spans="1:20" s="693" customFormat="1">
      <c r="A10" s="1202" t="s">
        <v>420</v>
      </c>
      <c r="B10" s="1203"/>
      <c r="C10" s="1203"/>
      <c r="D10" s="551"/>
      <c r="E10" s="544" t="s">
        <v>421</v>
      </c>
      <c r="F10" s="551"/>
      <c r="G10" s="689"/>
      <c r="H10" s="1214" t="s">
        <v>422</v>
      </c>
      <c r="I10" s="1215"/>
      <c r="J10" s="695"/>
      <c r="L10" s="696"/>
    </row>
    <row r="11" spans="1:20" s="693" customFormat="1" ht="33" thickBot="1">
      <c r="A11" s="692"/>
      <c r="B11" s="693">
        <f>('Лента - данные'!D8+'Лента - данные'!D13)/0.3+1</f>
        <v>1</v>
      </c>
      <c r="C11" s="694">
        <f>ROUNDUP(B11,0)</f>
        <v>1</v>
      </c>
      <c r="D11" s="695" t="s">
        <v>417</v>
      </c>
      <c r="E11" s="701">
        <f>(C11*C7*C3+C11*C9*C5)*0.889/1000*1.05</f>
        <v>0</v>
      </c>
      <c r="F11" s="695" t="s">
        <v>423</v>
      </c>
      <c r="G11" s="702" t="s">
        <v>424</v>
      </c>
      <c r="H11" s="703">
        <f>('Лента - данные'!D4)*('Лента - данные'!D5+0.1+0.1*2+'Лента - данные'!D13+('Лента - данные'!D14+'Лента - данные'!D15)*2)+('Лента - данные'!D6*('Лента - данные'!D7+0.1+0.1*2+'Лента - данные'!D13+('Лента - данные'!D14+'Лента - данные'!D15)*2))+('Лента - данные'!D9+'Лента - данные'!D10+'Лента - данные'!D11+'Лента - данные'!D12)*(('Лента - данные'!D5+0.1)*2)</f>
        <v>0</v>
      </c>
      <c r="I11" s="704">
        <f>ROUNDUP(('Лента - данные'!D4+'Лента - данные'!D6)/1000/48,0)</f>
        <v>0</v>
      </c>
      <c r="J11" s="695" t="s">
        <v>160</v>
      </c>
      <c r="K11" s="705">
        <f>IF(('Лента - данные'!D5+0.1+0.1*2+'Лента - данные'!D13+('Лента - данные'!D14+'Лента - данные'!D15)*2)&lt;1.5,1500,2000)</f>
        <v>1500</v>
      </c>
      <c r="L11" s="696"/>
      <c r="N11" s="706" t="s">
        <v>425</v>
      </c>
    </row>
    <row r="12" spans="1:20">
      <c r="A12" s="1202" t="s">
        <v>426</v>
      </c>
      <c r="B12" s="1203"/>
      <c r="C12" s="1203"/>
      <c r="G12" s="689"/>
      <c r="H12" s="707"/>
      <c r="I12" s="687"/>
      <c r="J12" s="688"/>
      <c r="K12" s="687"/>
      <c r="L12" s="687"/>
      <c r="M12" s="687"/>
      <c r="N12" s="1208" t="s">
        <v>427</v>
      </c>
      <c r="O12" s="1208"/>
      <c r="P12" s="1209"/>
    </row>
    <row r="13" spans="1:20" s="693" customFormat="1" ht="64">
      <c r="A13" s="692"/>
      <c r="B13" s="691">
        <f>'Лента - данные'!D9*' Лента-расчеты'!C11*4</f>
        <v>0</v>
      </c>
      <c r="C13" s="694">
        <f>'Лента - данные'!D7+1.4</f>
        <v>1.4</v>
      </c>
      <c r="D13" s="695" t="s">
        <v>148</v>
      </c>
      <c r="E13" s="701">
        <f>'Лента - данные'!D5*5*B13*0.889/1000*1.02</f>
        <v>0</v>
      </c>
      <c r="F13" s="695" t="s">
        <v>423</v>
      </c>
      <c r="G13" s="702" t="s">
        <v>428</v>
      </c>
      <c r="H13" s="703">
        <f>('Лента - данные'!D4+'Лента - данные'!D6)*2*(ROUNDUP(('Лента - данные'!D8+0.1+'Лента - данные'!D13)/0.1,0)*0.1)</f>
        <v>0</v>
      </c>
      <c r="J13" s="695">
        <f>ROUNDUP(('Лента - данные'!D4+'Лента - данные'!D6)/0.9,0)*2</f>
        <v>0</v>
      </c>
      <c r="K13" s="693">
        <f>J13/2</f>
        <v>0</v>
      </c>
      <c r="L13" s="693">
        <f>('Лента - данные'!D8+0.1+'Лента - данные'!D13)*2</f>
        <v>0.2</v>
      </c>
      <c r="N13" s="706" t="s">
        <v>429</v>
      </c>
      <c r="P13" s="708">
        <f>(H13*0.05+J13*('Лента - данные'!D8+0.1+'Лента - данные'!D13)*0.05*0.1+K13*L13*0.05*0.1)*1.05</f>
        <v>0</v>
      </c>
      <c r="Q13" s="709"/>
    </row>
    <row r="14" spans="1:20" ht="80">
      <c r="A14" s="1202" t="s">
        <v>430</v>
      </c>
      <c r="B14" s="1203"/>
      <c r="C14" s="1203"/>
      <c r="G14" s="689"/>
      <c r="H14" s="697">
        <f>('Лента - данные'!D5+0.3)*1000</f>
        <v>300</v>
      </c>
      <c r="I14" s="695" t="s">
        <v>431</v>
      </c>
      <c r="K14" s="710">
        <f>ROUNDUP('Лента - данные'!D4/0.9,0)*2</f>
        <v>0</v>
      </c>
      <c r="M14" s="693" t="s">
        <v>432</v>
      </c>
      <c r="N14" s="711" t="s">
        <v>433</v>
      </c>
      <c r="O14" s="691">
        <f>CEILING(K14/ROUNDDOWN(2000/H14,0),1)</f>
        <v>0</v>
      </c>
      <c r="P14" s="712">
        <f>K14*2</f>
        <v>0</v>
      </c>
      <c r="Q14" s="695">
        <f>FLOOR(2000/H14,1)</f>
        <v>6</v>
      </c>
      <c r="R14" s="695">
        <f>2000-H14*Q14</f>
        <v>200</v>
      </c>
      <c r="S14" s="695">
        <f>IF(R14&gt;H15-1,O14,0)</f>
        <v>0</v>
      </c>
      <c r="T14" s="695">
        <f>S14/FLOOR(2000/H15,1)</f>
        <v>0</v>
      </c>
    </row>
    <row r="15" spans="1:20" s="693" customFormat="1" ht="80">
      <c r="A15" s="692"/>
      <c r="B15" s="691">
        <f>'Лента - данные'!D10*C11*2</f>
        <v>0</v>
      </c>
      <c r="C15" s="694">
        <f>'Лента - данные'!D5+1.4</f>
        <v>1.4</v>
      </c>
      <c r="D15" s="695" t="s">
        <v>148</v>
      </c>
      <c r="E15" s="701">
        <f>'Лента - данные'!D5*6*B15*0.889/1000*1.02</f>
        <v>0</v>
      </c>
      <c r="F15" s="695" t="s">
        <v>423</v>
      </c>
      <c r="G15" s="702" t="s">
        <v>428</v>
      </c>
      <c r="H15" s="697">
        <f>('Лента - данные'!D7+0.3)*1000</f>
        <v>300</v>
      </c>
      <c r="I15" s="693" t="s">
        <v>434</v>
      </c>
      <c r="J15" s="695"/>
      <c r="K15" s="710">
        <f>ROUNDUP('Лента - данные'!D6/0.9,0)*2</f>
        <v>0</v>
      </c>
      <c r="M15" s="693" t="s">
        <v>432</v>
      </c>
      <c r="N15" s="711" t="s">
        <v>433</v>
      </c>
      <c r="O15" s="691">
        <f>CEILING(K15/ROUNDDOWN(2000/H15,0),1)-Q15</f>
        <v>0</v>
      </c>
      <c r="P15" s="712">
        <f>K15*2</f>
        <v>0</v>
      </c>
      <c r="Q15" s="693">
        <f>T14</f>
        <v>0</v>
      </c>
    </row>
    <row r="16" spans="1:20" ht="32">
      <c r="A16" s="1202" t="s">
        <v>435</v>
      </c>
      <c r="B16" s="1203"/>
      <c r="C16" s="1203"/>
      <c r="G16" s="689"/>
      <c r="H16" s="690"/>
      <c r="K16" s="691">
        <f>ROUNDUP(K14*H14/1000+K15*H15/1000,0)</f>
        <v>0</v>
      </c>
      <c r="M16" s="544" t="s">
        <v>148</v>
      </c>
      <c r="N16" s="711" t="s">
        <v>436</v>
      </c>
      <c r="P16" s="689"/>
    </row>
    <row r="17" spans="1:16" s="693" customFormat="1" ht="16">
      <c r="A17" s="692"/>
      <c r="B17" s="691">
        <f>'Лента - данные'!D11*C11*2</f>
        <v>0</v>
      </c>
      <c r="C17" s="694">
        <f>'Лента - данные'!D5+1.4</f>
        <v>1.4</v>
      </c>
      <c r="D17" s="695" t="s">
        <v>148</v>
      </c>
      <c r="E17" s="701">
        <f>C17*B17*0.889/1000*1.02</f>
        <v>0</v>
      </c>
      <c r="F17" s="695" t="s">
        <v>423</v>
      </c>
      <c r="G17" s="702" t="s">
        <v>428</v>
      </c>
      <c r="H17" s="713">
        <f>H13+'Лента - данные'!D4*'Лента - данные'!D5+'Лента - данные'!D6*'Лента - данные'!D7+('Лента - данные'!D4+'Лента - данные'!D6)*0.2</f>
        <v>0</v>
      </c>
      <c r="I17" s="551"/>
      <c r="J17" s="695"/>
      <c r="N17" s="693" t="s">
        <v>437</v>
      </c>
      <c r="P17" s="696"/>
    </row>
    <row r="18" spans="1:16" s="693" customFormat="1" ht="16">
      <c r="A18" s="692"/>
      <c r="B18" s="691">
        <f>'Лента - данные'!D11*C11</f>
        <v>0</v>
      </c>
      <c r="C18" s="694">
        <f>'Лента - данные'!D5*2+1.4</f>
        <v>1.4</v>
      </c>
      <c r="D18" s="695" t="s">
        <v>148</v>
      </c>
      <c r="E18" s="701">
        <f>C18*B18*0.889/1000*1.02</f>
        <v>0</v>
      </c>
      <c r="F18" s="695" t="s">
        <v>423</v>
      </c>
      <c r="G18" s="702" t="s">
        <v>428</v>
      </c>
      <c r="H18" s="714"/>
      <c r="I18" s="551"/>
      <c r="J18" s="695"/>
      <c r="P18" s="696"/>
    </row>
    <row r="19" spans="1:16" ht="32">
      <c r="A19" s="1202" t="s">
        <v>438</v>
      </c>
      <c r="B19" s="1203"/>
      <c r="C19" s="1203"/>
      <c r="G19" s="689"/>
      <c r="H19" s="690"/>
      <c r="K19" s="691">
        <f>(ROUNDUP(('Лента - данные'!D8+'Лента - данные'!D13)/0.1,0))*J13*2/102</f>
        <v>0</v>
      </c>
      <c r="M19" s="693" t="s">
        <v>156</v>
      </c>
      <c r="N19" s="711" t="s">
        <v>439</v>
      </c>
      <c r="P19" s="689"/>
    </row>
    <row r="20" spans="1:16" s="693" customFormat="1" ht="32">
      <c r="A20" s="692"/>
      <c r="B20" s="691">
        <f>'Лента - данные'!D12*C11*2</f>
        <v>0</v>
      </c>
      <c r="C20" s="694">
        <f>1.6</f>
        <v>1.6</v>
      </c>
      <c r="D20" s="695" t="s">
        <v>148</v>
      </c>
      <c r="E20" s="701">
        <f>C20*B20*0.889/1000*1.02</f>
        <v>0</v>
      </c>
      <c r="F20" s="695" t="s">
        <v>423</v>
      </c>
      <c r="G20" s="702" t="s">
        <v>428</v>
      </c>
      <c r="H20" s="692"/>
      <c r="J20" s="695"/>
      <c r="K20" s="691">
        <f>K13*4/130</f>
        <v>0</v>
      </c>
      <c r="M20" s="693" t="s">
        <v>156</v>
      </c>
      <c r="N20" s="706" t="s">
        <v>440</v>
      </c>
      <c r="P20" s="696"/>
    </row>
    <row r="21" spans="1:16">
      <c r="A21" s="1202" t="s">
        <v>441</v>
      </c>
      <c r="B21" s="1203"/>
      <c r="C21" s="1203"/>
      <c r="G21" s="689"/>
      <c r="H21" s="690"/>
      <c r="P21" s="689"/>
    </row>
    <row r="22" spans="1:16" s="693" customFormat="1">
      <c r="A22" s="692" t="s">
        <v>431</v>
      </c>
      <c r="B22" s="691">
        <f>'Лента - данные'!D4/0.2</f>
        <v>0</v>
      </c>
      <c r="C22" s="694">
        <f>('Лента - данные'!D8+'Лента - данные'!D13-0.1)*2+('Лента - данные'!D5-0.06)*2+0.12*2</f>
        <v>-8.0000000000000016E-2</v>
      </c>
      <c r="D22" s="695" t="s">
        <v>148</v>
      </c>
      <c r="E22" s="701">
        <f>B22*C22*0.395/1000*1.05</f>
        <v>0</v>
      </c>
      <c r="F22" s="695" t="s">
        <v>423</v>
      </c>
      <c r="G22" s="696" t="s">
        <v>442</v>
      </c>
      <c r="H22" s="692">
        <f>'Лента - данные'!D5</f>
        <v>0</v>
      </c>
      <c r="I22" s="693">
        <f>ROUNDUP('Лента - данные'!D4/5*2,0)</f>
        <v>0</v>
      </c>
      <c r="J22" s="693">
        <f>'Лента - данные'!D5*I22</f>
        <v>0</v>
      </c>
      <c r="K22" s="693" t="e">
        <f>CEILING(I22/ROUNDDOWN(2/H22,0),1)</f>
        <v>#DIV/0!</v>
      </c>
      <c r="L22" s="1210" t="e">
        <f>K22+K23</f>
        <v>#DIV/0!</v>
      </c>
      <c r="N22" s="693" t="s">
        <v>443</v>
      </c>
      <c r="P22" s="715" t="s">
        <v>444</v>
      </c>
    </row>
    <row r="23" spans="1:16" s="693" customFormat="1" ht="16" thickBot="1">
      <c r="A23" s="692" t="s">
        <v>434</v>
      </c>
      <c r="B23" s="691">
        <f>'Лента - данные'!D6/0.2</f>
        <v>0</v>
      </c>
      <c r="C23" s="694">
        <f>('Лента - данные'!D8+'Лента - данные'!D13-0.1)*2+('Лента - данные'!D7-0.06)*2+0.12*2</f>
        <v>-8.0000000000000016E-2</v>
      </c>
      <c r="D23" s="695" t="s">
        <v>148</v>
      </c>
      <c r="E23" s="701">
        <f>B23*C23*0.395/1000*1.05</f>
        <v>0</v>
      </c>
      <c r="F23" s="695" t="s">
        <v>423</v>
      </c>
      <c r="G23" s="696" t="s">
        <v>442</v>
      </c>
      <c r="H23" s="698">
        <f>'Лента - данные'!D7</f>
        <v>0</v>
      </c>
      <c r="I23" s="699">
        <f>ROUNDUP('Лента - данные'!D6/5*3,0)</f>
        <v>0</v>
      </c>
      <c r="J23" s="699">
        <f>'Лента - данные'!D7*I23</f>
        <v>0</v>
      </c>
      <c r="K23" s="699">
        <f>IF('Лента - данные'!D6=0,0,CEILING(I23/ROUNDDOWN(2/H23,0),1))</f>
        <v>0</v>
      </c>
      <c r="L23" s="1211"/>
      <c r="M23" s="699"/>
      <c r="N23" s="699" t="s">
        <v>445</v>
      </c>
      <c r="O23" s="699"/>
      <c r="P23" s="716" t="s">
        <v>444</v>
      </c>
    </row>
    <row r="24" spans="1:16">
      <c r="A24" s="1202" t="s">
        <v>446</v>
      </c>
      <c r="B24" s="1203"/>
      <c r="C24" s="1203"/>
      <c r="G24" s="689"/>
      <c r="H24" s="686"/>
      <c r="I24" s="687"/>
      <c r="J24" s="688"/>
      <c r="K24" s="687"/>
      <c r="L24" s="1208" t="s">
        <v>447</v>
      </c>
      <c r="M24" s="1208"/>
      <c r="N24" s="1208"/>
      <c r="O24" s="1208"/>
      <c r="P24" s="1209"/>
    </row>
    <row r="25" spans="1:16" s="693" customFormat="1" ht="32">
      <c r="A25" s="692"/>
      <c r="B25" s="691">
        <f>ROUNDUP(C25/(('Лента - данные'!D8+'Лента - данные'!D13-0.05)),0)+1</f>
        <v>1</v>
      </c>
      <c r="C25" s="694">
        <f>ROUNDUP((('Лента - данные'!D4/0.6*' Лента-расчеты'!C7+'Лента - данные'!D6/0.6*' Лента-расчеты'!C9)*('Лента - данные'!D8+'Лента - данные'!D13-0.05)),0)</f>
        <v>0</v>
      </c>
      <c r="D25" s="695" t="s">
        <v>148</v>
      </c>
      <c r="E25" s="701">
        <f>C25*0.889/1000*1.02</f>
        <v>0</v>
      </c>
      <c r="F25" s="695" t="s">
        <v>423</v>
      </c>
      <c r="G25" s="702" t="s">
        <v>448</v>
      </c>
      <c r="H25" s="717" t="e">
        <f>'Лента - данные'!D4/9/I25</f>
        <v>#DIV/0!</v>
      </c>
      <c r="I25" s="693" t="e">
        <f>ROUNDDOWN(1/'Лента - данные'!D5,0)</f>
        <v>#DIV/0!</v>
      </c>
      <c r="J25" s="1218" t="e">
        <f>CEILING(H25+H26,1)</f>
        <v>#DIV/0!</v>
      </c>
      <c r="K25" s="544" t="s">
        <v>184</v>
      </c>
      <c r="L25" s="693">
        <f>'Лента - данные'!D4*'Лента - данные'!D5</f>
        <v>0</v>
      </c>
      <c r="N25" s="1218">
        <f>L25+L26</f>
        <v>0</v>
      </c>
      <c r="O25" s="544" t="s">
        <v>160</v>
      </c>
      <c r="P25" s="696"/>
    </row>
    <row r="26" spans="1:16">
      <c r="A26" s="1202" t="s">
        <v>449</v>
      </c>
      <c r="B26" s="1203"/>
      <c r="C26" s="1203"/>
      <c r="G26" s="689"/>
      <c r="H26" s="718">
        <f>IF('Лента - данные'!D6=0,0,'Лента - данные'!D6/9/I26)</f>
        <v>0</v>
      </c>
      <c r="I26" s="693">
        <f>IF('Лента - данные'!D7=0,0,ROUNDDOWN(1/'Лента - данные'!D7,0))</f>
        <v>0</v>
      </c>
      <c r="J26" s="1210"/>
      <c r="L26" s="693">
        <f>'Лента - данные'!D6*'Лента - данные'!D7</f>
        <v>0</v>
      </c>
      <c r="N26" s="1218"/>
      <c r="P26" s="689"/>
    </row>
    <row r="27" spans="1:16" ht="16" thickBot="1">
      <c r="A27" s="719"/>
      <c r="B27" s="720"/>
      <c r="C27" s="720"/>
      <c r="D27" s="721"/>
      <c r="E27" s="722">
        <f>(E11+E13+E15+E17+E20+E22+E23+E25)*0.03</f>
        <v>0</v>
      </c>
      <c r="F27" s="723" t="s">
        <v>423</v>
      </c>
      <c r="G27" s="724" t="s">
        <v>450</v>
      </c>
      <c r="H27" s="719"/>
      <c r="I27" s="720"/>
      <c r="J27" s="721"/>
      <c r="K27" s="720"/>
      <c r="L27" s="720"/>
      <c r="M27" s="720"/>
      <c r="N27" s="725">
        <f>ROUNDUP(N25*1.2/20,0)</f>
        <v>0</v>
      </c>
      <c r="O27" s="720" t="s">
        <v>451</v>
      </c>
      <c r="P27" s="724"/>
    </row>
    <row r="28" spans="1:16">
      <c r="A28" s="686"/>
      <c r="B28" s="687"/>
      <c r="C28" s="726" t="s">
        <v>452</v>
      </c>
      <c r="D28" s="727"/>
      <c r="E28" s="687"/>
      <c r="F28" s="688"/>
      <c r="G28" s="687"/>
      <c r="H28" s="687"/>
      <c r="I28" s="687"/>
      <c r="J28" s="688"/>
      <c r="K28" s="687"/>
      <c r="L28" s="687"/>
      <c r="M28" s="687"/>
      <c r="N28" s="1219" t="s">
        <v>453</v>
      </c>
      <c r="O28" s="1219"/>
      <c r="P28" s="1220"/>
    </row>
    <row r="29" spans="1:16">
      <c r="A29" s="728">
        <f>'Лента - данные'!D4*'Лента - данные'!D5*(('Лента - данные'!D8+'Лента - данные'!D13+0.1))+'Лента - данные'!D6*'Лента - данные'!D7*(('Лента - данные'!D8+'Лента - данные'!D13+0.1))</f>
        <v>0</v>
      </c>
      <c r="C29" s="689"/>
      <c r="D29" s="729"/>
      <c r="E29" s="544" t="s">
        <v>454</v>
      </c>
      <c r="G29" s="551" t="s">
        <v>455</v>
      </c>
      <c r="H29" s="551" t="s">
        <v>456</v>
      </c>
      <c r="I29" s="551" t="s">
        <v>457</v>
      </c>
      <c r="J29" s="551" t="s">
        <v>458</v>
      </c>
      <c r="L29" s="551" t="s">
        <v>459</v>
      </c>
      <c r="P29" s="689"/>
    </row>
    <row r="30" spans="1:16">
      <c r="A30" s="690"/>
      <c r="C30" s="689"/>
      <c r="D30" s="729"/>
      <c r="G30" s="695" t="s">
        <v>423</v>
      </c>
      <c r="H30" s="695" t="s">
        <v>423</v>
      </c>
      <c r="I30" s="551"/>
      <c r="P30" s="689"/>
    </row>
    <row r="31" spans="1:16" ht="16" thickBot="1">
      <c r="A31" s="719"/>
      <c r="B31" s="720"/>
      <c r="C31" s="724"/>
      <c r="D31" s="730"/>
      <c r="E31" s="725">
        <f>CEILING((G31+H31)/8,1)</f>
        <v>0</v>
      </c>
      <c r="F31" s="721"/>
      <c r="G31" s="731">
        <f>E11+E13+E15+E17+E20+E22+E23+E25+E27</f>
        <v>0</v>
      </c>
      <c r="H31" s="732">
        <f>P13*0.8</f>
        <v>0</v>
      </c>
      <c r="I31" s="733">
        <v>1</v>
      </c>
      <c r="J31" s="733">
        <f>IF(H3&gt;20,1,0)</f>
        <v>0</v>
      </c>
      <c r="K31" s="734">
        <f>+CEILING(H3/34,1)</f>
        <v>0</v>
      </c>
      <c r="L31" s="734">
        <f>ROUNDUP(A29/54,0)</f>
        <v>0</v>
      </c>
      <c r="M31" s="720"/>
      <c r="N31" s="720"/>
      <c r="O31" s="720"/>
      <c r="P31" s="724"/>
    </row>
    <row r="34" spans="1:20" ht="16">
      <c r="B34" s="1216" t="s">
        <v>460</v>
      </c>
      <c r="C34" s="1216"/>
      <c r="D34" s="1216"/>
      <c r="E34" s="735"/>
      <c r="F34" s="735"/>
    </row>
    <row r="35" spans="1:20" ht="16">
      <c r="B35" s="1217" t="s">
        <v>461</v>
      </c>
      <c r="C35" s="1217"/>
      <c r="D35" s="1217"/>
      <c r="E35" s="735"/>
      <c r="F35" s="735"/>
    </row>
    <row r="37" spans="1:20" ht="16" thickBot="1">
      <c r="C37" s="641" t="s">
        <v>401</v>
      </c>
    </row>
    <row r="38" spans="1:20" ht="16">
      <c r="A38" s="686"/>
      <c r="B38" s="687"/>
      <c r="C38" s="687"/>
      <c r="D38" s="688"/>
      <c r="E38" s="1204" t="s">
        <v>408</v>
      </c>
      <c r="F38" s="1204"/>
      <c r="G38" s="1205"/>
      <c r="H38" s="686"/>
      <c r="I38" s="1206" t="s">
        <v>409</v>
      </c>
      <c r="J38" s="1206"/>
      <c r="K38" s="1206"/>
      <c r="L38" s="1207"/>
      <c r="M38" s="686"/>
      <c r="N38" s="1208" t="s">
        <v>410</v>
      </c>
      <c r="O38" s="1208"/>
      <c r="P38" s="1209"/>
    </row>
    <row r="39" spans="1:20">
      <c r="A39" s="1202" t="s">
        <v>411</v>
      </c>
      <c r="B39" s="1203"/>
      <c r="C39" s="1203"/>
      <c r="G39" s="689"/>
      <c r="H39" s="1202" t="s">
        <v>412</v>
      </c>
      <c r="I39" s="1203"/>
      <c r="L39" s="689"/>
      <c r="M39" s="690"/>
      <c r="N39" s="691">
        <f>ROUNDUP('Лента - данные'!D34/100,0)</f>
        <v>0</v>
      </c>
      <c r="O39" s="736"/>
      <c r="P39" s="689"/>
    </row>
    <row r="40" spans="1:20" ht="16" thickBot="1">
      <c r="A40" s="737"/>
      <c r="B40" s="693">
        <f>'Лента - данные'!D4/5.45</f>
        <v>0</v>
      </c>
      <c r="C40" s="694">
        <f>ROUNDUP(B40,0)*5.85</f>
        <v>0</v>
      </c>
      <c r="D40" s="695" t="s">
        <v>148</v>
      </c>
      <c r="E40" s="693"/>
      <c r="F40" s="695"/>
      <c r="G40" s="696"/>
      <c r="H40" s="697">
        <f>'Лента - данные'!D22*('Лента - данные'!D23+0.1)*(0.1+'Лента - данные'!D32+'Лента - данные'!D33+'Лента - данные'!D31/2)+'Лента - данные'!D24*('Лента - данные'!D25+0.1)*(0.1+'Лента - данные'!D32+'Лента - данные'!D33+'Лента - данные'!D31/2)</f>
        <v>0</v>
      </c>
      <c r="I40" s="691">
        <f>H40</f>
        <v>0</v>
      </c>
      <c r="J40" s="695" t="s">
        <v>63</v>
      </c>
      <c r="K40" s="709"/>
      <c r="L40" s="696"/>
      <c r="M40" s="698"/>
      <c r="N40" s="699"/>
      <c r="O40" s="699"/>
      <c r="P40" s="700"/>
      <c r="Q40" s="693"/>
      <c r="R40" s="693"/>
      <c r="S40" s="693"/>
      <c r="T40" s="693"/>
    </row>
    <row r="41" spans="1:20">
      <c r="A41" s="1202" t="s">
        <v>413</v>
      </c>
      <c r="B41" s="1203"/>
      <c r="C41" s="1203"/>
      <c r="G41" s="689"/>
      <c r="H41" s="1202" t="s">
        <v>414</v>
      </c>
      <c r="I41" s="1203"/>
      <c r="L41" s="689"/>
    </row>
    <row r="42" spans="1:20">
      <c r="A42" s="737"/>
      <c r="B42" s="693">
        <f>'Лента - данные'!D24/5.45</f>
        <v>0</v>
      </c>
      <c r="C42" s="694">
        <f>ROUNDUP(B42,0)*5.85</f>
        <v>0</v>
      </c>
      <c r="D42" s="695" t="s">
        <v>148</v>
      </c>
      <c r="E42" s="693"/>
      <c r="F42" s="695"/>
      <c r="G42" s="696"/>
      <c r="H42" s="697">
        <f>'Лента - данные'!D22*('Лента - данные'!D23+0.1)+'Лента - данные'!D24*('Лента - данные'!D25+0.1)</f>
        <v>0</v>
      </c>
      <c r="I42" s="691">
        <f>H42</f>
        <v>0</v>
      </c>
      <c r="J42" s="695" t="s">
        <v>160</v>
      </c>
      <c r="K42" s="709"/>
      <c r="L42" s="696"/>
      <c r="M42" s="693"/>
      <c r="N42" s="693"/>
      <c r="O42" s="693"/>
      <c r="P42" s="693"/>
      <c r="Q42" s="693"/>
      <c r="R42" s="693"/>
      <c r="S42" s="693"/>
      <c r="T42" s="693"/>
    </row>
    <row r="43" spans="1:20">
      <c r="A43" s="1202" t="s">
        <v>415</v>
      </c>
      <c r="B43" s="1203"/>
      <c r="C43" s="1203"/>
      <c r="G43" s="689"/>
      <c r="H43" s="1212" t="s">
        <v>416</v>
      </c>
      <c r="I43" s="1213"/>
      <c r="L43" s="689"/>
    </row>
    <row r="44" spans="1:20">
      <c r="A44" s="692"/>
      <c r="B44" s="693">
        <f>('Лента - данные'!D23-0.06)/0.17</f>
        <v>-0.3529411764705882</v>
      </c>
      <c r="C44" s="694">
        <f>ROUNDUP(B44,0)</f>
        <v>-1</v>
      </c>
      <c r="D44" s="695" t="s">
        <v>417</v>
      </c>
      <c r="E44" s="693"/>
      <c r="F44" s="695"/>
      <c r="G44" s="696"/>
      <c r="H44" s="697">
        <f>H42*'Лента - данные'!D32</f>
        <v>0</v>
      </c>
      <c r="I44" s="691">
        <f>H44</f>
        <v>0</v>
      </c>
      <c r="J44" s="695" t="s">
        <v>63</v>
      </c>
      <c r="K44" s="709"/>
      <c r="L44" s="696"/>
      <c r="M44" s="693"/>
      <c r="N44" s="693"/>
      <c r="O44" s="693"/>
      <c r="P44" s="693"/>
      <c r="Q44" s="693"/>
      <c r="R44" s="693"/>
      <c r="S44" s="693"/>
      <c r="T44" s="693"/>
    </row>
    <row r="45" spans="1:20">
      <c r="A45" s="1202" t="s">
        <v>418</v>
      </c>
      <c r="B45" s="1203"/>
      <c r="C45" s="1203"/>
      <c r="G45" s="689"/>
      <c r="H45" s="690" t="s">
        <v>419</v>
      </c>
      <c r="L45" s="689"/>
    </row>
    <row r="46" spans="1:20">
      <c r="A46" s="737"/>
      <c r="B46" s="693">
        <f>IF('Лента - данные'!D24=0,0,('Лента - данные'!D25-0.06)/0.15)</f>
        <v>0</v>
      </c>
      <c r="C46" s="694">
        <f>ROUNDUP(B46,0)</f>
        <v>0</v>
      </c>
      <c r="D46" s="695" t="s">
        <v>417</v>
      </c>
      <c r="E46" s="693"/>
      <c r="F46" s="695"/>
      <c r="G46" s="696"/>
      <c r="H46" s="697">
        <f>I42*'Лента - данные'!D33</f>
        <v>0</v>
      </c>
      <c r="I46" s="691">
        <f>H46</f>
        <v>0</v>
      </c>
      <c r="J46" s="695" t="s">
        <v>63</v>
      </c>
      <c r="K46" s="709"/>
      <c r="L46" s="696"/>
      <c r="M46" s="693"/>
      <c r="N46" s="693"/>
      <c r="O46" s="693"/>
      <c r="P46" s="693"/>
      <c r="Q46" s="693"/>
      <c r="R46" s="693"/>
      <c r="S46" s="693"/>
      <c r="T46" s="693"/>
    </row>
    <row r="47" spans="1:20">
      <c r="A47" s="1202" t="s">
        <v>420</v>
      </c>
      <c r="B47" s="1203"/>
      <c r="C47" s="1203"/>
      <c r="E47" s="544" t="s">
        <v>421</v>
      </c>
      <c r="G47" s="689"/>
      <c r="H47" s="1214" t="s">
        <v>422</v>
      </c>
      <c r="I47" s="1215"/>
      <c r="J47" s="695"/>
      <c r="K47" s="693"/>
      <c r="L47" s="696"/>
      <c r="M47" s="693"/>
      <c r="N47" s="693"/>
      <c r="O47" s="693"/>
      <c r="P47" s="693"/>
      <c r="Q47" s="693"/>
      <c r="R47" s="693"/>
      <c r="S47" s="693"/>
      <c r="T47" s="693"/>
    </row>
    <row r="48" spans="1:20" ht="33" thickBot="1">
      <c r="A48" s="737"/>
      <c r="B48" s="693">
        <f>('Лента - данные'!D26+'Лента - данные'!D31)/0.3+1</f>
        <v>11</v>
      </c>
      <c r="C48" s="694">
        <f>ROUNDUP(B48,0)</f>
        <v>11</v>
      </c>
      <c r="D48" s="695" t="s">
        <v>417</v>
      </c>
      <c r="E48" s="701">
        <f>(C48*C44*C40+C48*C46*C42)*0.889/1000*1.05</f>
        <v>0</v>
      </c>
      <c r="F48" s="695" t="s">
        <v>423</v>
      </c>
      <c r="G48" s="702" t="s">
        <v>424</v>
      </c>
      <c r="H48" s="703">
        <f>('Лента - данные'!D22)*('Лента - данные'!D23+0.1+0.1*2+'Лента - данные'!D31+('Лента - данные'!D32+'Лента - данные'!D33)*2)+('Лента - данные'!D24*('Лента - данные'!D25+0.1+0.1*2+'Лента - данные'!D31+('Лента - данные'!D32+'Лента - данные'!D33)*2))+('Лента - данные'!D27+'Лента - данные'!D28+'Лента - данные'!D29+'Лента - данные'!D30)*(('Лента - данные'!D23+0.1)*2)</f>
        <v>4.5</v>
      </c>
      <c r="I48" s="704">
        <f>ROUNDUP(('Лента - данные'!D22+'Лента - данные'!D24)/1000/48,0)</f>
        <v>0</v>
      </c>
      <c r="J48" s="695" t="s">
        <v>160</v>
      </c>
      <c r="K48" s="705">
        <f>IF(('Лента - данные'!D23+0.1+0.1*2+'Лента - данные'!D31+('Лента - данные'!D32+'Лента - данные'!D33)*2)&lt;1.5,1500,2000)</f>
        <v>1500</v>
      </c>
      <c r="L48" s="738"/>
      <c r="M48" s="693"/>
      <c r="N48" s="706" t="s">
        <v>425</v>
      </c>
      <c r="O48" s="693"/>
      <c r="P48" s="693"/>
      <c r="Q48" s="693"/>
      <c r="R48" s="693"/>
      <c r="S48" s="693"/>
      <c r="T48" s="693"/>
    </row>
    <row r="49" spans="1:21">
      <c r="A49" s="1202" t="s">
        <v>426</v>
      </c>
      <c r="B49" s="1203"/>
      <c r="C49" s="1203"/>
      <c r="G49" s="689"/>
      <c r="H49" s="707"/>
      <c r="I49" s="687"/>
      <c r="J49" s="688"/>
      <c r="K49" s="687"/>
      <c r="L49" s="687"/>
      <c r="M49" s="687"/>
      <c r="N49" s="1208" t="s">
        <v>427</v>
      </c>
      <c r="O49" s="1208"/>
      <c r="P49" s="1209"/>
    </row>
    <row r="50" spans="1:21" ht="64">
      <c r="A50" s="737"/>
      <c r="B50" s="691">
        <f>' Лента-расчеты'!D27*' Лента-расчеты'!C48*4</f>
        <v>0</v>
      </c>
      <c r="C50" s="694">
        <f>'Лента - данные'!D25+1.4</f>
        <v>1.4</v>
      </c>
      <c r="D50" s="695" t="s">
        <v>148</v>
      </c>
      <c r="E50" s="701">
        <f>'Лента - данные'!D23*5*B50*0.889/1000*1.02</f>
        <v>0</v>
      </c>
      <c r="F50" s="695" t="s">
        <v>423</v>
      </c>
      <c r="G50" s="702" t="s">
        <v>428</v>
      </c>
      <c r="H50" s="703">
        <f>('Лента - данные'!D22+'Лента - данные'!D24)*2*(ROUNDUP(('Лента - данные'!D26+0.1+'Лента - данные'!D31)/0.1,0)*0.1)</f>
        <v>0</v>
      </c>
      <c r="I50" s="709"/>
      <c r="J50" s="695">
        <f>ROUNDUP(('Лента - данные'!D22+'Лента - данные'!D24)/0.9,0)*2</f>
        <v>0</v>
      </c>
      <c r="K50" s="693">
        <f>J50/2</f>
        <v>0</v>
      </c>
      <c r="L50" s="693">
        <f>('Лента - данные'!D26+0.1+'Лента - данные'!D31)*2</f>
        <v>6.2</v>
      </c>
      <c r="M50" s="693"/>
      <c r="N50" s="706" t="s">
        <v>429</v>
      </c>
      <c r="O50" s="693"/>
      <c r="P50" s="708">
        <f>(H50*0.05+J50*('Лента - данные'!D26+0.1+'Лента - данные'!D31)*0.05*0.1+K50*L50*0.05*0.1)*1.05</f>
        <v>0</v>
      </c>
      <c r="Q50" s="709"/>
      <c r="R50" s="693"/>
      <c r="S50" s="693"/>
      <c r="T50" s="693"/>
    </row>
    <row r="51" spans="1:21" ht="80">
      <c r="A51" s="1202" t="s">
        <v>430</v>
      </c>
      <c r="B51" s="1203"/>
      <c r="C51" s="1203"/>
      <c r="G51" s="689"/>
      <c r="H51" s="697">
        <f>('Лента - данные'!D23+0.3)*1000</f>
        <v>300</v>
      </c>
      <c r="I51" s="695" t="s">
        <v>431</v>
      </c>
      <c r="K51" s="710">
        <f>ROUNDUP('Лента - данные'!D22/0.9,0)*2</f>
        <v>0</v>
      </c>
      <c r="M51" s="693" t="s">
        <v>432</v>
      </c>
      <c r="N51" s="711" t="s">
        <v>433</v>
      </c>
      <c r="O51" s="691">
        <f>CEILING(K51/ROUNDDOWN(2000/H51,0),1)</f>
        <v>0</v>
      </c>
      <c r="P51" s="712">
        <f>K51*2</f>
        <v>0</v>
      </c>
      <c r="Q51" s="695">
        <f>FLOOR(2000/H51,1)</f>
        <v>6</v>
      </c>
      <c r="R51" s="695">
        <f>2000-H51*Q51</f>
        <v>200</v>
      </c>
      <c r="S51" s="695">
        <f>IF(R51&gt;H52-1,O51,0)</f>
        <v>0</v>
      </c>
      <c r="T51" s="695">
        <f>S51/FLOOR(2000/H52,1)</f>
        <v>0</v>
      </c>
      <c r="U51" s="736"/>
    </row>
    <row r="52" spans="1:21" ht="80">
      <c r="A52" s="737"/>
      <c r="B52" s="691">
        <f>' Лента-расчеты'!D28*C48*2</f>
        <v>0</v>
      </c>
      <c r="C52" s="694">
        <f>'Лента - данные'!D23+1.4</f>
        <v>1.4</v>
      </c>
      <c r="D52" s="695" t="s">
        <v>148</v>
      </c>
      <c r="E52" s="701">
        <f>'Лента - данные'!D23*6*B52*0.889/1000*1.02</f>
        <v>0</v>
      </c>
      <c r="F52" s="695" t="s">
        <v>423</v>
      </c>
      <c r="G52" s="702" t="s">
        <v>428</v>
      </c>
      <c r="H52" s="697">
        <f>('Лента - данные'!D25+0.3)*1000</f>
        <v>300</v>
      </c>
      <c r="I52" s="693" t="s">
        <v>434</v>
      </c>
      <c r="J52" s="695"/>
      <c r="K52" s="710">
        <f>ROUNDUP('Лента - данные'!D24/0.9,0)*2</f>
        <v>0</v>
      </c>
      <c r="L52" s="693"/>
      <c r="M52" s="693" t="s">
        <v>432</v>
      </c>
      <c r="N52" s="711" t="s">
        <v>433</v>
      </c>
      <c r="O52" s="691">
        <f>CEILING(K52/ROUNDDOWN(2000/H52,0),1)-Q52</f>
        <v>0</v>
      </c>
      <c r="P52" s="712">
        <f>K52*2</f>
        <v>0</v>
      </c>
      <c r="Q52" s="693">
        <f>T51</f>
        <v>0</v>
      </c>
      <c r="R52" s="709"/>
      <c r="S52" s="693"/>
      <c r="T52" s="693"/>
    </row>
    <row r="53" spans="1:21" ht="32">
      <c r="A53" s="1202" t="s">
        <v>435</v>
      </c>
      <c r="B53" s="1203"/>
      <c r="C53" s="1203"/>
      <c r="G53" s="689"/>
      <c r="H53" s="690"/>
      <c r="K53" s="691">
        <f>ROUNDUP(K51*H51/1000+K52*H52/1000,0)</f>
        <v>0</v>
      </c>
      <c r="L53" s="736"/>
      <c r="M53" s="544" t="s">
        <v>148</v>
      </c>
      <c r="N53" s="711" t="s">
        <v>436</v>
      </c>
      <c r="P53" s="689"/>
    </row>
    <row r="54" spans="1:21" ht="16">
      <c r="A54" s="737"/>
      <c r="B54" s="691">
        <f>'Лента - данные'!D29*C48*2</f>
        <v>66</v>
      </c>
      <c r="C54" s="694">
        <f>'Лента - данные'!D23+1.4</f>
        <v>1.4</v>
      </c>
      <c r="D54" s="695" t="s">
        <v>148</v>
      </c>
      <c r="E54" s="701">
        <f>C54*B54*0.889/1000*1.02</f>
        <v>8.3786472000000001E-2</v>
      </c>
      <c r="F54" s="695" t="s">
        <v>423</v>
      </c>
      <c r="G54" s="702" t="s">
        <v>428</v>
      </c>
      <c r="H54" s="713">
        <f>H50+'Лента - данные'!D22*'Лента - данные'!D23+'Лента - данные'!D24*'Лента - данные'!D25+('Лента - данные'!D22+'Лента - данные'!D24)*0.2</f>
        <v>0</v>
      </c>
      <c r="I54" s="641"/>
      <c r="J54" s="695"/>
      <c r="K54" s="693"/>
      <c r="L54" s="693"/>
      <c r="M54" s="693"/>
      <c r="N54" s="693" t="s">
        <v>437</v>
      </c>
      <c r="O54" s="693"/>
      <c r="P54" s="696"/>
      <c r="Q54" s="693"/>
      <c r="R54" s="693"/>
      <c r="S54" s="693"/>
      <c r="T54" s="693"/>
    </row>
    <row r="55" spans="1:21" ht="16">
      <c r="A55" s="737"/>
      <c r="B55" s="691">
        <f>'Лента - данные'!D29*C48</f>
        <v>33</v>
      </c>
      <c r="C55" s="694">
        <f>'Лента - данные'!D23*2+1.4</f>
        <v>1.4</v>
      </c>
      <c r="D55" s="695" t="s">
        <v>148</v>
      </c>
      <c r="E55" s="701">
        <f>C55*B55*0.889/1000*1.02</f>
        <v>4.1893236E-2</v>
      </c>
      <c r="F55" s="695" t="s">
        <v>423</v>
      </c>
      <c r="G55" s="702" t="s">
        <v>428</v>
      </c>
      <c r="H55" s="714"/>
      <c r="I55" s="551"/>
      <c r="J55" s="695"/>
      <c r="K55" s="693"/>
      <c r="L55" s="693"/>
      <c r="M55" s="693"/>
      <c r="N55" s="693"/>
      <c r="O55" s="693"/>
      <c r="P55" s="696"/>
      <c r="Q55" s="693"/>
      <c r="R55" s="693"/>
      <c r="S55" s="693"/>
      <c r="T55" s="693"/>
    </row>
    <row r="56" spans="1:21" ht="32">
      <c r="A56" s="1202" t="s">
        <v>438</v>
      </c>
      <c r="B56" s="1203"/>
      <c r="C56" s="1203"/>
      <c r="G56" s="689"/>
      <c r="H56" s="690"/>
      <c r="K56" s="691">
        <f>(ROUNDUP(('Лента - данные'!D26+'Лента - данные'!D31)/0.1,0))*J50*2/102</f>
        <v>0</v>
      </c>
      <c r="L56" s="736"/>
      <c r="M56" s="693" t="s">
        <v>156</v>
      </c>
      <c r="N56" s="711" t="s">
        <v>439</v>
      </c>
      <c r="P56" s="689"/>
    </row>
    <row r="57" spans="1:21" ht="32">
      <c r="A57" s="737"/>
      <c r="B57" s="691">
        <f>'Лента - данные'!D30*C48*2</f>
        <v>0</v>
      </c>
      <c r="C57" s="694">
        <f>1.6</f>
        <v>1.6</v>
      </c>
      <c r="D57" s="695" t="s">
        <v>148</v>
      </c>
      <c r="E57" s="701">
        <f>C57*B57*0.889/1000*1.02</f>
        <v>0</v>
      </c>
      <c r="F57" s="695" t="s">
        <v>423</v>
      </c>
      <c r="G57" s="702" t="s">
        <v>428</v>
      </c>
      <c r="H57" s="692"/>
      <c r="I57" s="693"/>
      <c r="J57" s="695"/>
      <c r="K57" s="691">
        <f>K50*4/130</f>
        <v>0</v>
      </c>
      <c r="L57" s="709"/>
      <c r="M57" s="693" t="s">
        <v>156</v>
      </c>
      <c r="N57" s="706" t="s">
        <v>440</v>
      </c>
      <c r="O57" s="693"/>
      <c r="P57" s="696"/>
      <c r="Q57" s="693"/>
      <c r="R57" s="693"/>
      <c r="S57" s="693"/>
      <c r="T57" s="693"/>
    </row>
    <row r="58" spans="1:21">
      <c r="A58" s="1202" t="s">
        <v>441</v>
      </c>
      <c r="B58" s="1203"/>
      <c r="C58" s="1203"/>
      <c r="G58" s="689"/>
      <c r="H58" s="690"/>
      <c r="P58" s="689"/>
    </row>
    <row r="59" spans="1:21">
      <c r="A59" s="737" t="s">
        <v>431</v>
      </c>
      <c r="B59" s="691">
        <f>'Лента - данные'!D22/0.2</f>
        <v>0</v>
      </c>
      <c r="C59" s="694">
        <f>('Лента - данные'!D26+'Лента - данные'!D31-0.1)*2+('Лента - данные'!D23-0.06)*2+0.12*2</f>
        <v>5.92</v>
      </c>
      <c r="D59" s="695" t="s">
        <v>148</v>
      </c>
      <c r="E59" s="701">
        <f>B59*C59*0.395/1000*1.05</f>
        <v>0</v>
      </c>
      <c r="F59" s="695" t="s">
        <v>423</v>
      </c>
      <c r="G59" s="696" t="s">
        <v>442</v>
      </c>
      <c r="H59" s="692">
        <f>'Лента - данные'!D23</f>
        <v>0</v>
      </c>
      <c r="I59" s="693">
        <f>ROUNDUP('Лента - данные'!D22/5*2,0)</f>
        <v>0</v>
      </c>
      <c r="J59" s="693">
        <f>'Лента - данные'!D23*I59</f>
        <v>0</v>
      </c>
      <c r="K59" s="693" t="e">
        <f>CEILING(I59/ROUNDDOWN(2/H59,0),1)</f>
        <v>#DIV/0!</v>
      </c>
      <c r="L59" s="1210" t="e">
        <f>K59+K60</f>
        <v>#DIV/0!</v>
      </c>
      <c r="M59" s="693"/>
      <c r="N59" s="693" t="s">
        <v>443</v>
      </c>
      <c r="O59" s="709"/>
      <c r="P59" s="715" t="s">
        <v>444</v>
      </c>
      <c r="Q59" s="693"/>
      <c r="R59" s="693"/>
      <c r="S59" s="693"/>
      <c r="T59" s="693"/>
    </row>
    <row r="60" spans="1:21" ht="16" thickBot="1">
      <c r="A60" s="737" t="s">
        <v>434</v>
      </c>
      <c r="B60" s="691">
        <f>'Лента - данные'!D24/0.2</f>
        <v>0</v>
      </c>
      <c r="C60" s="694">
        <f>('Лента - данные'!D26+'Лента - данные'!D31-0.1)*2+('Лента - данные'!D25-0.06)*2+0.12*2</f>
        <v>5.92</v>
      </c>
      <c r="D60" s="695" t="s">
        <v>148</v>
      </c>
      <c r="E60" s="701">
        <f>B60*C60*0.395/1000*1.05</f>
        <v>0</v>
      </c>
      <c r="F60" s="695" t="s">
        <v>423</v>
      </c>
      <c r="G60" s="696" t="s">
        <v>442</v>
      </c>
      <c r="H60" s="698">
        <f>'Лента - данные'!D25</f>
        <v>0</v>
      </c>
      <c r="I60" s="699">
        <f>ROUNDUP('Лента - данные'!D24/5*3,0)</f>
        <v>0</v>
      </c>
      <c r="J60" s="699">
        <f>'Лента - данные'!D25*I60</f>
        <v>0</v>
      </c>
      <c r="K60" s="699">
        <f>IF('Лента - данные'!D24=0,0,CEILING(I60/ROUNDDOWN(2/H60,0),1))</f>
        <v>0</v>
      </c>
      <c r="L60" s="1211"/>
      <c r="M60" s="699"/>
      <c r="N60" s="699" t="s">
        <v>445</v>
      </c>
      <c r="O60" s="739"/>
      <c r="P60" s="716" t="s">
        <v>444</v>
      </c>
      <c r="Q60" s="693"/>
      <c r="R60" s="693"/>
      <c r="S60" s="693"/>
      <c r="T60" s="693"/>
    </row>
    <row r="61" spans="1:21">
      <c r="A61" s="1202" t="s">
        <v>446</v>
      </c>
      <c r="B61" s="1203"/>
      <c r="C61" s="1203"/>
      <c r="G61" s="689"/>
      <c r="H61" s="686"/>
      <c r="I61" s="687"/>
      <c r="J61" s="688"/>
      <c r="K61" s="687"/>
      <c r="L61" s="1208" t="s">
        <v>447</v>
      </c>
      <c r="M61" s="1208"/>
      <c r="N61" s="1208"/>
      <c r="O61" s="1208"/>
      <c r="P61" s="1209"/>
    </row>
    <row r="62" spans="1:21" ht="32">
      <c r="A62" s="737"/>
      <c r="B62" s="691">
        <f>ROUNDUP(C62/(('Лента - данные'!D26+'Лента - данные'!D31-0.05)),0)+1</f>
        <v>1</v>
      </c>
      <c r="C62" s="694">
        <f>ROUNDUP((('Лента - данные'!D22/0.6*' Лента-расчеты'!C44+'Лента - данные'!D24/0.6*' Лента-расчеты'!C46)*('Лента - данные'!D26+'Лента - данные'!D31-0.05)),0)</f>
        <v>0</v>
      </c>
      <c r="D62" s="695" t="s">
        <v>148</v>
      </c>
      <c r="E62" s="701">
        <f>C62*0.889/1000*1.02</f>
        <v>0</v>
      </c>
      <c r="F62" s="695" t="s">
        <v>423</v>
      </c>
      <c r="G62" s="702" t="s">
        <v>448</v>
      </c>
      <c r="H62" s="717" t="e">
        <f>'Лента - данные'!D22/9/I62</f>
        <v>#DIV/0!</v>
      </c>
      <c r="I62" s="693" t="e">
        <f>ROUNDDOWN(1/'Лента - данные'!D23,0)</f>
        <v>#DIV/0!</v>
      </c>
      <c r="J62" s="1218" t="e">
        <f>CEILING(H62+H63,1)</f>
        <v>#DIV/0!</v>
      </c>
      <c r="K62" s="544" t="s">
        <v>184</v>
      </c>
      <c r="L62" s="693">
        <f>'Лента - данные'!D22*'Лента - данные'!D23</f>
        <v>0</v>
      </c>
      <c r="M62" s="693"/>
      <c r="N62" s="1218">
        <f>L62+L63</f>
        <v>0</v>
      </c>
      <c r="O62" s="544" t="s">
        <v>160</v>
      </c>
      <c r="P62" s="696"/>
      <c r="Q62" s="693"/>
      <c r="R62" s="693"/>
      <c r="S62" s="693"/>
      <c r="T62" s="693"/>
    </row>
    <row r="63" spans="1:21">
      <c r="A63" s="1202" t="s">
        <v>449</v>
      </c>
      <c r="B63" s="1203"/>
      <c r="C63" s="1203"/>
      <c r="G63" s="689"/>
      <c r="H63" s="718">
        <f>IF('Лента - данные'!D24=0,0,'Лента - данные'!D24/9/I63)</f>
        <v>0</v>
      </c>
      <c r="I63" s="693">
        <f>IF('Лента - данные'!D25=0,0,ROUNDDOWN(1/'Лента - данные'!D25,0))</f>
        <v>0</v>
      </c>
      <c r="J63" s="1210"/>
      <c r="L63" s="693">
        <f>'Лента - данные'!D24*'Лента - данные'!D25</f>
        <v>0</v>
      </c>
      <c r="N63" s="1218"/>
      <c r="P63" s="689"/>
    </row>
    <row r="64" spans="1:21" ht="16" thickBot="1">
      <c r="A64" s="719"/>
      <c r="B64" s="720"/>
      <c r="C64" s="720"/>
      <c r="D64" s="721"/>
      <c r="E64" s="722">
        <f>(E48+E50+E52+E54+E57+E59+E60+E62)*0.03</f>
        <v>2.5135941599999999E-3</v>
      </c>
      <c r="F64" s="723" t="s">
        <v>423</v>
      </c>
      <c r="G64" s="724" t="s">
        <v>450</v>
      </c>
      <c r="H64" s="719"/>
      <c r="I64" s="720"/>
      <c r="J64" s="721"/>
      <c r="K64" s="720"/>
      <c r="L64" s="720"/>
      <c r="M64" s="720"/>
      <c r="N64" s="725">
        <f>ROUNDUP(N62*1.2/20,0)</f>
        <v>0</v>
      </c>
      <c r="O64" s="720" t="s">
        <v>451</v>
      </c>
      <c r="P64" s="724"/>
    </row>
    <row r="65" spans="1:16">
      <c r="A65" s="740"/>
      <c r="B65" s="687"/>
      <c r="C65" s="726" t="s">
        <v>452</v>
      </c>
      <c r="D65" s="727"/>
      <c r="E65" s="687"/>
      <c r="F65" s="688"/>
      <c r="G65" s="687"/>
      <c r="H65" s="687"/>
      <c r="I65" s="687"/>
      <c r="J65" s="688"/>
      <c r="K65" s="687"/>
      <c r="L65" s="687"/>
      <c r="M65" s="687"/>
      <c r="N65" s="1219" t="s">
        <v>453</v>
      </c>
      <c r="O65" s="1219"/>
      <c r="P65" s="1220"/>
    </row>
    <row r="66" spans="1:16">
      <c r="A66" s="728">
        <f>'Лента - данные'!D22*'Лента - данные'!D23*(('Лента - данные'!D26+'Лента - данные'!D31+0.1))+'Лента - данные'!D24*'Лента - данные'!D25*(('Лента - данные'!D26+'Лента - данные'!D31+0.1))</f>
        <v>0</v>
      </c>
      <c r="C66" s="689"/>
      <c r="D66" s="729"/>
      <c r="E66" s="544" t="s">
        <v>454</v>
      </c>
      <c r="G66" s="551" t="s">
        <v>455</v>
      </c>
      <c r="H66" s="551" t="s">
        <v>456</v>
      </c>
      <c r="I66" s="551" t="s">
        <v>457</v>
      </c>
      <c r="J66" s="551" t="s">
        <v>458</v>
      </c>
      <c r="L66" s="551" t="s">
        <v>459</v>
      </c>
      <c r="P66" s="689"/>
    </row>
    <row r="67" spans="1:16">
      <c r="A67" s="690"/>
      <c r="C67" s="689"/>
      <c r="D67" s="729"/>
      <c r="G67" s="695" t="s">
        <v>423</v>
      </c>
      <c r="H67" s="695" t="s">
        <v>423</v>
      </c>
      <c r="I67" s="551"/>
      <c r="P67" s="689"/>
    </row>
    <row r="68" spans="1:16" ht="16" thickBot="1">
      <c r="A68" s="719"/>
      <c r="B68" s="720"/>
      <c r="C68" s="724"/>
      <c r="D68" s="730"/>
      <c r="E68" s="725">
        <f>CEILING((G68+H68)/8,1)</f>
        <v>1</v>
      </c>
      <c r="F68" s="721"/>
      <c r="G68" s="731">
        <f>E48+E50+E52+E54+E57+E59+E60+E62+E64</f>
        <v>8.6300066159999994E-2</v>
      </c>
      <c r="H68" s="732">
        <f>P50*0.8</f>
        <v>0</v>
      </c>
      <c r="I68" s="733">
        <v>1</v>
      </c>
      <c r="J68" s="733">
        <f>IF(H40&gt;20,1,0)</f>
        <v>0</v>
      </c>
      <c r="K68" s="734">
        <f>+CEILING(H40/34,1)</f>
        <v>0</v>
      </c>
      <c r="L68" s="734">
        <f>ROUNDUP(A66/54,0)</f>
        <v>0</v>
      </c>
      <c r="M68" s="720"/>
      <c r="N68" s="720"/>
      <c r="O68" s="720"/>
      <c r="P68" s="724"/>
    </row>
    <row r="71" spans="1:16" ht="16">
      <c r="B71" s="1216" t="s">
        <v>460</v>
      </c>
      <c r="C71" s="1216"/>
      <c r="D71" s="1216"/>
      <c r="E71" s="735"/>
      <c r="F71" s="735"/>
    </row>
    <row r="72" spans="1:16" ht="16">
      <c r="B72" s="1217" t="s">
        <v>461</v>
      </c>
      <c r="C72" s="1217"/>
      <c r="D72" s="1217"/>
      <c r="E72" s="735"/>
      <c r="F72" s="735"/>
    </row>
  </sheetData>
  <sheetProtection algorithmName="SHA-512" hashValue="zTmW96Gy37SSfg7Iaxr48PzFK/BjXzAS5qDvPqMHuObhwAzYke3oZyROM6nlKrZ26L/z7GvKKe8VyiXylqui2w==" saltValue="gYOgXvaaX4O76/9c39QAiA==" spinCount="100000" sheet="1" objects="1" scenarios="1"/>
  <customSheetViews>
    <customSheetView guid="{3274156B-1D2A-4448-883E-F1EEF1AAE0AF}" state="hidden">
      <selection activeCell="B3" sqref="B3"/>
      <pageMargins left="0.7" right="0.7" top="0.75" bottom="0.75" header="0.3" footer="0.3"/>
    </customSheetView>
  </customSheetViews>
  <mergeCells count="54">
    <mergeCell ref="B72:D72"/>
    <mergeCell ref="J62:J63"/>
    <mergeCell ref="N62:N63"/>
    <mergeCell ref="A63:C63"/>
    <mergeCell ref="N65:P65"/>
    <mergeCell ref="B71:D71"/>
    <mergeCell ref="A53:C53"/>
    <mergeCell ref="A56:C56"/>
    <mergeCell ref="A58:C58"/>
    <mergeCell ref="L59:L60"/>
    <mergeCell ref="A61:C61"/>
    <mergeCell ref="L61:P61"/>
    <mergeCell ref="A47:C47"/>
    <mergeCell ref="H47:I47"/>
    <mergeCell ref="A49:C49"/>
    <mergeCell ref="N49:P49"/>
    <mergeCell ref="A51:C51"/>
    <mergeCell ref="A41:C41"/>
    <mergeCell ref="H41:I41"/>
    <mergeCell ref="A43:C43"/>
    <mergeCell ref="H43:I43"/>
    <mergeCell ref="A45:C45"/>
    <mergeCell ref="E38:G38"/>
    <mergeCell ref="I38:L38"/>
    <mergeCell ref="N38:P38"/>
    <mergeCell ref="A39:C39"/>
    <mergeCell ref="H39:I39"/>
    <mergeCell ref="B34:D34"/>
    <mergeCell ref="B35:D35"/>
    <mergeCell ref="A24:C24"/>
    <mergeCell ref="L24:P24"/>
    <mergeCell ref="J25:J26"/>
    <mergeCell ref="N25:N26"/>
    <mergeCell ref="A26:C26"/>
    <mergeCell ref="N28:P28"/>
    <mergeCell ref="N12:P12"/>
    <mergeCell ref="A14:C14"/>
    <mergeCell ref="A16:C16"/>
    <mergeCell ref="A19:C19"/>
    <mergeCell ref="A21:C21"/>
    <mergeCell ref="L22:L23"/>
    <mergeCell ref="A6:C6"/>
    <mergeCell ref="H6:I6"/>
    <mergeCell ref="A8:C8"/>
    <mergeCell ref="A10:C10"/>
    <mergeCell ref="H10:I10"/>
    <mergeCell ref="A12:C12"/>
    <mergeCell ref="A4:C4"/>
    <mergeCell ref="H4:I4"/>
    <mergeCell ref="E1:G1"/>
    <mergeCell ref="I1:L1"/>
    <mergeCell ref="N1:P1"/>
    <mergeCell ref="A2:C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A99C-7587-4D2D-B40E-40CCDAE4616A}">
  <sheetPr codeName="Sheet4">
    <tabColor rgb="FFFF0000"/>
  </sheetPr>
  <dimension ref="A1:XFD85"/>
  <sheetViews>
    <sheetView topLeftCell="A5" zoomScale="90" zoomScaleNormal="90" workbookViewId="0">
      <selection activeCell="G19" sqref="G19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7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7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7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7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7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7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7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7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7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7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7">
      <c r="A12" s="1228"/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7" s="157" customFormat="1">
      <c r="A13" s="189" t="s">
        <v>146</v>
      </c>
      <c r="B13" s="161"/>
      <c r="C13" s="190"/>
      <c r="D13" s="232"/>
      <c r="E13" s="163"/>
      <c r="F13" s="42"/>
      <c r="G13" s="161"/>
      <c r="H13" s="82"/>
      <c r="I13" s="233"/>
      <c r="J13" s="84"/>
      <c r="K13" s="85"/>
      <c r="L13"/>
      <c r="M13"/>
      <c r="N13"/>
      <c r="O13"/>
      <c r="P13"/>
      <c r="Q13"/>
    </row>
    <row r="14" spans="1:17" s="157" customFormat="1">
      <c r="A14" s="189" t="s">
        <v>164</v>
      </c>
      <c r="B14" s="161"/>
      <c r="C14" s="190"/>
      <c r="D14" s="199"/>
      <c r="E14" s="163"/>
      <c r="F14" s="42"/>
      <c r="G14" s="161"/>
      <c r="H14" s="82"/>
      <c r="I14" s="191"/>
      <c r="J14" s="84"/>
      <c r="K14" s="85"/>
      <c r="L14"/>
      <c r="M14"/>
      <c r="N14"/>
      <c r="O14"/>
      <c r="P14"/>
      <c r="Q14"/>
    </row>
    <row r="15" spans="1:17" s="157" customFormat="1">
      <c r="A15" s="189"/>
      <c r="B15" s="161"/>
      <c r="C15" s="190"/>
      <c r="D15" s="163"/>
      <c r="E15" s="163"/>
      <c r="F15" s="42"/>
      <c r="G15" s="200"/>
      <c r="H15" s="201"/>
      <c r="I15" s="202"/>
      <c r="J15" s="203"/>
      <c r="K15" s="173"/>
      <c r="L15"/>
      <c r="M15"/>
      <c r="N15"/>
      <c r="O15"/>
      <c r="P15"/>
      <c r="Q15"/>
    </row>
    <row r="16" spans="1:17" s="157" customFormat="1">
      <c r="A16" s="189" t="s">
        <v>196</v>
      </c>
      <c r="B16" s="161"/>
      <c r="C16" s="190"/>
      <c r="D16" s="163"/>
      <c r="E16" s="163"/>
      <c r="F16" s="42"/>
      <c r="G16" s="195"/>
      <c r="H16" s="196"/>
      <c r="I16" s="204"/>
      <c r="J16" s="196"/>
      <c r="K16" s="173"/>
      <c r="L16"/>
      <c r="M16"/>
      <c r="N16"/>
      <c r="O16"/>
      <c r="P16"/>
      <c r="Q16"/>
    </row>
    <row r="17" spans="1:17" s="157" customFormat="1">
      <c r="A17" s="189"/>
      <c r="B17" s="161"/>
      <c r="C17" s="190"/>
      <c r="D17" s="163"/>
      <c r="E17" s="163"/>
      <c r="F17" s="42"/>
      <c r="G17" s="205"/>
      <c r="H17" s="42"/>
      <c r="I17" s="206"/>
      <c r="J17" s="42"/>
      <c r="K17" s="85"/>
      <c r="L17"/>
      <c r="M17"/>
      <c r="N17"/>
      <c r="O17"/>
      <c r="P17"/>
      <c r="Q17"/>
    </row>
    <row r="18" spans="1:17" s="157" customFormat="1">
      <c r="A18" s="189"/>
      <c r="B18" s="161"/>
      <c r="C18" s="190"/>
      <c r="D18" s="163"/>
      <c r="E18" s="163"/>
      <c r="F18" s="42"/>
      <c r="G18" s="205"/>
      <c r="H18" s="42"/>
      <c r="I18" s="206"/>
      <c r="J18" s="42"/>
      <c r="K18" s="85"/>
      <c r="L18"/>
      <c r="M18"/>
      <c r="N18"/>
      <c r="O18"/>
      <c r="P18"/>
      <c r="Q18"/>
    </row>
    <row r="19" spans="1:17" s="157" customFormat="1">
      <c r="A19" s="189"/>
      <c r="B19" s="161"/>
      <c r="C19" s="190"/>
      <c r="D19" s="163"/>
      <c r="E19" s="163"/>
      <c r="F19" s="42"/>
      <c r="G19" s="195"/>
      <c r="H19" s="42"/>
      <c r="I19" s="197"/>
      <c r="J19" s="42"/>
      <c r="K19" s="85"/>
      <c r="L19"/>
      <c r="M19"/>
      <c r="N19"/>
      <c r="O19"/>
      <c r="P19"/>
      <c r="Q19"/>
    </row>
    <row r="20" spans="1:17" s="157" customFormat="1">
      <c r="A20" s="189" t="s">
        <v>225</v>
      </c>
      <c r="B20" s="161"/>
      <c r="C20" s="190"/>
      <c r="D20" s="207"/>
      <c r="E20" s="163"/>
      <c r="F20" s="42"/>
      <c r="G20" s="195"/>
      <c r="H20" s="42"/>
      <c r="I20" s="197"/>
      <c r="J20" s="42"/>
      <c r="K20" s="85"/>
      <c r="L20"/>
      <c r="M20"/>
      <c r="N20"/>
      <c r="O20"/>
      <c r="P20"/>
      <c r="Q20"/>
    </row>
    <row r="21" spans="1:17" s="157" customFormat="1">
      <c r="A21" s="189"/>
      <c r="B21" s="161"/>
      <c r="C21" s="190"/>
      <c r="D21" s="163"/>
      <c r="E21" s="163"/>
      <c r="F21" s="42"/>
      <c r="G21" s="87"/>
      <c r="H21" s="42"/>
      <c r="I21" s="197"/>
      <c r="J21" s="42"/>
      <c r="K21" s="85"/>
      <c r="L21"/>
      <c r="M21"/>
      <c r="N21"/>
      <c r="O21"/>
      <c r="P21"/>
      <c r="Q21"/>
    </row>
    <row r="22" spans="1:17" s="157" customFormat="1">
      <c r="A22" s="189"/>
      <c r="B22" s="161"/>
      <c r="C22" s="190"/>
      <c r="D22" s="163"/>
      <c r="E22" s="163"/>
      <c r="F22" s="42"/>
      <c r="G22" s="195"/>
      <c r="H22" s="42"/>
      <c r="I22" s="197"/>
      <c r="J22" s="42"/>
      <c r="K22" s="85"/>
      <c r="L22"/>
      <c r="M22"/>
      <c r="N22"/>
      <c r="O22"/>
      <c r="P22"/>
      <c r="Q22"/>
    </row>
    <row r="23" spans="1:17" s="157" customFormat="1">
      <c r="A23" s="189" t="s">
        <v>224</v>
      </c>
      <c r="B23" s="161"/>
      <c r="C23" s="190"/>
      <c r="D23" s="207"/>
      <c r="E23" s="163"/>
      <c r="F23" s="42"/>
      <c r="G23" s="195"/>
      <c r="H23" s="42"/>
      <c r="I23" s="234"/>
      <c r="J23" s="42"/>
      <c r="K23" s="85"/>
      <c r="L23"/>
      <c r="M23"/>
      <c r="N23"/>
      <c r="O23"/>
      <c r="P23"/>
      <c r="Q23"/>
    </row>
    <row r="24" spans="1:17" s="157" customFormat="1">
      <c r="A24" s="189"/>
      <c r="B24" s="161"/>
      <c r="C24" s="190"/>
      <c r="D24" s="163"/>
      <c r="E24" s="163"/>
      <c r="F24" s="42"/>
      <c r="G24" s="195"/>
      <c r="H24" s="42"/>
      <c r="I24" s="197"/>
      <c r="J24" s="42"/>
      <c r="K24" s="85"/>
      <c r="L24"/>
      <c r="M24"/>
      <c r="N24"/>
      <c r="O24"/>
      <c r="P24"/>
      <c r="Q24"/>
    </row>
    <row r="25" spans="1:17" s="157" customFormat="1">
      <c r="A25" s="189"/>
      <c r="B25" s="161"/>
      <c r="C25" s="190"/>
      <c r="D25" s="163"/>
      <c r="E25" s="163"/>
      <c r="F25" s="42"/>
      <c r="G25" s="195"/>
      <c r="H25" s="42"/>
      <c r="I25" s="197"/>
      <c r="J25" s="42"/>
      <c r="K25" s="85"/>
      <c r="L25"/>
      <c r="M25"/>
      <c r="N25"/>
      <c r="O25"/>
      <c r="P25"/>
      <c r="Q25"/>
    </row>
    <row r="26" spans="1:17" s="157" customFormat="1">
      <c r="A26" s="208"/>
      <c r="B26" s="75"/>
      <c r="C26" s="209"/>
      <c r="D26" s="311"/>
      <c r="E26" s="312"/>
      <c r="F26" s="92"/>
      <c r="G26" s="313" t="s">
        <v>374</v>
      </c>
      <c r="H26" s="211"/>
      <c r="I26" s="312"/>
      <c r="J26" s="312"/>
      <c r="K26" s="140"/>
      <c r="L26"/>
      <c r="M26"/>
      <c r="N26"/>
      <c r="O26"/>
      <c r="P26"/>
      <c r="Q26"/>
    </row>
    <row r="27" spans="1:17">
      <c r="A27" s="1233" t="s">
        <v>368</v>
      </c>
      <c r="B27" s="1233"/>
      <c r="C27" s="1233"/>
      <c r="D27" s="1233"/>
      <c r="E27" s="211"/>
      <c r="F27" s="211"/>
      <c r="G27" s="439" t="s">
        <v>541</v>
      </c>
      <c r="H27" s="211"/>
      <c r="I27" s="211"/>
      <c r="J27" s="211"/>
      <c r="K27" s="211"/>
    </row>
    <row r="28" spans="1:17">
      <c r="A28" s="212" t="s">
        <v>146</v>
      </c>
      <c r="B28" s="96" t="s">
        <v>159</v>
      </c>
      <c r="C28" s="193" t="s">
        <v>160</v>
      </c>
      <c r="D28" s="213">
        <f>'Данные Брус'!D77</f>
        <v>35</v>
      </c>
      <c r="E28" s="48">
        <f>'Данные Брус'!E112</f>
        <v>600</v>
      </c>
      <c r="F28" s="440">
        <f>D28*E28</f>
        <v>21000</v>
      </c>
      <c r="G28" s="161" t="s">
        <v>202</v>
      </c>
      <c r="H28" s="441" t="s">
        <v>63</v>
      </c>
      <c r="I28" s="213">
        <f>балки!K6</f>
        <v>0.84</v>
      </c>
      <c r="J28" s="98">
        <f>'Данные Брус'!E26</f>
        <v>24000</v>
      </c>
      <c r="K28" s="99">
        <f>I28*J28</f>
        <v>20160</v>
      </c>
    </row>
    <row r="29" spans="1:17">
      <c r="A29" s="212"/>
      <c r="B29" s="96"/>
      <c r="C29" s="193"/>
      <c r="D29" s="213"/>
      <c r="E29" s="48"/>
      <c r="F29" s="48"/>
      <c r="G29" s="438" t="s">
        <v>89</v>
      </c>
      <c r="H29" s="101" t="s">
        <v>85</v>
      </c>
      <c r="I29" s="426">
        <f>балки!I6*2</f>
        <v>28</v>
      </c>
      <c r="J29" s="98">
        <f>'Данные Брус'!E23</f>
        <v>65</v>
      </c>
      <c r="K29" s="99">
        <f t="shared" ref="K29:K31" si="0">I29*J29</f>
        <v>1820</v>
      </c>
    </row>
    <row r="30" spans="1:17">
      <c r="A30" s="212"/>
      <c r="B30" s="102"/>
      <c r="C30" s="103"/>
      <c r="D30" s="104"/>
      <c r="E30" s="104"/>
      <c r="F30" s="105"/>
      <c r="G30" s="241" t="s">
        <v>229</v>
      </c>
      <c r="H30" s="193" t="s">
        <v>85</v>
      </c>
      <c r="I30" s="427">
        <f>I29*4</f>
        <v>112</v>
      </c>
      <c r="J30" s="99">
        <f>'Данные Брус'!E24</f>
        <v>12</v>
      </c>
      <c r="K30" s="99">
        <f t="shared" si="0"/>
        <v>1344</v>
      </c>
    </row>
    <row r="31" spans="1:17">
      <c r="A31" s="212"/>
      <c r="B31" s="107"/>
      <c r="C31" s="103"/>
      <c r="D31" s="104"/>
      <c r="E31" s="108"/>
      <c r="F31" s="109"/>
      <c r="G31" s="432" t="s">
        <v>161</v>
      </c>
      <c r="H31" s="193" t="s">
        <v>156</v>
      </c>
      <c r="I31" s="215">
        <f>I29*20/395</f>
        <v>1.4177215189873418</v>
      </c>
      <c r="J31" s="111">
        <f>'Данные Брус'!E25</f>
        <v>380</v>
      </c>
      <c r="K31" s="99">
        <f t="shared" si="0"/>
        <v>538.7341772151899</v>
      </c>
    </row>
    <row r="32" spans="1:17">
      <c r="A32" s="189"/>
      <c r="B32" s="216"/>
      <c r="C32" s="217"/>
      <c r="D32" s="218"/>
      <c r="E32" s="219"/>
      <c r="F32" s="88"/>
      <c r="G32" s="220"/>
      <c r="H32" s="217"/>
      <c r="I32" s="85"/>
      <c r="J32" s="84"/>
      <c r="K32" s="99"/>
    </row>
    <row r="33" spans="1:11">
      <c r="A33" s="208"/>
      <c r="B33" s="75"/>
      <c r="C33" s="209"/>
      <c r="D33" s="1234" t="s">
        <v>157</v>
      </c>
      <c r="E33" s="1235"/>
      <c r="F33" s="223">
        <f>SUM(F28:F32)</f>
        <v>21000</v>
      </c>
      <c r="G33" s="210"/>
      <c r="H33" s="211"/>
      <c r="I33" s="1235" t="s">
        <v>158</v>
      </c>
      <c r="J33" s="1235"/>
      <c r="K33" s="140">
        <f>SUM(K28:K32)</f>
        <v>23862.734177215189</v>
      </c>
    </row>
    <row r="34" spans="1:11">
      <c r="A34" s="1228" t="s">
        <v>369</v>
      </c>
      <c r="B34" s="1228"/>
      <c r="C34" s="1228"/>
      <c r="D34" s="1228"/>
      <c r="E34" s="1228"/>
      <c r="F34" s="166"/>
      <c r="G34" s="435" t="s">
        <v>541</v>
      </c>
      <c r="H34" s="126"/>
      <c r="I34" s="178"/>
      <c r="J34" s="78"/>
      <c r="K34" s="79"/>
    </row>
    <row r="35" spans="1:11">
      <c r="A35" s="189">
        <v>1</v>
      </c>
      <c r="B35" s="161" t="s">
        <v>159</v>
      </c>
      <c r="C35" s="190" t="s">
        <v>160</v>
      </c>
      <c r="D35" s="83">
        <f>'Данные Брус'!D78</f>
        <v>44</v>
      </c>
      <c r="E35" s="163">
        <f>'Данные Брус'!E112</f>
        <v>600</v>
      </c>
      <c r="F35" s="163">
        <f>D35*E35</f>
        <v>26400</v>
      </c>
      <c r="G35" s="161" t="s">
        <v>202</v>
      </c>
      <c r="H35" s="190" t="s">
        <v>63</v>
      </c>
      <c r="I35" s="83">
        <f>балки!K7</f>
        <v>0.6</v>
      </c>
      <c r="J35" s="84">
        <f>'Данные Брус'!E26</f>
        <v>24000</v>
      </c>
      <c r="K35" s="85">
        <f>I35*J35</f>
        <v>14400</v>
      </c>
    </row>
    <row r="36" spans="1:11">
      <c r="A36" s="189"/>
      <c r="B36" s="161"/>
      <c r="C36" s="190"/>
      <c r="D36" s="83"/>
      <c r="E36" s="163"/>
      <c r="F36" s="163"/>
      <c r="G36" s="183" t="s">
        <v>89</v>
      </c>
      <c r="H36" s="184" t="s">
        <v>85</v>
      </c>
      <c r="I36" s="191">
        <f>балки!I7*2</f>
        <v>30</v>
      </c>
      <c r="J36" s="84">
        <f>'Данные Брус'!E23</f>
        <v>65</v>
      </c>
      <c r="K36" s="85">
        <f>I36*J36</f>
        <v>1950</v>
      </c>
    </row>
    <row r="37" spans="1:11">
      <c r="A37" s="189"/>
      <c r="B37" s="170"/>
      <c r="C37" s="171"/>
      <c r="D37" s="109"/>
      <c r="E37" s="109"/>
      <c r="F37" s="109"/>
      <c r="G37" s="240" t="s">
        <v>229</v>
      </c>
      <c r="H37" s="190" t="s">
        <v>85</v>
      </c>
      <c r="I37" s="191">
        <f>I36*4</f>
        <v>120</v>
      </c>
      <c r="J37" s="85">
        <f>'Данные Брус'!E24</f>
        <v>12</v>
      </c>
      <c r="K37" s="85">
        <f>I37*J37</f>
        <v>1440</v>
      </c>
    </row>
    <row r="38" spans="1:11">
      <c r="A38" s="224"/>
      <c r="B38" s="181"/>
      <c r="C38" s="182"/>
      <c r="D38" s="167"/>
      <c r="E38" s="167"/>
      <c r="F38" s="167"/>
      <c r="G38" s="433" t="s">
        <v>161</v>
      </c>
      <c r="H38" s="434" t="s">
        <v>156</v>
      </c>
      <c r="I38" s="225">
        <f>I36*20/395</f>
        <v>1.518987341772152</v>
      </c>
      <c r="J38" s="172">
        <f>'Данные Брус'!E25</f>
        <v>380</v>
      </c>
      <c r="K38" s="173">
        <f t="shared" ref="K38" si="1">I38*J38</f>
        <v>577.21518987341778</v>
      </c>
    </row>
    <row r="39" spans="1:11">
      <c r="A39" s="226"/>
      <c r="B39" s="170"/>
      <c r="C39" s="171"/>
      <c r="D39" s="109"/>
      <c r="E39" s="109"/>
      <c r="F39" s="109"/>
      <c r="G39" s="168"/>
      <c r="H39" s="193"/>
      <c r="I39" s="215"/>
      <c r="J39" s="172"/>
      <c r="K39" s="173"/>
    </row>
    <row r="40" spans="1:11">
      <c r="A40" s="208"/>
      <c r="B40" s="75"/>
      <c r="C40" s="209"/>
      <c r="D40" s="1235" t="s">
        <v>157</v>
      </c>
      <c r="E40" s="1235"/>
      <c r="F40" s="227">
        <f>SUM(F35:F39)</f>
        <v>26400</v>
      </c>
      <c r="G40" s="228"/>
      <c r="H40" s="211"/>
      <c r="I40" s="1236" t="s">
        <v>158</v>
      </c>
      <c r="J40" s="1236"/>
      <c r="K40" s="227">
        <f>SUM(K35:K39)</f>
        <v>18367.215189873419</v>
      </c>
    </row>
    <row r="41" spans="1:11">
      <c r="A41" s="1228" t="s">
        <v>372</v>
      </c>
      <c r="B41" s="1228"/>
      <c r="C41" s="1228"/>
      <c r="D41" s="1228"/>
      <c r="E41" s="1228"/>
      <c r="F41" s="166"/>
      <c r="G41" s="435" t="s">
        <v>541</v>
      </c>
      <c r="H41" s="126"/>
      <c r="I41" s="178"/>
      <c r="J41" s="78"/>
      <c r="K41" s="79"/>
    </row>
    <row r="42" spans="1:11">
      <c r="A42" s="80">
        <v>1</v>
      </c>
      <c r="B42" s="81" t="s">
        <v>159</v>
      </c>
      <c r="C42" s="40" t="s">
        <v>160</v>
      </c>
      <c r="D42" s="179">
        <f>'Данные Брус'!D80</f>
        <v>30</v>
      </c>
      <c r="E42" s="41">
        <f>'Данные Брус'!E112</f>
        <v>600</v>
      </c>
      <c r="F42" s="41">
        <f>D42*E42</f>
        <v>18000</v>
      </c>
      <c r="G42" s="161" t="s">
        <v>388</v>
      </c>
      <c r="H42" s="190" t="s">
        <v>63</v>
      </c>
      <c r="I42" s="83">
        <f>'Расчёт - Брус'!D22</f>
        <v>2.1599999999999997</v>
      </c>
      <c r="J42" s="84">
        <f>'Данные Брус'!E27</f>
        <v>24000</v>
      </c>
      <c r="K42" s="85">
        <f>I42*J42</f>
        <v>51839.999999999993</v>
      </c>
    </row>
    <row r="43" spans="1:11">
      <c r="A43" s="80"/>
      <c r="B43" s="81"/>
      <c r="C43" s="40"/>
      <c r="D43" s="179"/>
      <c r="E43" s="41"/>
      <c r="F43" s="41"/>
      <c r="G43" s="183" t="s">
        <v>89</v>
      </c>
      <c r="H43" s="184" t="s">
        <v>85</v>
      </c>
      <c r="I43" s="191">
        <f>балки!I9*2</f>
        <v>96</v>
      </c>
      <c r="J43" s="84">
        <f>'Данные Брус'!E23</f>
        <v>65</v>
      </c>
      <c r="K43" s="85">
        <f>I43*J43</f>
        <v>6240</v>
      </c>
    </row>
    <row r="44" spans="1:11">
      <c r="A44" s="80"/>
      <c r="B44" s="170"/>
      <c r="C44" s="171"/>
      <c r="D44" s="109"/>
      <c r="E44" s="109"/>
      <c r="F44" s="109"/>
      <c r="G44" s="240" t="s">
        <v>229</v>
      </c>
      <c r="H44" s="190" t="s">
        <v>85</v>
      </c>
      <c r="I44" s="191">
        <f>I43*4</f>
        <v>384</v>
      </c>
      <c r="J44" s="85">
        <f>'Данные Брус'!E24</f>
        <v>12</v>
      </c>
      <c r="K44" s="85">
        <f>I44*J44</f>
        <v>4608</v>
      </c>
    </row>
    <row r="45" spans="1:11">
      <c r="A45" s="180"/>
      <c r="B45" s="181"/>
      <c r="C45" s="182"/>
      <c r="D45" s="167"/>
      <c r="E45" s="167"/>
      <c r="F45" s="167"/>
      <c r="G45" s="433" t="s">
        <v>161</v>
      </c>
      <c r="H45" s="434" t="s">
        <v>156</v>
      </c>
      <c r="I45" s="225">
        <f>I43*20/395</f>
        <v>4.8607594936708862</v>
      </c>
      <c r="J45" s="172">
        <f>'Данные Брус'!E25</f>
        <v>380</v>
      </c>
      <c r="K45" s="173">
        <f t="shared" ref="K45" si="2">I45*J45</f>
        <v>1847.0886075949368</v>
      </c>
    </row>
    <row r="46" spans="1:11">
      <c r="A46" s="169"/>
      <c r="B46" s="170"/>
      <c r="C46" s="171"/>
      <c r="D46" s="109"/>
      <c r="E46" s="109"/>
      <c r="F46" s="109"/>
      <c r="G46" s="168"/>
      <c r="H46" s="193"/>
      <c r="I46" s="215"/>
      <c r="J46" s="172"/>
      <c r="K46" s="173"/>
    </row>
    <row r="47" spans="1:11" ht="14.5" customHeight="1">
      <c r="A47" s="122"/>
      <c r="B47" s="123"/>
      <c r="C47" s="72"/>
      <c r="D47" s="1229" t="s">
        <v>157</v>
      </c>
      <c r="E47" s="1229"/>
      <c r="F47" s="124">
        <f>SUM(F42:F46)</f>
        <v>18000</v>
      </c>
      <c r="G47" s="125"/>
      <c r="H47" s="126"/>
      <c r="I47" s="1230" t="s">
        <v>158</v>
      </c>
      <c r="J47" s="1230"/>
      <c r="K47" s="124">
        <f>SUM(K42:K46)</f>
        <v>64535.088607594931</v>
      </c>
    </row>
    <row r="48" spans="1:11">
      <c r="A48" s="1231"/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27.5" customHeight="1">
      <c r="A49" s="130"/>
      <c r="B49" s="198"/>
      <c r="C49" s="130"/>
      <c r="D49" s="130"/>
      <c r="E49" s="130"/>
      <c r="F49" s="130"/>
      <c r="G49" s="131"/>
      <c r="H49" s="82"/>
      <c r="I49" s="83"/>
      <c r="J49" s="120"/>
      <c r="K49" s="130"/>
    </row>
    <row r="50" spans="1:11" ht="15.5" customHeight="1">
      <c r="A50" s="130"/>
      <c r="B50" s="198"/>
      <c r="C50" s="130"/>
      <c r="D50" s="130"/>
      <c r="E50" s="130"/>
      <c r="F50" s="130"/>
      <c r="G50" s="131"/>
      <c r="H50" s="82"/>
      <c r="I50" s="83"/>
      <c r="J50" s="120"/>
      <c r="K50" s="130"/>
    </row>
    <row r="51" spans="1:11">
      <c r="A51" s="130"/>
      <c r="B51" s="131"/>
      <c r="C51" s="130"/>
      <c r="D51" s="130"/>
      <c r="E51" s="130"/>
      <c r="F51" s="130"/>
      <c r="G51" s="134"/>
      <c r="H51" s="130"/>
      <c r="I51" s="135"/>
      <c r="J51" s="135"/>
      <c r="K51" s="130"/>
    </row>
    <row r="52" spans="1:11">
      <c r="A52" s="130"/>
      <c r="B52" s="131"/>
      <c r="C52" s="130"/>
      <c r="D52" s="130"/>
      <c r="E52" s="130"/>
      <c r="F52" s="130"/>
      <c r="G52" s="131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6"/>
      <c r="F53" s="138"/>
      <c r="G53" s="131"/>
      <c r="H53" s="130"/>
      <c r="I53" s="139"/>
      <c r="J53" s="139"/>
      <c r="K53" s="130"/>
    </row>
    <row r="54" spans="1:11">
      <c r="A54" s="130"/>
      <c r="B54" s="131"/>
      <c r="C54" s="130"/>
      <c r="D54" s="136"/>
      <c r="E54" s="136"/>
      <c r="F54" s="138"/>
      <c r="G54" s="131"/>
      <c r="H54" s="130"/>
      <c r="I54" s="135"/>
      <c r="J54" s="135"/>
      <c r="K54" s="130"/>
    </row>
    <row r="55" spans="1:11">
      <c r="A55" s="130"/>
      <c r="B55" s="131"/>
      <c r="C55" s="130"/>
      <c r="D55" s="136"/>
      <c r="E55" s="136"/>
      <c r="F55" s="138"/>
      <c r="G55" s="131"/>
      <c r="H55" s="130"/>
      <c r="I55" s="310"/>
      <c r="J55" s="310"/>
      <c r="K55" s="138"/>
    </row>
    <row r="56" spans="1:11">
      <c r="A56" s="130"/>
      <c r="B56" s="131"/>
      <c r="C56" s="130"/>
      <c r="D56" s="136"/>
      <c r="E56" s="136"/>
      <c r="F56" s="138"/>
      <c r="G56" s="131"/>
      <c r="H56" s="130"/>
      <c r="I56" s="302"/>
      <c r="J56" s="302"/>
      <c r="K56" s="138"/>
    </row>
    <row r="57" spans="1:11">
      <c r="A57" s="33"/>
      <c r="B57" s="33"/>
      <c r="C57" s="38"/>
      <c r="D57" s="38"/>
      <c r="E57" s="38"/>
      <c r="F57" s="38"/>
      <c r="G57" s="33"/>
      <c r="H57" s="33"/>
      <c r="I57" s="33"/>
      <c r="J57" s="33"/>
      <c r="K57" s="33"/>
    </row>
    <row r="58" spans="1:11">
      <c r="A58" s="33"/>
      <c r="B58" s="33"/>
      <c r="C58" s="140"/>
      <c r="D58" s="140"/>
      <c r="E58" s="140"/>
      <c r="F58" s="140"/>
      <c r="G58" s="303"/>
      <c r="H58" s="33"/>
      <c r="I58" s="33"/>
      <c r="J58" s="33"/>
      <c r="K58" s="33"/>
    </row>
    <row r="59" spans="1:11">
      <c r="A59" s="33"/>
      <c r="B59" s="33"/>
      <c r="C59" s="140"/>
      <c r="D59" s="140"/>
      <c r="E59" s="140"/>
      <c r="F59" s="140"/>
      <c r="G59" s="303"/>
      <c r="H59" s="33"/>
      <c r="I59" s="33"/>
      <c r="J59" s="33"/>
      <c r="K59" s="33"/>
    </row>
    <row r="60" spans="1:11">
      <c r="A60" s="33"/>
      <c r="B60" s="33"/>
      <c r="C60" s="140"/>
      <c r="D60" s="140"/>
      <c r="E60" s="140"/>
      <c r="F60" s="140"/>
      <c r="G60" s="303"/>
      <c r="H60" s="33"/>
      <c r="I60" s="33"/>
      <c r="J60" s="33"/>
      <c r="K60" s="33"/>
    </row>
    <row r="61" spans="1:11">
      <c r="A61" s="33"/>
      <c r="B61" s="33"/>
      <c r="C61" s="140"/>
      <c r="D61" s="140"/>
      <c r="E61" s="140"/>
      <c r="F61" s="140"/>
      <c r="G61" s="303"/>
      <c r="H61" s="33"/>
      <c r="I61" s="33"/>
      <c r="J61" s="33"/>
      <c r="K61" s="33"/>
    </row>
    <row r="62" spans="1:11">
      <c r="A62" s="33"/>
      <c r="B62" s="33"/>
      <c r="C62" s="140"/>
      <c r="D62" s="140"/>
      <c r="E62" s="140"/>
      <c r="F62" s="140"/>
      <c r="G62" s="303"/>
      <c r="H62" s="33"/>
      <c r="I62" s="33"/>
      <c r="J62" s="33"/>
      <c r="K62" s="33"/>
    </row>
    <row r="63" spans="1:11">
      <c r="A63" s="33"/>
      <c r="B63" s="33"/>
      <c r="C63" s="140"/>
      <c r="D63" s="140"/>
      <c r="E63" s="140"/>
      <c r="F63" s="140"/>
      <c r="G63" s="303"/>
      <c r="H63" s="33"/>
      <c r="I63" s="33"/>
      <c r="J63" s="33"/>
      <c r="K63" s="33"/>
    </row>
    <row r="64" spans="1:11">
      <c r="A64" s="33"/>
      <c r="B64" s="33"/>
      <c r="C64" s="140"/>
      <c r="D64" s="140"/>
      <c r="E64" s="140"/>
      <c r="F64" s="140"/>
      <c r="G64" s="303"/>
      <c r="H64" s="33"/>
      <c r="I64" s="33"/>
      <c r="J64" s="33"/>
      <c r="K64" s="33"/>
    </row>
    <row r="65" spans="1:11 16384:16384">
      <c r="A65" s="33"/>
      <c r="B65" s="33"/>
      <c r="C65" s="245"/>
      <c r="D65" s="245"/>
      <c r="E65" s="245"/>
      <c r="F65" s="245"/>
      <c r="G65" s="304"/>
      <c r="H65" s="33"/>
      <c r="I65" s="33"/>
      <c r="J65" s="33"/>
      <c r="K65" s="33"/>
    </row>
    <row r="66" spans="1:11 16384:16384">
      <c r="A66" s="33"/>
      <c r="B66" s="33"/>
      <c r="C66" s="308"/>
      <c r="D66" s="308"/>
      <c r="E66" s="308"/>
      <c r="F66" s="308"/>
      <c r="G66" s="305"/>
      <c r="H66" s="33"/>
      <c r="I66" s="33"/>
      <c r="J66" s="33"/>
      <c r="K66" s="33"/>
    </row>
    <row r="67" spans="1:11 16384:16384" ht="16">
      <c r="A67" s="33"/>
      <c r="B67" s="33"/>
      <c r="C67" s="309"/>
      <c r="D67" s="309"/>
      <c r="E67" s="309"/>
      <c r="F67" s="309"/>
      <c r="G67" s="305"/>
      <c r="H67" s="33"/>
      <c r="I67" s="306"/>
      <c r="J67" s="307"/>
      <c r="K67" s="33"/>
    </row>
    <row r="68" spans="1:11 16384:1638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XFD68" s="37">
        <f>SUM(A68:XFC68)</f>
        <v>0</v>
      </c>
    </row>
    <row r="69" spans="1:11 16384:16384">
      <c r="A69" s="147"/>
      <c r="B69" s="147"/>
      <c r="C69" s="147"/>
      <c r="D69" s="147"/>
      <c r="E69" s="147"/>
      <c r="F69" s="148"/>
      <c r="G69" s="149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G75" s="155"/>
    </row>
    <row r="76" spans="1:11 16384:16384">
      <c r="G76" s="153"/>
    </row>
    <row r="77" spans="1:11 16384:16384">
      <c r="G77" s="155"/>
    </row>
    <row r="78" spans="1:11 16384:16384">
      <c r="G78" s="153"/>
    </row>
    <row r="79" spans="1:11 16384:16384">
      <c r="G79" s="155"/>
    </row>
    <row r="80" spans="1:11 16384:16384">
      <c r="G80" s="153"/>
    </row>
    <row r="81" spans="1:11">
      <c r="G81" s="155"/>
    </row>
    <row r="82" spans="1:11" s="147" customFormat="1">
      <c r="A82"/>
      <c r="B82"/>
      <c r="C82"/>
      <c r="D82"/>
      <c r="E82"/>
      <c r="F82"/>
      <c r="G82" s="153"/>
      <c r="H82"/>
      <c r="I82"/>
      <c r="J82"/>
      <c r="K82"/>
    </row>
    <row r="83" spans="1:11" s="147" customFormat="1">
      <c r="A83"/>
      <c r="B83"/>
      <c r="C83"/>
      <c r="D83"/>
      <c r="E83"/>
      <c r="F83"/>
      <c r="G83" s="37"/>
      <c r="H83"/>
      <c r="I83"/>
      <c r="J83"/>
      <c r="K83"/>
    </row>
    <row r="84" spans="1:11" s="147" customFormat="1">
      <c r="A84"/>
      <c r="B84"/>
      <c r="C84"/>
      <c r="D84"/>
      <c r="E84"/>
      <c r="F84"/>
      <c r="G84"/>
      <c r="H84"/>
      <c r="I84"/>
      <c r="J84"/>
      <c r="K84"/>
    </row>
    <row r="85" spans="1:11" s="147" customFormat="1">
      <c r="A85"/>
      <c r="B85"/>
      <c r="C85"/>
      <c r="D85"/>
      <c r="E85"/>
      <c r="F85"/>
      <c r="G85"/>
      <c r="H85"/>
      <c r="I85"/>
      <c r="J85"/>
      <c r="K85"/>
    </row>
  </sheetData>
  <customSheetViews>
    <customSheetView guid="{3274156B-1D2A-4448-883E-F1EEF1AAE0AF}" scale="90" topLeftCell="A22">
      <selection activeCell="I11" sqref="I11"/>
      <pageMargins left="0.7" right="0.7" top="0.75" bottom="0.75" header="0.3" footer="0.3"/>
    </customSheetView>
  </customSheetViews>
  <mergeCells count="25">
    <mergeCell ref="A41:E41"/>
    <mergeCell ref="D47:E47"/>
    <mergeCell ref="I47:J47"/>
    <mergeCell ref="A48:B48"/>
    <mergeCell ref="A8:G8"/>
    <mergeCell ref="A12:B12"/>
    <mergeCell ref="A27:D27"/>
    <mergeCell ref="D33:E33"/>
    <mergeCell ref="I33:J33"/>
    <mergeCell ref="A34:E34"/>
    <mergeCell ref="D40:E40"/>
    <mergeCell ref="I40:J40"/>
    <mergeCell ref="A7:K7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DE47-488B-4925-BF7A-F4454AC81CCA}">
  <sheetPr codeName="Sheet5">
    <tabColor rgb="FFFF0000"/>
  </sheetPr>
  <dimension ref="A1:XFD92"/>
  <sheetViews>
    <sheetView topLeftCell="A34" zoomScale="90" zoomScaleNormal="90" workbookViewId="0">
      <selection activeCell="G43" sqref="G4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/>
      <c r="B13" s="81"/>
      <c r="C13" s="40"/>
      <c r="D13" s="237"/>
      <c r="E13" s="41"/>
      <c r="F13" s="42"/>
      <c r="G13" s="161"/>
      <c r="H13" s="82"/>
      <c r="I13" s="233"/>
      <c r="J13" s="84"/>
      <c r="K13" s="85"/>
    </row>
    <row r="14" spans="1:11">
      <c r="A14" s="189"/>
      <c r="B14" s="161"/>
      <c r="C14" s="190"/>
      <c r="D14" s="163"/>
      <c r="E14" s="163"/>
      <c r="F14" s="42"/>
      <c r="G14" s="161"/>
      <c r="H14" s="82"/>
      <c r="I14" s="191"/>
      <c r="J14" s="84"/>
      <c r="K14" s="85"/>
    </row>
    <row r="15" spans="1:11">
      <c r="A15" s="208"/>
      <c r="B15" s="75"/>
      <c r="C15" s="209"/>
      <c r="D15" s="242"/>
      <c r="E15" s="242"/>
      <c r="F15" s="74"/>
      <c r="G15" s="200"/>
      <c r="H15" s="201"/>
      <c r="I15" s="202"/>
      <c r="J15" s="203"/>
      <c r="K15" s="173"/>
    </row>
    <row r="16" spans="1:11">
      <c r="A16" s="86"/>
      <c r="B16" s="39"/>
      <c r="C16" s="45"/>
      <c r="D16" s="46"/>
      <c r="E16" s="46"/>
      <c r="F16" s="47"/>
      <c r="G16" s="158"/>
      <c r="H16" s="159"/>
      <c r="I16" s="164"/>
      <c r="J16" s="88"/>
      <c r="K16" s="160"/>
    </row>
    <row r="17" spans="1:13">
      <c r="B17" s="39"/>
      <c r="C17" s="45"/>
      <c r="D17" s="46"/>
      <c r="E17" s="46"/>
      <c r="F17" s="47"/>
      <c r="G17" s="87"/>
      <c r="H17" s="88"/>
      <c r="I17" s="88"/>
      <c r="J17" s="88"/>
      <c r="K17" s="160"/>
    </row>
    <row r="18" spans="1:13">
      <c r="A18" s="86"/>
      <c r="B18" s="39"/>
      <c r="C18" s="45"/>
      <c r="D18" s="46"/>
      <c r="E18" s="46"/>
      <c r="F18" s="47"/>
      <c r="G18" s="87"/>
      <c r="H18" s="88"/>
      <c r="I18" s="165"/>
      <c r="J18" s="88"/>
      <c r="K18" s="160"/>
    </row>
    <row r="19" spans="1:13">
      <c r="A19" s="86"/>
      <c r="B19" s="39"/>
      <c r="C19" s="45"/>
      <c r="D19" s="46"/>
      <c r="E19" s="46"/>
      <c r="F19" s="47"/>
      <c r="G19" s="87"/>
      <c r="H19" s="88"/>
      <c r="I19" s="165"/>
      <c r="J19" s="88"/>
      <c r="K19" s="160"/>
    </row>
    <row r="20" spans="1:13">
      <c r="A20" s="86"/>
      <c r="B20" s="39"/>
      <c r="C20" s="45"/>
      <c r="D20" s="48"/>
      <c r="E20" s="46"/>
      <c r="F20" s="47"/>
      <c r="G20" s="87"/>
      <c r="H20" s="88"/>
      <c r="I20" s="88"/>
      <c r="J20" s="88"/>
      <c r="K20" s="160"/>
    </row>
    <row r="21" spans="1:13">
      <c r="A21" s="86"/>
      <c r="B21" s="39"/>
      <c r="C21" s="45"/>
      <c r="D21" s="48"/>
      <c r="E21" s="46"/>
      <c r="F21" s="47"/>
      <c r="G21" s="87"/>
      <c r="H21" s="88"/>
      <c r="I21" s="88"/>
      <c r="J21" s="88"/>
      <c r="K21" s="160"/>
    </row>
    <row r="22" spans="1:13">
      <c r="A22" s="86"/>
      <c r="B22" s="39"/>
      <c r="C22" s="45"/>
      <c r="D22" s="46"/>
      <c r="E22" s="46"/>
      <c r="F22" s="47"/>
      <c r="G22" s="87"/>
      <c r="H22" s="88"/>
      <c r="I22" s="88"/>
      <c r="J22" s="88"/>
      <c r="K22" s="160"/>
    </row>
    <row r="23" spans="1:13">
      <c r="A23" s="212"/>
      <c r="B23" s="96"/>
      <c r="C23" s="193"/>
      <c r="D23" s="48"/>
      <c r="E23" s="48"/>
      <c r="F23" s="47"/>
      <c r="G23" s="87"/>
      <c r="H23" s="88"/>
      <c r="I23" s="88"/>
      <c r="J23" s="88"/>
      <c r="K23" s="88"/>
    </row>
    <row r="24" spans="1:13">
      <c r="A24" s="212"/>
      <c r="B24" s="96"/>
      <c r="C24" s="193"/>
      <c r="D24" s="48"/>
      <c r="E24" s="48"/>
      <c r="F24" s="47"/>
      <c r="G24" s="87"/>
      <c r="H24" s="88"/>
      <c r="I24" s="88"/>
      <c r="J24" s="88"/>
      <c r="K24" s="88"/>
    </row>
    <row r="25" spans="1:13">
      <c r="A25" s="86"/>
      <c r="B25" s="39"/>
      <c r="C25" s="45"/>
      <c r="D25" s="46"/>
      <c r="E25" s="46"/>
      <c r="F25" s="47"/>
      <c r="G25" s="87"/>
      <c r="H25" s="88"/>
      <c r="I25" s="238"/>
      <c r="J25" s="88"/>
      <c r="K25" s="88"/>
    </row>
    <row r="26" spans="1:13">
      <c r="A26" s="86"/>
      <c r="B26" s="39"/>
      <c r="C26" s="45"/>
      <c r="D26" s="46"/>
      <c r="E26" s="46"/>
      <c r="F26" s="47"/>
      <c r="G26" s="314" t="s">
        <v>545</v>
      </c>
      <c r="H26" s="88"/>
      <c r="I26" s="88"/>
      <c r="J26" s="88"/>
      <c r="K26" s="88"/>
    </row>
    <row r="27" spans="1:13">
      <c r="A27" s="89"/>
      <c r="B27" s="90"/>
      <c r="C27" s="91"/>
      <c r="D27" s="1237"/>
      <c r="E27" s="1238"/>
      <c r="F27" s="92"/>
      <c r="G27" s="93"/>
      <c r="H27" s="94"/>
      <c r="I27" s="1238"/>
      <c r="J27" s="1238"/>
      <c r="K27" s="140"/>
    </row>
    <row r="28" spans="1:13">
      <c r="A28" s="1239" t="s">
        <v>368</v>
      </c>
      <c r="B28" s="1239"/>
      <c r="C28" s="1239"/>
      <c r="D28" s="1239"/>
      <c r="E28" s="94"/>
      <c r="F28" s="94"/>
      <c r="G28" s="319" t="s">
        <v>541</v>
      </c>
      <c r="H28" s="94"/>
      <c r="I28" s="94"/>
      <c r="J28" s="94"/>
      <c r="K28" s="94"/>
    </row>
    <row r="29" spans="1:13">
      <c r="A29" s="80" t="s">
        <v>146</v>
      </c>
      <c r="B29" s="81" t="s">
        <v>159</v>
      </c>
      <c r="C29" s="40" t="s">
        <v>160</v>
      </c>
      <c r="D29" s="179">
        <f>'Данные Брус'!D77</f>
        <v>35</v>
      </c>
      <c r="E29" s="41">
        <f>'Данные Брус'!E112</f>
        <v>600</v>
      </c>
      <c r="F29" s="448">
        <f>D29*E29</f>
        <v>21000</v>
      </c>
      <c r="G29" s="161" t="s">
        <v>202</v>
      </c>
      <c r="H29" s="437" t="s">
        <v>63</v>
      </c>
      <c r="I29" s="213">
        <f>балки!K6</f>
        <v>0.84</v>
      </c>
      <c r="J29" s="98">
        <f>'Данные Брус'!E83</f>
        <v>24000</v>
      </c>
      <c r="K29" s="99">
        <f>I29*J29</f>
        <v>20160</v>
      </c>
    </row>
    <row r="30" spans="1:13">
      <c r="A30" s="174"/>
      <c r="B30" s="295"/>
      <c r="C30" s="43"/>
      <c r="D30" s="436"/>
      <c r="E30" s="44"/>
      <c r="F30" s="46"/>
      <c r="G30" s="438" t="s">
        <v>89</v>
      </c>
      <c r="H30" s="101" t="s">
        <v>85</v>
      </c>
      <c r="I30" s="426">
        <f>балки!I6*2</f>
        <v>28</v>
      </c>
      <c r="J30" s="98">
        <f>'Данные Брус'!E84</f>
        <v>65</v>
      </c>
      <c r="K30" s="99">
        <f>I30*J30</f>
        <v>1820</v>
      </c>
      <c r="M30" s="315"/>
    </row>
    <row r="31" spans="1:13">
      <c r="A31" s="444"/>
      <c r="B31" s="445"/>
      <c r="C31" s="446"/>
      <c r="D31" s="104"/>
      <c r="E31" s="104"/>
      <c r="F31" s="105"/>
      <c r="G31" s="106" t="s">
        <v>153</v>
      </c>
      <c r="H31" s="97" t="s">
        <v>85</v>
      </c>
      <c r="I31" s="427">
        <f>I30*4</f>
        <v>112</v>
      </c>
      <c r="J31" s="99">
        <f>'Данные Брус'!E85</f>
        <v>13</v>
      </c>
      <c r="K31" s="99">
        <f t="shared" ref="K31:K32" si="0">I31*J31</f>
        <v>1456</v>
      </c>
    </row>
    <row r="32" spans="1:13">
      <c r="A32" s="80"/>
      <c r="B32" s="447"/>
      <c r="C32" s="171"/>
      <c r="D32" s="442"/>
      <c r="E32" s="108"/>
      <c r="F32" s="109"/>
      <c r="G32" s="110" t="s">
        <v>161</v>
      </c>
      <c r="H32" s="97" t="s">
        <v>156</v>
      </c>
      <c r="I32" s="215">
        <f>I30*20/395</f>
        <v>1.4177215189873418</v>
      </c>
      <c r="J32" s="111">
        <f>'Данные Брус'!E86</f>
        <v>380</v>
      </c>
      <c r="K32" s="99">
        <f t="shared" si="0"/>
        <v>538.7341772151899</v>
      </c>
    </row>
    <row r="33" spans="1:13">
      <c r="A33" s="112"/>
      <c r="B33" s="113"/>
      <c r="C33" s="114"/>
      <c r="D33" s="443"/>
      <c r="E33" s="115"/>
      <c r="F33" s="116"/>
      <c r="G33" s="117"/>
      <c r="H33" s="118"/>
      <c r="I33" s="119"/>
      <c r="J33" s="120"/>
      <c r="K33" s="121"/>
    </row>
    <row r="34" spans="1:13">
      <c r="A34" s="89"/>
      <c r="B34" s="90"/>
      <c r="C34" s="91"/>
      <c r="D34" s="1237" t="s">
        <v>157</v>
      </c>
      <c r="E34" s="1238"/>
      <c r="F34" s="92">
        <f>SUM(F29:F33)</f>
        <v>21000</v>
      </c>
      <c r="G34" s="93"/>
      <c r="H34" s="94"/>
      <c r="I34" s="1238" t="s">
        <v>158</v>
      </c>
      <c r="J34" s="1238"/>
      <c r="K34" s="140">
        <f>SUM(K29:K33)</f>
        <v>23974.734177215189</v>
      </c>
    </row>
    <row r="35" spans="1:13">
      <c r="A35" s="1240"/>
      <c r="B35" s="1240"/>
      <c r="C35" s="1240"/>
      <c r="D35" s="1240"/>
      <c r="E35" s="1240"/>
      <c r="F35" s="1240"/>
      <c r="G35" s="1240"/>
      <c r="H35" s="1240"/>
      <c r="I35" s="1240"/>
      <c r="J35" s="1240"/>
      <c r="K35" s="1241"/>
    </row>
    <row r="36" spans="1:13">
      <c r="A36" s="1228" t="s">
        <v>369</v>
      </c>
      <c r="B36" s="1228"/>
      <c r="C36" s="1228"/>
      <c r="D36" s="1228"/>
      <c r="E36" s="1228"/>
      <c r="F36" s="166"/>
      <c r="G36" s="435" t="s">
        <v>541</v>
      </c>
      <c r="H36" s="177"/>
      <c r="I36" s="178"/>
      <c r="J36" s="78"/>
      <c r="K36" s="79"/>
    </row>
    <row r="37" spans="1:13">
      <c r="A37" s="80">
        <v>1</v>
      </c>
      <c r="B37" s="81" t="s">
        <v>159</v>
      </c>
      <c r="C37" s="40" t="s">
        <v>160</v>
      </c>
      <c r="D37" s="179">
        <f>'Данные Брус'!D78</f>
        <v>44</v>
      </c>
      <c r="E37" s="41">
        <f>'Данные Брус'!E112</f>
        <v>600</v>
      </c>
      <c r="F37" s="41">
        <f>D37*E37</f>
        <v>26400</v>
      </c>
      <c r="G37" s="161" t="s">
        <v>202</v>
      </c>
      <c r="H37" s="82" t="s">
        <v>63</v>
      </c>
      <c r="I37" s="83">
        <f>балки!K7</f>
        <v>0.6</v>
      </c>
      <c r="J37" s="84">
        <f>'Данные Брус'!E83</f>
        <v>24000</v>
      </c>
      <c r="K37" s="85">
        <f>I37*J37</f>
        <v>14400</v>
      </c>
    </row>
    <row r="38" spans="1:13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191">
        <f>балки!I7*2</f>
        <v>30</v>
      </c>
      <c r="J38" s="84">
        <f>'Данные Брус'!E84</f>
        <v>65</v>
      </c>
      <c r="K38" s="85">
        <f>I38*J38</f>
        <v>1950</v>
      </c>
      <c r="M38" s="315"/>
    </row>
    <row r="39" spans="1:13">
      <c r="A39" s="80"/>
      <c r="B39" s="170"/>
      <c r="C39" s="171"/>
      <c r="D39" s="109"/>
      <c r="E39" s="109"/>
      <c r="F39" s="109"/>
      <c r="G39" s="240" t="s">
        <v>153</v>
      </c>
      <c r="H39" s="82" t="s">
        <v>85</v>
      </c>
      <c r="I39" s="191">
        <f>I38*4</f>
        <v>120</v>
      </c>
      <c r="J39" s="85">
        <f>'Данные Брус'!E85</f>
        <v>13</v>
      </c>
      <c r="K39" s="85">
        <f>I39*J39</f>
        <v>1560</v>
      </c>
    </row>
    <row r="40" spans="1:13">
      <c r="A40" s="180"/>
      <c r="B40" s="181"/>
      <c r="C40" s="182"/>
      <c r="D40" s="167"/>
      <c r="E40" s="167"/>
      <c r="F40" s="167"/>
      <c r="G40" s="433" t="s">
        <v>161</v>
      </c>
      <c r="H40" s="175" t="s">
        <v>156</v>
      </c>
      <c r="I40" s="225">
        <f>I38*20/395</f>
        <v>1.518987341772152</v>
      </c>
      <c r="J40" s="172">
        <f>'Данные Брус'!E86</f>
        <v>380</v>
      </c>
      <c r="K40" s="173">
        <f t="shared" ref="K40" si="1">I40*J40</f>
        <v>577.21518987341778</v>
      </c>
    </row>
    <row r="41" spans="1:13">
      <c r="A41" s="122"/>
      <c r="B41" s="123"/>
      <c r="C41" s="72"/>
      <c r="D41" s="1229" t="s">
        <v>157</v>
      </c>
      <c r="E41" s="1229"/>
      <c r="F41" s="124">
        <f>SUM(F37:F40)</f>
        <v>26400</v>
      </c>
      <c r="G41" s="125"/>
      <c r="H41" s="126"/>
      <c r="I41" s="1230" t="s">
        <v>158</v>
      </c>
      <c r="J41" s="1230"/>
      <c r="K41" s="124">
        <f>SUM(K37:K40)</f>
        <v>18487.215189873419</v>
      </c>
    </row>
    <row r="42" spans="1:13">
      <c r="A42" s="1228" t="s">
        <v>370</v>
      </c>
      <c r="B42" s="1228"/>
      <c r="C42" s="1228"/>
      <c r="D42" s="1228"/>
      <c r="E42" s="1228"/>
      <c r="F42" s="166"/>
      <c r="G42" s="435" t="s">
        <v>541</v>
      </c>
      <c r="H42" s="177"/>
      <c r="I42" s="178"/>
      <c r="J42" s="78"/>
      <c r="K42" s="79"/>
    </row>
    <row r="43" spans="1:13">
      <c r="A43" s="80">
        <v>1</v>
      </c>
      <c r="B43" s="81" t="s">
        <v>159</v>
      </c>
      <c r="C43" s="40" t="s">
        <v>160</v>
      </c>
      <c r="D43" s="179">
        <f>'Данные Брус'!D79</f>
        <v>55</v>
      </c>
      <c r="E43" s="41">
        <f>'Данные Брус'!E112</f>
        <v>600</v>
      </c>
      <c r="F43" s="41">
        <f>D43*E43</f>
        <v>33000</v>
      </c>
      <c r="G43" s="161" t="s">
        <v>202</v>
      </c>
      <c r="H43" s="82" t="s">
        <v>63</v>
      </c>
      <c r="I43" s="83">
        <f>балки!K8</f>
        <v>0.48</v>
      </c>
      <c r="J43" s="84">
        <f>'Данные Брус'!E83</f>
        <v>24000</v>
      </c>
      <c r="K43" s="85">
        <f>I43*J43</f>
        <v>11520</v>
      </c>
    </row>
    <row r="44" spans="1:13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191">
        <f>балки!I8*2</f>
        <v>32</v>
      </c>
      <c r="J44" s="84">
        <f>'Данные Брус'!E84</f>
        <v>65</v>
      </c>
      <c r="K44" s="85">
        <f>I44*J44</f>
        <v>2080</v>
      </c>
      <c r="M44" s="315"/>
    </row>
    <row r="45" spans="1:13">
      <c r="A45" s="174"/>
      <c r="B45" s="185"/>
      <c r="C45" s="186"/>
      <c r="D45" s="187"/>
      <c r="E45" s="187"/>
      <c r="F45" s="187"/>
      <c r="G45" s="239" t="s">
        <v>153</v>
      </c>
      <c r="H45" s="175" t="s">
        <v>85</v>
      </c>
      <c r="I45" s="428">
        <f>I44*4</f>
        <v>128</v>
      </c>
      <c r="J45" s="188">
        <f>'Данные Брус'!E85</f>
        <v>13</v>
      </c>
      <c r="K45" s="188">
        <f>I45*J45</f>
        <v>1664</v>
      </c>
    </row>
    <row r="46" spans="1:13">
      <c r="A46" s="169"/>
      <c r="B46" s="170"/>
      <c r="C46" s="171"/>
      <c r="D46" s="109"/>
      <c r="E46" s="109"/>
      <c r="F46" s="109"/>
      <c r="G46" s="433" t="s">
        <v>161</v>
      </c>
      <c r="H46" s="97" t="s">
        <v>156</v>
      </c>
      <c r="I46" s="215">
        <f>I44*20/395</f>
        <v>1.620253164556962</v>
      </c>
      <c r="J46" s="172">
        <f>'Данные Брус'!E86</f>
        <v>380</v>
      </c>
      <c r="K46" s="173">
        <f t="shared" ref="K46" si="2">I46*J46</f>
        <v>615.69620253164555</v>
      </c>
    </row>
    <row r="47" spans="1:13">
      <c r="A47" s="122"/>
      <c r="B47" s="123"/>
      <c r="C47" s="72"/>
      <c r="D47" s="1229" t="s">
        <v>157</v>
      </c>
      <c r="E47" s="1229"/>
      <c r="F47" s="124">
        <f>SUM(F43:F46)</f>
        <v>33000</v>
      </c>
      <c r="G47" s="125"/>
      <c r="H47" s="126"/>
      <c r="I47" s="1230" t="s">
        <v>158</v>
      </c>
      <c r="J47" s="1230"/>
      <c r="K47" s="124">
        <f>SUM(K43:K46)</f>
        <v>15879.696202531646</v>
      </c>
    </row>
    <row r="48" spans="1:13">
      <c r="A48" s="1228" t="s">
        <v>546</v>
      </c>
      <c r="B48" s="1228"/>
      <c r="C48" s="1228"/>
      <c r="D48" s="1228"/>
      <c r="E48" s="1228"/>
      <c r="F48" s="166"/>
      <c r="G48" s="435" t="s">
        <v>541</v>
      </c>
      <c r="H48" s="177"/>
      <c r="I48" s="178"/>
      <c r="J48" s="78"/>
      <c r="K48" s="79"/>
    </row>
    <row r="49" spans="1:13">
      <c r="A49" s="80">
        <v>1</v>
      </c>
      <c r="B49" s="81" t="s">
        <v>159</v>
      </c>
      <c r="C49" s="40" t="s">
        <v>160</v>
      </c>
      <c r="D49" s="179">
        <f>'Данные Брус'!D80</f>
        <v>30</v>
      </c>
      <c r="E49" s="41">
        <f>'Данные Брус'!E112</f>
        <v>600</v>
      </c>
      <c r="F49" s="41">
        <f>D49*E49</f>
        <v>18000</v>
      </c>
      <c r="G49" s="161" t="s">
        <v>202</v>
      </c>
      <c r="H49" s="82" t="s">
        <v>63</v>
      </c>
      <c r="I49" s="83">
        <f>балки!K9</f>
        <v>2.88</v>
      </c>
      <c r="J49" s="84">
        <f>'Данные Брус'!E83</f>
        <v>24000</v>
      </c>
      <c r="K49" s="85">
        <f>I49*J49</f>
        <v>69120</v>
      </c>
    </row>
    <row r="50" spans="1:13">
      <c r="A50" s="80"/>
      <c r="B50" s="81"/>
      <c r="C50" s="40"/>
      <c r="D50" s="179"/>
      <c r="E50" s="41"/>
      <c r="F50" s="41"/>
      <c r="G50" s="183" t="s">
        <v>89</v>
      </c>
      <c r="H50" s="184" t="s">
        <v>85</v>
      </c>
      <c r="I50" s="191">
        <f>балки!I9*2</f>
        <v>96</v>
      </c>
      <c r="J50" s="84">
        <f>'Данные Брус'!E84</f>
        <v>65</v>
      </c>
      <c r="K50" s="85">
        <f>I50*J50</f>
        <v>6240</v>
      </c>
      <c r="M50" s="315"/>
    </row>
    <row r="51" spans="1:13">
      <c r="A51" s="174"/>
      <c r="B51" s="185"/>
      <c r="C51" s="186"/>
      <c r="D51" s="187"/>
      <c r="E51" s="187"/>
      <c r="F51" s="187"/>
      <c r="G51" s="239" t="s">
        <v>153</v>
      </c>
      <c r="H51" s="175" t="s">
        <v>85</v>
      </c>
      <c r="I51" s="428">
        <f>I50*4</f>
        <v>384</v>
      </c>
      <c r="J51" s="188">
        <f>'Данные Брус'!E85</f>
        <v>13</v>
      </c>
      <c r="K51" s="188">
        <f>I51*J51</f>
        <v>4992</v>
      </c>
    </row>
    <row r="52" spans="1:13">
      <c r="A52" s="169"/>
      <c r="B52" s="170"/>
      <c r="C52" s="171"/>
      <c r="D52" s="109"/>
      <c r="E52" s="109"/>
      <c r="F52" s="109"/>
      <c r="G52" s="433" t="s">
        <v>161</v>
      </c>
      <c r="H52" s="97" t="s">
        <v>156</v>
      </c>
      <c r="I52" s="215">
        <f>I50*20/395</f>
        <v>4.8607594936708862</v>
      </c>
      <c r="J52" s="172">
        <f>'Данные Брус'!E86</f>
        <v>380</v>
      </c>
      <c r="K52" s="173">
        <f t="shared" ref="K52" si="3">I52*J52</f>
        <v>1847.0886075949368</v>
      </c>
    </row>
    <row r="53" spans="1:13">
      <c r="A53" s="122"/>
      <c r="B53" s="123"/>
      <c r="C53" s="72"/>
      <c r="D53" s="1229" t="s">
        <v>157</v>
      </c>
      <c r="E53" s="1229"/>
      <c r="F53" s="124">
        <f>SUM(F49:F52)</f>
        <v>18000</v>
      </c>
      <c r="G53" s="125"/>
      <c r="H53" s="126"/>
      <c r="I53" s="1230" t="s">
        <v>158</v>
      </c>
      <c r="J53" s="1230"/>
      <c r="K53" s="124">
        <f>SUM(K49:K52)</f>
        <v>82199.088607594938</v>
      </c>
    </row>
    <row r="54" spans="1:13">
      <c r="A54" s="122"/>
      <c r="B54" s="123"/>
      <c r="C54" s="72"/>
      <c r="D54" s="127"/>
      <c r="E54" s="127"/>
      <c r="F54" s="128"/>
      <c r="G54" s="125"/>
      <c r="H54" s="126"/>
      <c r="I54" s="129"/>
      <c r="J54" s="129"/>
      <c r="K54" s="128"/>
    </row>
    <row r="55" spans="1:13">
      <c r="A55" s="1231" t="s">
        <v>226</v>
      </c>
      <c r="B55" s="1231"/>
      <c r="C55" s="126"/>
      <c r="D55" s="127"/>
      <c r="E55" s="127"/>
      <c r="F55" s="128"/>
      <c r="G55" s="125"/>
      <c r="H55" s="126"/>
      <c r="I55" s="129"/>
      <c r="J55" s="129"/>
      <c r="K55" s="128"/>
    </row>
    <row r="56" spans="1:13" ht="15" customHeight="1">
      <c r="A56" s="130"/>
      <c r="B56" s="131"/>
      <c r="C56" s="130"/>
      <c r="D56" s="130"/>
      <c r="E56" s="132"/>
      <c r="F56" s="130"/>
      <c r="G56" s="133"/>
      <c r="H56" s="82"/>
      <c r="I56" s="83"/>
      <c r="J56" s="120"/>
      <c r="K56" s="130"/>
    </row>
    <row r="57" spans="1:13">
      <c r="A57" s="130"/>
      <c r="B57" s="131"/>
      <c r="C57" s="130"/>
      <c r="D57" s="130"/>
      <c r="E57" s="132"/>
      <c r="F57" s="130"/>
      <c r="G57" s="133"/>
      <c r="H57" s="130"/>
      <c r="I57" s="135"/>
      <c r="J57" s="135"/>
      <c r="K57" s="130"/>
    </row>
    <row r="58" spans="1:13">
      <c r="A58" s="130"/>
      <c r="B58" s="131"/>
      <c r="C58" s="130"/>
      <c r="D58" s="136"/>
      <c r="E58" s="137"/>
      <c r="F58" s="138"/>
      <c r="G58" s="134"/>
      <c r="H58" s="130"/>
      <c r="I58" s="139"/>
      <c r="J58" s="139"/>
      <c r="K58" s="130"/>
    </row>
    <row r="59" spans="1:13">
      <c r="A59" s="130"/>
      <c r="B59" s="131"/>
      <c r="C59" s="130"/>
      <c r="D59" s="136"/>
      <c r="E59" s="137"/>
      <c r="F59" s="138"/>
      <c r="G59" s="133"/>
      <c r="H59" s="130"/>
      <c r="I59" s="139"/>
      <c r="J59" s="139"/>
      <c r="K59" s="130"/>
    </row>
    <row r="60" spans="1:13">
      <c r="A60" s="130"/>
      <c r="B60" s="131"/>
      <c r="C60" s="130"/>
      <c r="D60" s="136"/>
      <c r="E60" s="137"/>
      <c r="F60" s="138"/>
      <c r="G60" s="133"/>
      <c r="H60" s="130"/>
      <c r="I60" s="135"/>
      <c r="J60" s="135"/>
      <c r="K60" s="130"/>
    </row>
    <row r="61" spans="1:13">
      <c r="A61" s="126"/>
      <c r="B61" s="125"/>
      <c r="C61" s="126"/>
      <c r="D61" s="1242"/>
      <c r="E61" s="1243"/>
      <c r="F61" s="138"/>
      <c r="G61" s="125"/>
      <c r="H61" s="126"/>
      <c r="I61" s="1244"/>
      <c r="J61" s="1245"/>
      <c r="K61" s="138"/>
    </row>
    <row r="62" spans="1:13">
      <c r="A62" s="126"/>
      <c r="B62" s="125"/>
      <c r="C62" s="126"/>
      <c r="D62" s="127"/>
      <c r="E62" s="127"/>
      <c r="F62" s="128"/>
      <c r="G62" s="125"/>
      <c r="H62" s="126"/>
      <c r="I62" s="129"/>
      <c r="J62" s="129"/>
      <c r="K62" s="128"/>
    </row>
    <row r="64" spans="1:13">
      <c r="C64" s="1195"/>
      <c r="D64" s="1195"/>
      <c r="E64" s="1195"/>
      <c r="F64" s="1195"/>
      <c r="G64" s="141"/>
    </row>
    <row r="65" spans="1:11 16384:16384">
      <c r="C65" s="1195"/>
      <c r="D65" s="1195"/>
      <c r="E65" s="1195"/>
      <c r="F65" s="1195"/>
      <c r="G65" s="141"/>
    </row>
    <row r="66" spans="1:11 16384:16384">
      <c r="C66" s="1195"/>
      <c r="D66" s="1195"/>
      <c r="E66" s="1195"/>
      <c r="F66" s="1195"/>
      <c r="G66" s="141"/>
    </row>
    <row r="67" spans="1:11 16384:16384">
      <c r="C67" s="1195"/>
      <c r="D67" s="1195"/>
      <c r="E67" s="1195"/>
      <c r="F67" s="1195"/>
      <c r="G67" s="141"/>
    </row>
    <row r="68" spans="1:11 16384:16384">
      <c r="C68" s="1195"/>
      <c r="D68" s="1195"/>
      <c r="E68" s="1195"/>
      <c r="F68" s="1195"/>
      <c r="G68" s="141"/>
    </row>
    <row r="69" spans="1:11 16384:16384">
      <c r="C69" s="1195"/>
      <c r="D69" s="1195"/>
      <c r="E69" s="1195"/>
      <c r="F69" s="1195"/>
      <c r="G69" s="141"/>
    </row>
    <row r="70" spans="1:11 16384:16384">
      <c r="C70" s="1195"/>
      <c r="D70" s="1195"/>
      <c r="E70" s="1195"/>
      <c r="F70" s="1195"/>
      <c r="G70" s="141"/>
    </row>
    <row r="71" spans="1:11 16384:16384">
      <c r="C71" s="1246"/>
      <c r="D71" s="1246"/>
      <c r="E71" s="1246"/>
      <c r="F71" s="1246"/>
      <c r="G71" s="142"/>
    </row>
    <row r="72" spans="1:11 16384:16384" ht="16" thickBot="1">
      <c r="C72" s="1247"/>
      <c r="D72" s="1247"/>
      <c r="E72" s="1247"/>
      <c r="F72" s="1247"/>
      <c r="G72" s="143"/>
    </row>
    <row r="73" spans="1:11 16384:16384" ht="17" thickBot="1">
      <c r="C73" s="1248"/>
      <c r="D73" s="1249"/>
      <c r="E73" s="1249"/>
      <c r="F73" s="1250"/>
      <c r="G73" s="144"/>
      <c r="I73" s="145"/>
      <c r="J73" s="146"/>
    </row>
    <row r="74" spans="1:11 16384:16384">
      <c r="XFD74" s="37">
        <f>SUM(A74:XFC74)</f>
        <v>0</v>
      </c>
    </row>
    <row r="75" spans="1:11 16384:16384">
      <c r="A75" s="147"/>
      <c r="B75" s="147"/>
      <c r="C75" s="147"/>
      <c r="D75" s="147"/>
      <c r="E75" s="147"/>
      <c r="F75" s="148"/>
      <c r="G75" s="149"/>
      <c r="H75" s="147"/>
      <c r="I75" s="147"/>
      <c r="J75" s="147"/>
      <c r="K75" s="147"/>
    </row>
    <row r="76" spans="1:11 16384:16384">
      <c r="A76" s="147"/>
      <c r="B76" s="147"/>
      <c r="C76" s="147"/>
      <c r="D76" s="147"/>
      <c r="E76" s="147"/>
      <c r="F76" s="148"/>
      <c r="G76" s="150"/>
      <c r="H76" s="147"/>
      <c r="I76" s="147"/>
      <c r="J76" s="147"/>
      <c r="K76" s="147"/>
    </row>
    <row r="77" spans="1:11 16384:16384" ht="16">
      <c r="A77" s="147"/>
      <c r="B77" s="147"/>
      <c r="C77" s="147"/>
      <c r="D77" s="147"/>
      <c r="E77" s="147"/>
      <c r="F77" s="148"/>
      <c r="G77" s="151"/>
      <c r="H77" s="147"/>
      <c r="I77" s="147"/>
      <c r="J77" s="147"/>
      <c r="K77" s="147"/>
    </row>
    <row r="78" spans="1:11 16384:16384" ht="14" customHeight="1">
      <c r="A78" s="147"/>
      <c r="B78" s="147"/>
      <c r="C78" s="147"/>
      <c r="D78" s="147"/>
      <c r="E78" s="147"/>
      <c r="F78" s="148"/>
      <c r="G78" s="150"/>
      <c r="H78" s="147"/>
      <c r="I78" s="147"/>
      <c r="J78" s="147"/>
      <c r="K78" s="147"/>
    </row>
    <row r="79" spans="1:11 16384:16384">
      <c r="F79" s="152"/>
      <c r="G79" s="153"/>
    </row>
    <row r="80" spans="1:11 16384:16384">
      <c r="G80" s="154"/>
    </row>
    <row r="81" spans="1:7">
      <c r="G81" s="153"/>
    </row>
    <row r="82" spans="1:7" ht="14" customHeight="1">
      <c r="C82" s="155"/>
    </row>
    <row r="83" spans="1:7">
      <c r="C83" s="153"/>
    </row>
    <row r="84" spans="1:7">
      <c r="C84" s="155"/>
    </row>
    <row r="85" spans="1:7">
      <c r="C85" s="153"/>
    </row>
    <row r="86" spans="1:7">
      <c r="C86" s="155"/>
    </row>
    <row r="87" spans="1:7">
      <c r="C87" s="153"/>
    </row>
    <row r="88" spans="1:7">
      <c r="C88" s="155"/>
    </row>
    <row r="89" spans="1:7" s="147" customFormat="1">
      <c r="A89"/>
      <c r="B89"/>
      <c r="C89" s="153"/>
      <c r="D89"/>
      <c r="E89"/>
      <c r="F89"/>
      <c r="G89"/>
    </row>
    <row r="90" spans="1:7" s="147" customFormat="1">
      <c r="A90"/>
      <c r="B90"/>
      <c r="C90" s="37"/>
      <c r="D90"/>
      <c r="E90"/>
      <c r="F90"/>
      <c r="G90"/>
    </row>
    <row r="91" spans="1:7" s="147" customFormat="1">
      <c r="A91"/>
      <c r="B91"/>
      <c r="C91"/>
      <c r="D91"/>
      <c r="E91"/>
      <c r="F91"/>
      <c r="G91"/>
    </row>
    <row r="92" spans="1:7" s="147" customFormat="1">
      <c r="A92"/>
      <c r="B92"/>
      <c r="C92"/>
      <c r="D92"/>
      <c r="E92"/>
      <c r="F92"/>
      <c r="G92"/>
    </row>
  </sheetData>
  <customSheetViews>
    <customSheetView guid="{3274156B-1D2A-4448-883E-F1EEF1AAE0AF}" scale="90" topLeftCell="A25">
      <selection activeCell="I11" sqref="I11"/>
      <pageMargins left="0.7" right="0.7" top="0.75" bottom="0.75" header="0.3" footer="0.3"/>
    </customSheetView>
  </customSheetViews>
  <mergeCells count="43">
    <mergeCell ref="C70:F70"/>
    <mergeCell ref="C71:F71"/>
    <mergeCell ref="C72:F72"/>
    <mergeCell ref="C73:F73"/>
    <mergeCell ref="C64:F64"/>
    <mergeCell ref="C65:F65"/>
    <mergeCell ref="C66:F66"/>
    <mergeCell ref="C67:F67"/>
    <mergeCell ref="C68:F68"/>
    <mergeCell ref="C69:F69"/>
    <mergeCell ref="A48:E48"/>
    <mergeCell ref="D53:E53"/>
    <mergeCell ref="I53:J53"/>
    <mergeCell ref="A55:B55"/>
    <mergeCell ref="D61:E61"/>
    <mergeCell ref="I61:J61"/>
    <mergeCell ref="D47:E47"/>
    <mergeCell ref="I47:J47"/>
    <mergeCell ref="A12:B12"/>
    <mergeCell ref="D27:E27"/>
    <mergeCell ref="I27:J27"/>
    <mergeCell ref="A28:D28"/>
    <mergeCell ref="D34:E34"/>
    <mergeCell ref="I34:J34"/>
    <mergeCell ref="A35:K35"/>
    <mergeCell ref="A36:E36"/>
    <mergeCell ref="D41:E41"/>
    <mergeCell ref="I41:J41"/>
    <mergeCell ref="A42:E42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58F0-4962-447D-BB43-8AFC8180B9C5}">
  <sheetPr codeName="Sheet6">
    <tabColor rgb="FFFF0000"/>
  </sheetPr>
  <dimension ref="A1:XFD91"/>
  <sheetViews>
    <sheetView topLeftCell="A28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/>
      <c r="B13" s="81"/>
      <c r="C13" s="40"/>
      <c r="D13" s="237"/>
      <c r="E13" s="41"/>
      <c r="F13" s="42"/>
      <c r="G13" s="161"/>
      <c r="H13" s="82"/>
      <c r="I13" s="233"/>
      <c r="J13" s="84"/>
      <c r="K13" s="85"/>
    </row>
    <row r="14" spans="1:11">
      <c r="A14" s="189"/>
      <c r="B14" s="161"/>
      <c r="C14" s="190"/>
      <c r="D14" s="163"/>
      <c r="E14" s="163"/>
      <c r="F14" s="42"/>
      <c r="G14" s="161"/>
      <c r="H14" s="82"/>
      <c r="I14" s="191"/>
      <c r="J14" s="84"/>
      <c r="K14" s="85"/>
    </row>
    <row r="15" spans="1:11">
      <c r="A15" s="208"/>
      <c r="B15" s="75"/>
      <c r="C15" s="209"/>
      <c r="D15" s="242"/>
      <c r="E15" s="242"/>
      <c r="F15" s="74"/>
      <c r="G15" s="200"/>
      <c r="H15" s="201"/>
      <c r="I15" s="202"/>
      <c r="J15" s="203"/>
      <c r="K15" s="173"/>
    </row>
    <row r="16" spans="1:11">
      <c r="A16" s="86"/>
      <c r="B16" s="39"/>
      <c r="C16" s="45"/>
      <c r="D16" s="46"/>
      <c r="E16" s="46"/>
      <c r="F16" s="47"/>
      <c r="G16" s="158"/>
      <c r="H16" s="159"/>
      <c r="I16" s="164"/>
      <c r="J16" s="88"/>
      <c r="K16" s="160"/>
    </row>
    <row r="17" spans="1:13">
      <c r="B17" s="39"/>
      <c r="C17" s="45"/>
      <c r="D17" s="46"/>
      <c r="E17" s="46"/>
      <c r="F17" s="47"/>
      <c r="G17" s="87"/>
      <c r="H17" s="88"/>
      <c r="I17" s="88"/>
      <c r="J17" s="88"/>
      <c r="K17" s="160"/>
    </row>
    <row r="18" spans="1:13">
      <c r="A18" s="86"/>
      <c r="B18" s="39"/>
      <c r="C18" s="45"/>
      <c r="D18" s="46"/>
      <c r="E18" s="46"/>
      <c r="F18" s="47"/>
      <c r="G18" s="87"/>
      <c r="H18" s="88"/>
      <c r="I18" s="165"/>
      <c r="J18" s="88"/>
      <c r="K18" s="160"/>
    </row>
    <row r="19" spans="1:13">
      <c r="A19" s="86"/>
      <c r="B19" s="39"/>
      <c r="C19" s="45"/>
      <c r="D19" s="46"/>
      <c r="E19" s="46"/>
      <c r="F19" s="47"/>
      <c r="G19" s="87"/>
      <c r="H19" s="88"/>
      <c r="I19" s="165"/>
      <c r="J19" s="88"/>
      <c r="K19" s="160"/>
    </row>
    <row r="20" spans="1:13">
      <c r="A20" s="86"/>
      <c r="B20" s="39"/>
      <c r="C20" s="45"/>
      <c r="D20" s="48"/>
      <c r="E20" s="46"/>
      <c r="F20" s="47"/>
      <c r="G20" s="87"/>
      <c r="H20" s="88"/>
      <c r="I20" s="88"/>
      <c r="J20" s="88"/>
      <c r="K20" s="160"/>
    </row>
    <row r="21" spans="1:13">
      <c r="A21" s="86"/>
      <c r="B21" s="39"/>
      <c r="C21" s="45"/>
      <c r="D21" s="48"/>
      <c r="E21" s="46"/>
      <c r="F21" s="47"/>
      <c r="G21" s="87"/>
      <c r="H21" s="88"/>
      <c r="I21" s="88"/>
      <c r="J21" s="88"/>
      <c r="K21" s="160"/>
    </row>
    <row r="22" spans="1:13">
      <c r="A22" s="86"/>
      <c r="B22" s="39"/>
      <c r="C22" s="45"/>
      <c r="D22" s="46"/>
      <c r="E22" s="46"/>
      <c r="F22" s="47"/>
      <c r="G22" s="87"/>
      <c r="H22" s="88"/>
      <c r="I22" s="88"/>
      <c r="J22" s="88"/>
      <c r="K22" s="160"/>
    </row>
    <row r="23" spans="1:13">
      <c r="A23" s="212"/>
      <c r="B23" s="96"/>
      <c r="C23" s="193"/>
      <c r="D23" s="48"/>
      <c r="E23" s="48"/>
      <c r="F23" s="47"/>
      <c r="G23" s="87"/>
      <c r="H23" s="88"/>
      <c r="I23" s="88"/>
      <c r="J23" s="88"/>
      <c r="K23" s="88"/>
    </row>
    <row r="24" spans="1:13">
      <c r="A24" s="212"/>
      <c r="B24" s="96"/>
      <c r="C24" s="193"/>
      <c r="D24" s="48"/>
      <c r="E24" s="48"/>
      <c r="F24" s="47"/>
      <c r="G24" s="87"/>
      <c r="H24" s="88"/>
      <c r="I24" s="88"/>
      <c r="J24" s="88"/>
      <c r="K24" s="88"/>
    </row>
    <row r="25" spans="1:13">
      <c r="A25" s="86"/>
      <c r="B25" s="39"/>
      <c r="C25" s="45"/>
      <c r="D25" s="46"/>
      <c r="E25" s="46"/>
      <c r="F25" s="47"/>
      <c r="G25" s="87"/>
      <c r="H25" s="88"/>
      <c r="I25" s="238"/>
      <c r="J25" s="88"/>
      <c r="K25" s="88"/>
    </row>
    <row r="26" spans="1:13">
      <c r="A26" s="86"/>
      <c r="B26" s="39"/>
      <c r="C26" s="45"/>
      <c r="D26" s="46"/>
      <c r="E26" s="46"/>
      <c r="F26" s="47"/>
      <c r="G26" s="314" t="s">
        <v>548</v>
      </c>
      <c r="H26" s="88"/>
      <c r="I26" s="88"/>
      <c r="J26" s="88"/>
      <c r="K26" s="88"/>
    </row>
    <row r="27" spans="1:13">
      <c r="A27" s="89"/>
      <c r="B27" s="90"/>
      <c r="C27" s="91"/>
      <c r="D27" s="1237"/>
      <c r="E27" s="1238"/>
      <c r="F27" s="92"/>
      <c r="G27" s="93"/>
      <c r="H27" s="94"/>
      <c r="I27" s="1238"/>
      <c r="J27" s="1238"/>
      <c r="K27" s="140"/>
    </row>
    <row r="28" spans="1:13">
      <c r="A28" s="1239" t="s">
        <v>368</v>
      </c>
      <c r="B28" s="1239"/>
      <c r="C28" s="1239"/>
      <c r="D28" s="1239"/>
      <c r="E28" s="94"/>
      <c r="F28" s="94"/>
      <c r="G28" s="319" t="s">
        <v>541</v>
      </c>
      <c r="H28" s="94"/>
      <c r="I28" s="94"/>
      <c r="J28" s="94"/>
      <c r="K28" s="94"/>
    </row>
    <row r="29" spans="1:13">
      <c r="A29" s="86" t="s">
        <v>146</v>
      </c>
      <c r="B29" s="39" t="s">
        <v>159</v>
      </c>
      <c r="C29" s="45" t="s">
        <v>160</v>
      </c>
      <c r="D29" s="95">
        <f>'Данные Брус'!D77</f>
        <v>35</v>
      </c>
      <c r="E29" s="46">
        <f>'Данные Брус'!E112</f>
        <v>600</v>
      </c>
      <c r="F29" s="46">
        <f>D29*E29</f>
        <v>21000</v>
      </c>
      <c r="G29" s="96" t="s">
        <v>550</v>
      </c>
      <c r="H29" s="193" t="s">
        <v>63</v>
      </c>
      <c r="I29" s="213">
        <f>балки!K6</f>
        <v>0.84</v>
      </c>
      <c r="J29" s="98">
        <f>'Данные Брус'!E82</f>
        <v>17000</v>
      </c>
      <c r="K29" s="99">
        <f>I29*J29</f>
        <v>14280</v>
      </c>
    </row>
    <row r="30" spans="1:13">
      <c r="A30" s="86"/>
      <c r="B30" s="39"/>
      <c r="C30" s="45"/>
      <c r="D30" s="95"/>
      <c r="E30" s="46"/>
      <c r="F30" s="46"/>
      <c r="G30" s="100" t="s">
        <v>89</v>
      </c>
      <c r="H30" s="101" t="s">
        <v>85</v>
      </c>
      <c r="I30" s="426">
        <f>балки!I6*2</f>
        <v>28</v>
      </c>
      <c r="J30" s="98">
        <f>'Данные Брус'!E84</f>
        <v>65</v>
      </c>
      <c r="K30" s="99">
        <f>I30*J30</f>
        <v>1820</v>
      </c>
      <c r="M30" s="315"/>
    </row>
    <row r="31" spans="1:13">
      <c r="A31" s="86"/>
      <c r="B31" s="102"/>
      <c r="C31" s="103"/>
      <c r="D31" s="104"/>
      <c r="E31" s="104"/>
      <c r="F31" s="105"/>
      <c r="G31" s="241" t="s">
        <v>153</v>
      </c>
      <c r="H31" s="193" t="s">
        <v>85</v>
      </c>
      <c r="I31" s="427">
        <f>I30*4</f>
        <v>112</v>
      </c>
      <c r="J31" s="99">
        <f>'Данные Брус'!E85</f>
        <v>13</v>
      </c>
      <c r="K31" s="99">
        <f t="shared" ref="K31:K32" si="0">I31*J31</f>
        <v>1456</v>
      </c>
    </row>
    <row r="32" spans="1:13">
      <c r="A32" s="86"/>
      <c r="B32" s="107"/>
      <c r="C32" s="103"/>
      <c r="D32" s="104"/>
      <c r="E32" s="108"/>
      <c r="F32" s="109"/>
      <c r="G32" s="432" t="s">
        <v>161</v>
      </c>
      <c r="H32" s="193" t="s">
        <v>156</v>
      </c>
      <c r="I32" s="215">
        <f>I30*20/395</f>
        <v>1.4177215189873418</v>
      </c>
      <c r="J32" s="111">
        <f>'Данные Брус'!E86</f>
        <v>380</v>
      </c>
      <c r="K32" s="99">
        <f t="shared" si="0"/>
        <v>538.7341772151899</v>
      </c>
    </row>
    <row r="33" spans="1:13">
      <c r="A33" s="89"/>
      <c r="B33" s="90"/>
      <c r="C33" s="91"/>
      <c r="D33" s="1237" t="s">
        <v>157</v>
      </c>
      <c r="E33" s="1238"/>
      <c r="F33" s="92">
        <f>SUM(F29:F32)</f>
        <v>21000</v>
      </c>
      <c r="G33" s="93"/>
      <c r="H33" s="94"/>
      <c r="I33" s="1238" t="s">
        <v>158</v>
      </c>
      <c r="J33" s="1238"/>
      <c r="K33" s="140">
        <f>SUM(K29:K32)</f>
        <v>18094.734177215189</v>
      </c>
    </row>
    <row r="34" spans="1:13">
      <c r="A34" s="1240"/>
      <c r="B34" s="1240"/>
      <c r="C34" s="1240"/>
      <c r="D34" s="1240"/>
      <c r="E34" s="1240"/>
      <c r="F34" s="1240"/>
      <c r="G34" s="1240"/>
      <c r="H34" s="1240"/>
      <c r="I34" s="1240"/>
      <c r="J34" s="1240"/>
      <c r="K34" s="1241"/>
    </row>
    <row r="35" spans="1:13">
      <c r="A35" s="1228" t="s">
        <v>369</v>
      </c>
      <c r="B35" s="1228"/>
      <c r="C35" s="1228"/>
      <c r="D35" s="1228"/>
      <c r="E35" s="1228"/>
      <c r="F35" s="166"/>
      <c r="G35" s="435" t="s">
        <v>541</v>
      </c>
      <c r="H35" s="177"/>
      <c r="I35" s="178"/>
      <c r="J35" s="78"/>
      <c r="K35" s="79"/>
    </row>
    <row r="36" spans="1:13">
      <c r="A36" s="80">
        <v>1</v>
      </c>
      <c r="B36" s="81" t="s">
        <v>159</v>
      </c>
      <c r="C36" s="40" t="s">
        <v>160</v>
      </c>
      <c r="D36" s="179">
        <f>'Данные Брус'!D78</f>
        <v>44</v>
      </c>
      <c r="E36" s="41">
        <f>'Данные Брус'!E112</f>
        <v>600</v>
      </c>
      <c r="F36" s="41">
        <f>D36*E36</f>
        <v>26400</v>
      </c>
      <c r="G36" s="161" t="s">
        <v>550</v>
      </c>
      <c r="H36" s="190" t="s">
        <v>63</v>
      </c>
      <c r="I36" s="83">
        <f>балки!K7</f>
        <v>0.6</v>
      </c>
      <c r="J36" s="84">
        <f>'Данные Брус'!E82</f>
        <v>17000</v>
      </c>
      <c r="K36" s="85">
        <f>I36*J36</f>
        <v>10200</v>
      </c>
    </row>
    <row r="37" spans="1:13">
      <c r="A37" s="80"/>
      <c r="B37" s="81"/>
      <c r="C37" s="40"/>
      <c r="D37" s="179"/>
      <c r="E37" s="41"/>
      <c r="F37" s="41"/>
      <c r="G37" s="183" t="s">
        <v>89</v>
      </c>
      <c r="H37" s="184" t="s">
        <v>85</v>
      </c>
      <c r="I37" s="191">
        <f>балки!I7*2</f>
        <v>30</v>
      </c>
      <c r="J37" s="84">
        <f>'Данные Брус'!E84</f>
        <v>65</v>
      </c>
      <c r="K37" s="85">
        <f>I37*J37</f>
        <v>1950</v>
      </c>
      <c r="M37" s="315"/>
    </row>
    <row r="38" spans="1:13">
      <c r="A38" s="80"/>
      <c r="B38" s="170"/>
      <c r="C38" s="171"/>
      <c r="D38" s="109"/>
      <c r="E38" s="109"/>
      <c r="F38" s="109"/>
      <c r="G38" s="240" t="s">
        <v>153</v>
      </c>
      <c r="H38" s="190" t="s">
        <v>85</v>
      </c>
      <c r="I38" s="191">
        <f>I37*4</f>
        <v>120</v>
      </c>
      <c r="J38" s="85">
        <f>'Данные Брус'!E85</f>
        <v>13</v>
      </c>
      <c r="K38" s="85">
        <f>I38*J38</f>
        <v>1560</v>
      </c>
    </row>
    <row r="39" spans="1:13">
      <c r="A39" s="180"/>
      <c r="B39" s="181"/>
      <c r="C39" s="182"/>
      <c r="D39" s="167"/>
      <c r="E39" s="167"/>
      <c r="F39" s="167"/>
      <c r="G39" s="433" t="s">
        <v>161</v>
      </c>
      <c r="H39" s="434" t="s">
        <v>156</v>
      </c>
      <c r="I39" s="225">
        <f>I37*20/395</f>
        <v>1.518987341772152</v>
      </c>
      <c r="J39" s="172">
        <f>'Данные Брус'!E86</f>
        <v>380</v>
      </c>
      <c r="K39" s="173">
        <f t="shared" ref="K39" si="1">I39*J39</f>
        <v>577.21518987341778</v>
      </c>
    </row>
    <row r="40" spans="1:13">
      <c r="A40" s="122"/>
      <c r="B40" s="123"/>
      <c r="C40" s="72"/>
      <c r="D40" s="1229" t="s">
        <v>157</v>
      </c>
      <c r="E40" s="1229"/>
      <c r="F40" s="124">
        <f>SUM(F36:F39)</f>
        <v>26400</v>
      </c>
      <c r="G40" s="125"/>
      <c r="H40" s="126"/>
      <c r="I40" s="1230" t="s">
        <v>158</v>
      </c>
      <c r="J40" s="1230"/>
      <c r="K40" s="124">
        <f>SUM(K36:K39)</f>
        <v>14287.215189873417</v>
      </c>
    </row>
    <row r="41" spans="1:13">
      <c r="A41" s="1228" t="s">
        <v>370</v>
      </c>
      <c r="B41" s="1228"/>
      <c r="C41" s="1228"/>
      <c r="D41" s="1228"/>
      <c r="E41" s="1228"/>
      <c r="F41" s="166"/>
      <c r="G41" s="435" t="s">
        <v>541</v>
      </c>
      <c r="H41" s="126"/>
      <c r="I41" s="178"/>
      <c r="J41" s="78"/>
      <c r="K41" s="79"/>
    </row>
    <row r="42" spans="1:13">
      <c r="A42" s="80">
        <v>1</v>
      </c>
      <c r="B42" s="81" t="s">
        <v>159</v>
      </c>
      <c r="C42" s="40" t="s">
        <v>160</v>
      </c>
      <c r="D42" s="179">
        <f>'Данные Брус'!D79</f>
        <v>55</v>
      </c>
      <c r="E42" s="41">
        <f>'Данные Брус'!E112</f>
        <v>600</v>
      </c>
      <c r="F42" s="41">
        <f>D42*E42</f>
        <v>33000</v>
      </c>
      <c r="G42" s="161" t="s">
        <v>550</v>
      </c>
      <c r="H42" s="190" t="s">
        <v>63</v>
      </c>
      <c r="I42" s="83">
        <f>балки!K8</f>
        <v>0.48</v>
      </c>
      <c r="J42" s="84">
        <f>'Данные Брус'!E82</f>
        <v>17000</v>
      </c>
      <c r="K42" s="85">
        <f>I42*J42</f>
        <v>8160</v>
      </c>
    </row>
    <row r="43" spans="1:13">
      <c r="A43" s="80"/>
      <c r="B43" s="81"/>
      <c r="C43" s="40"/>
      <c r="D43" s="179"/>
      <c r="E43" s="41"/>
      <c r="F43" s="41"/>
      <c r="G43" s="183" t="s">
        <v>89</v>
      </c>
      <c r="H43" s="184" t="s">
        <v>85</v>
      </c>
      <c r="I43" s="191">
        <f>балки!I8*2</f>
        <v>32</v>
      </c>
      <c r="J43" s="84">
        <f>'Данные Брус'!E84</f>
        <v>65</v>
      </c>
      <c r="K43" s="85">
        <f>I43*J43</f>
        <v>2080</v>
      </c>
      <c r="M43" s="315"/>
    </row>
    <row r="44" spans="1:13">
      <c r="A44" s="174"/>
      <c r="B44" s="185"/>
      <c r="C44" s="186"/>
      <c r="D44" s="187"/>
      <c r="E44" s="187"/>
      <c r="F44" s="430"/>
      <c r="G44" s="240" t="s">
        <v>153</v>
      </c>
      <c r="H44" s="190" t="s">
        <v>85</v>
      </c>
      <c r="I44" s="191">
        <f>I43*4</f>
        <v>128</v>
      </c>
      <c r="J44" s="85">
        <f>'Данные Брус'!E85</f>
        <v>13</v>
      </c>
      <c r="K44" s="85">
        <f>I44*J44</f>
        <v>1664</v>
      </c>
    </row>
    <row r="45" spans="1:13">
      <c r="A45" s="169"/>
      <c r="B45" s="170"/>
      <c r="C45" s="171"/>
      <c r="D45" s="109"/>
      <c r="E45" s="109"/>
      <c r="F45" s="431"/>
      <c r="G45" s="240" t="s">
        <v>161</v>
      </c>
      <c r="H45" s="190" t="s">
        <v>156</v>
      </c>
      <c r="I45" s="394">
        <f>I43*20/395</f>
        <v>1.620253164556962</v>
      </c>
      <c r="J45" s="85">
        <f>'Данные Брус'!E86</f>
        <v>380</v>
      </c>
      <c r="K45" s="85">
        <f t="shared" ref="K45" si="2">I45*J45</f>
        <v>615.69620253164555</v>
      </c>
    </row>
    <row r="46" spans="1:13">
      <c r="A46" s="122"/>
      <c r="B46" s="123"/>
      <c r="C46" s="72"/>
      <c r="D46" s="1229" t="s">
        <v>157</v>
      </c>
      <c r="E46" s="1229"/>
      <c r="F46" s="124">
        <f>SUM(F42:F45)</f>
        <v>33000</v>
      </c>
      <c r="G46" s="125"/>
      <c r="H46" s="126"/>
      <c r="I46" s="1230" t="s">
        <v>158</v>
      </c>
      <c r="J46" s="1230"/>
      <c r="K46" s="124">
        <f>SUM(K42:K45)</f>
        <v>12519.696202531646</v>
      </c>
    </row>
    <row r="47" spans="1:13">
      <c r="A47" s="1228" t="s">
        <v>546</v>
      </c>
      <c r="B47" s="1228"/>
      <c r="C47" s="1228"/>
      <c r="D47" s="1228"/>
      <c r="E47" s="1228"/>
      <c r="F47" s="166"/>
      <c r="G47" s="435" t="s">
        <v>541</v>
      </c>
      <c r="H47" s="126"/>
      <c r="I47" s="178"/>
      <c r="J47" s="78"/>
      <c r="K47" s="79"/>
    </row>
    <row r="48" spans="1:13">
      <c r="A48" s="80">
        <v>1</v>
      </c>
      <c r="B48" s="81" t="s">
        <v>159</v>
      </c>
      <c r="C48" s="40" t="s">
        <v>160</v>
      </c>
      <c r="D48" s="179">
        <f>'Данные Брус'!D80</f>
        <v>30</v>
      </c>
      <c r="E48" s="41">
        <f>'Данные Брус'!E112</f>
        <v>600</v>
      </c>
      <c r="F48" s="41">
        <f>D48*E48</f>
        <v>18000</v>
      </c>
      <c r="G48" s="161" t="s">
        <v>550</v>
      </c>
      <c r="H48" s="190" t="s">
        <v>63</v>
      </c>
      <c r="I48" s="83">
        <f>балки!K9</f>
        <v>2.88</v>
      </c>
      <c r="J48" s="84">
        <f>'Данные Брус'!E82</f>
        <v>17000</v>
      </c>
      <c r="K48" s="85">
        <f>I48*J48</f>
        <v>48960</v>
      </c>
    </row>
    <row r="49" spans="1:13">
      <c r="A49" s="80"/>
      <c r="B49" s="81"/>
      <c r="C49" s="40"/>
      <c r="D49" s="179"/>
      <c r="E49" s="41"/>
      <c r="F49" s="41"/>
      <c r="G49" s="183" t="s">
        <v>89</v>
      </c>
      <c r="H49" s="184" t="s">
        <v>85</v>
      </c>
      <c r="I49" s="191">
        <f>балки!I9*2</f>
        <v>96</v>
      </c>
      <c r="J49" s="84">
        <f>'Данные Брус'!E84</f>
        <v>65</v>
      </c>
      <c r="K49" s="85">
        <f>I49*J49</f>
        <v>6240</v>
      </c>
      <c r="M49" s="315"/>
    </row>
    <row r="50" spans="1:13">
      <c r="A50" s="174"/>
      <c r="B50" s="185"/>
      <c r="C50" s="186"/>
      <c r="D50" s="187"/>
      <c r="E50" s="187"/>
      <c r="F50" s="430"/>
      <c r="G50" s="240" t="s">
        <v>153</v>
      </c>
      <c r="H50" s="190" t="s">
        <v>85</v>
      </c>
      <c r="I50" s="191">
        <f>I49*4</f>
        <v>384</v>
      </c>
      <c r="J50" s="85">
        <f>'Данные Брус'!E85</f>
        <v>13</v>
      </c>
      <c r="K50" s="85">
        <f>I50*J50</f>
        <v>4992</v>
      </c>
    </row>
    <row r="51" spans="1:13">
      <c r="A51" s="169"/>
      <c r="B51" s="170"/>
      <c r="C51" s="171"/>
      <c r="D51" s="109"/>
      <c r="E51" s="109"/>
      <c r="F51" s="431"/>
      <c r="G51" s="240" t="s">
        <v>161</v>
      </c>
      <c r="H51" s="190" t="s">
        <v>156</v>
      </c>
      <c r="I51" s="394">
        <f>I49*20/395</f>
        <v>4.8607594936708862</v>
      </c>
      <c r="J51" s="85">
        <f>'Данные Брус'!E86</f>
        <v>380</v>
      </c>
      <c r="K51" s="85">
        <f t="shared" ref="K51" si="3">I51*J51</f>
        <v>1847.0886075949368</v>
      </c>
    </row>
    <row r="52" spans="1:13">
      <c r="A52" s="122"/>
      <c r="B52" s="123"/>
      <c r="C52" s="72"/>
      <c r="D52" s="1229" t="s">
        <v>157</v>
      </c>
      <c r="E52" s="1229"/>
      <c r="F52" s="124">
        <f>SUM(F48:F51)</f>
        <v>18000</v>
      </c>
      <c r="G52" s="125"/>
      <c r="H52" s="126"/>
      <c r="I52" s="1230" t="s">
        <v>158</v>
      </c>
      <c r="J52" s="1230"/>
      <c r="K52" s="124">
        <f>SUM(K48:K51)</f>
        <v>62039.088607594938</v>
      </c>
    </row>
    <row r="53" spans="1:13">
      <c r="A53" s="122"/>
      <c r="B53" s="123"/>
      <c r="C53" s="72"/>
      <c r="D53" s="127"/>
      <c r="E53" s="127"/>
      <c r="F53" s="128"/>
      <c r="G53" s="125"/>
      <c r="H53" s="126"/>
      <c r="I53" s="129"/>
      <c r="J53" s="129"/>
      <c r="K53" s="128"/>
    </row>
    <row r="54" spans="1:13">
      <c r="A54" s="1231" t="s">
        <v>226</v>
      </c>
      <c r="B54" s="1231"/>
      <c r="C54" s="126"/>
      <c r="D54" s="127"/>
      <c r="E54" s="127"/>
      <c r="F54" s="128"/>
      <c r="G54" s="125"/>
      <c r="H54" s="126"/>
      <c r="I54" s="129"/>
      <c r="J54" s="129"/>
      <c r="K54" s="128"/>
    </row>
    <row r="55" spans="1:13" ht="15" customHeight="1">
      <c r="A55" s="130"/>
      <c r="B55" s="131"/>
      <c r="C55" s="130"/>
      <c r="D55" s="130"/>
      <c r="E55" s="132"/>
      <c r="F55" s="130"/>
      <c r="G55" s="133"/>
      <c r="H55" s="82"/>
      <c r="I55" s="83"/>
      <c r="J55" s="120"/>
      <c r="K55" s="130"/>
    </row>
    <row r="56" spans="1:13">
      <c r="A56" s="130"/>
      <c r="B56" s="131"/>
      <c r="C56" s="130"/>
      <c r="D56" s="130"/>
      <c r="E56" s="132"/>
      <c r="F56" s="130"/>
      <c r="G56" s="133"/>
      <c r="H56" s="130"/>
      <c r="I56" s="135"/>
      <c r="J56" s="135"/>
      <c r="K56" s="130"/>
    </row>
    <row r="57" spans="1:13">
      <c r="A57" s="130"/>
      <c r="B57" s="131"/>
      <c r="C57" s="130"/>
      <c r="D57" s="136"/>
      <c r="E57" s="137"/>
      <c r="F57" s="138"/>
      <c r="G57" s="134"/>
      <c r="H57" s="130"/>
      <c r="I57" s="139"/>
      <c r="J57" s="139"/>
      <c r="K57" s="130"/>
    </row>
    <row r="58" spans="1:13">
      <c r="A58" s="130"/>
      <c r="B58" s="131"/>
      <c r="C58" s="130"/>
      <c r="D58" s="136"/>
      <c r="E58" s="137"/>
      <c r="F58" s="138"/>
      <c r="G58" s="133"/>
      <c r="H58" s="130"/>
      <c r="I58" s="139"/>
      <c r="J58" s="139"/>
      <c r="K58" s="130"/>
    </row>
    <row r="59" spans="1:13">
      <c r="A59" s="130"/>
      <c r="B59" s="131"/>
      <c r="C59" s="130"/>
      <c r="D59" s="136"/>
      <c r="E59" s="137"/>
      <c r="F59" s="138"/>
      <c r="G59" s="133"/>
      <c r="H59" s="130"/>
      <c r="I59" s="135"/>
      <c r="J59" s="135"/>
      <c r="K59" s="130"/>
    </row>
    <row r="60" spans="1:13">
      <c r="A60" s="126"/>
      <c r="B60" s="125"/>
      <c r="C60" s="126"/>
      <c r="D60" s="1242"/>
      <c r="E60" s="1243"/>
      <c r="F60" s="138"/>
      <c r="G60" s="125"/>
      <c r="H60" s="126"/>
      <c r="I60" s="1244"/>
      <c r="J60" s="1245"/>
      <c r="K60" s="138"/>
    </row>
    <row r="61" spans="1:13">
      <c r="A61" s="126"/>
      <c r="B61" s="125"/>
      <c r="C61" s="126"/>
      <c r="D61" s="127"/>
      <c r="E61" s="127"/>
      <c r="F61" s="128"/>
      <c r="G61" s="125"/>
      <c r="H61" s="126"/>
      <c r="I61" s="129"/>
      <c r="J61" s="129"/>
      <c r="K61" s="128"/>
    </row>
    <row r="63" spans="1:13">
      <c r="C63" s="1195"/>
      <c r="D63" s="1195"/>
      <c r="E63" s="1195"/>
      <c r="F63" s="1195"/>
      <c r="G63" s="141"/>
    </row>
    <row r="64" spans="1:13">
      <c r="C64" s="1195"/>
      <c r="D64" s="1195"/>
      <c r="E64" s="1195"/>
      <c r="F64" s="1195"/>
      <c r="G64" s="141"/>
    </row>
    <row r="65" spans="1:11 16384:16384">
      <c r="C65" s="1195"/>
      <c r="D65" s="1195"/>
      <c r="E65" s="1195"/>
      <c r="F65" s="1195"/>
      <c r="G65" s="141"/>
    </row>
    <row r="66" spans="1:11 16384:16384">
      <c r="C66" s="1195"/>
      <c r="D66" s="1195"/>
      <c r="E66" s="1195"/>
      <c r="F66" s="1195"/>
      <c r="G66" s="141"/>
    </row>
    <row r="67" spans="1:11 16384:16384">
      <c r="C67" s="1195"/>
      <c r="D67" s="1195"/>
      <c r="E67" s="1195"/>
      <c r="F67" s="1195"/>
      <c r="G67" s="141"/>
    </row>
    <row r="68" spans="1:11 16384:16384">
      <c r="C68" s="1195"/>
      <c r="D68" s="1195"/>
      <c r="E68" s="1195"/>
      <c r="F68" s="1195"/>
      <c r="G68" s="141"/>
    </row>
    <row r="69" spans="1:11 16384:16384">
      <c r="C69" s="1195"/>
      <c r="D69" s="1195"/>
      <c r="E69" s="1195"/>
      <c r="F69" s="1195"/>
      <c r="G69" s="141"/>
    </row>
    <row r="70" spans="1:11 16384:16384">
      <c r="C70" s="1246"/>
      <c r="D70" s="1246"/>
      <c r="E70" s="1246"/>
      <c r="F70" s="1246"/>
      <c r="G70" s="142"/>
    </row>
    <row r="71" spans="1:11 16384:16384" ht="16" thickBot="1">
      <c r="C71" s="1247"/>
      <c r="D71" s="1247"/>
      <c r="E71" s="1247"/>
      <c r="F71" s="1247"/>
      <c r="G71" s="143"/>
    </row>
    <row r="72" spans="1:11 16384:16384" ht="17" thickBot="1">
      <c r="C72" s="1248"/>
      <c r="D72" s="1249"/>
      <c r="E72" s="1249"/>
      <c r="F72" s="1250"/>
      <c r="G72" s="144"/>
      <c r="I72" s="145"/>
      <c r="J72" s="146"/>
    </row>
    <row r="73" spans="1:11 16384:16384">
      <c r="XFD73" s="37">
        <f>SUM(A73:XFC73)</f>
        <v>0</v>
      </c>
    </row>
    <row r="74" spans="1:11 16384:16384">
      <c r="A74" s="147"/>
      <c r="B74" s="147"/>
      <c r="C74" s="147"/>
      <c r="D74" s="147"/>
      <c r="E74" s="147"/>
      <c r="F74" s="148"/>
      <c r="G74" s="149"/>
      <c r="H74" s="147"/>
      <c r="I74" s="147"/>
      <c r="J74" s="147"/>
      <c r="K74" s="147"/>
    </row>
    <row r="75" spans="1:11 16384:16384">
      <c r="A75" s="147"/>
      <c r="B75" s="147"/>
      <c r="C75" s="147"/>
      <c r="D75" s="147"/>
      <c r="E75" s="147"/>
      <c r="F75" s="148"/>
      <c r="G75" s="150"/>
      <c r="H75" s="147"/>
      <c r="I75" s="147"/>
      <c r="J75" s="147"/>
      <c r="K75" s="147"/>
    </row>
    <row r="76" spans="1:11 16384:16384" ht="16">
      <c r="A76" s="147"/>
      <c r="B76" s="147"/>
      <c r="C76" s="147"/>
      <c r="D76" s="147"/>
      <c r="E76" s="147"/>
      <c r="F76" s="148"/>
      <c r="G76" s="151"/>
      <c r="H76" s="147"/>
      <c r="I76" s="147"/>
      <c r="J76" s="147"/>
      <c r="K76" s="147"/>
    </row>
    <row r="77" spans="1:11 16384:16384" ht="14" customHeight="1">
      <c r="A77" s="147"/>
      <c r="B77" s="147"/>
      <c r="C77" s="147"/>
      <c r="D77" s="147"/>
      <c r="E77" s="147"/>
      <c r="F77" s="148"/>
      <c r="G77" s="150"/>
      <c r="H77" s="147"/>
      <c r="I77" s="147"/>
      <c r="J77" s="147"/>
      <c r="K77" s="147"/>
    </row>
    <row r="78" spans="1:11 16384:16384">
      <c r="F78" s="152"/>
      <c r="G78" s="153"/>
    </row>
    <row r="79" spans="1:11 16384:16384">
      <c r="G79" s="154"/>
    </row>
    <row r="80" spans="1:11 16384:16384">
      <c r="G80" s="153"/>
    </row>
    <row r="81" spans="1:7" ht="14" customHeight="1">
      <c r="C81" s="155"/>
    </row>
    <row r="82" spans="1:7">
      <c r="C82" s="153"/>
    </row>
    <row r="83" spans="1:7">
      <c r="C83" s="155"/>
    </row>
    <row r="84" spans="1:7">
      <c r="C84" s="153"/>
    </row>
    <row r="85" spans="1:7">
      <c r="C85" s="155"/>
    </row>
    <row r="86" spans="1:7">
      <c r="C86" s="153"/>
    </row>
    <row r="87" spans="1:7">
      <c r="C87" s="155"/>
    </row>
    <row r="88" spans="1:7" s="147" customFormat="1">
      <c r="A88"/>
      <c r="B88"/>
      <c r="C88" s="153"/>
      <c r="D88"/>
      <c r="E88"/>
      <c r="F88"/>
      <c r="G88"/>
    </row>
    <row r="89" spans="1:7" s="147" customFormat="1">
      <c r="A89"/>
      <c r="B89"/>
      <c r="C89" s="37"/>
      <c r="D89"/>
      <c r="E89"/>
      <c r="F89"/>
      <c r="G89"/>
    </row>
    <row r="90" spans="1:7" s="147" customFormat="1">
      <c r="A90"/>
      <c r="B90"/>
      <c r="C90"/>
      <c r="D90"/>
      <c r="E90"/>
      <c r="F90"/>
      <c r="G90"/>
    </row>
    <row r="91" spans="1:7" s="147" customFormat="1">
      <c r="A91"/>
      <c r="B91"/>
      <c r="C91"/>
      <c r="D91"/>
      <c r="E91"/>
      <c r="F91"/>
      <c r="G91"/>
    </row>
  </sheetData>
  <customSheetViews>
    <customSheetView guid="{3274156B-1D2A-4448-883E-F1EEF1AAE0AF}" topLeftCell="A28">
      <selection activeCell="I11" sqref="I11"/>
      <pageMargins left="0.7" right="0.7" top="0.75" bottom="0.75" header="0.3" footer="0.3"/>
    </customSheetView>
  </customSheetViews>
  <mergeCells count="43">
    <mergeCell ref="C69:F69"/>
    <mergeCell ref="C70:F70"/>
    <mergeCell ref="C71:F71"/>
    <mergeCell ref="C72:F72"/>
    <mergeCell ref="C63:F63"/>
    <mergeCell ref="C64:F64"/>
    <mergeCell ref="C65:F65"/>
    <mergeCell ref="C66:F66"/>
    <mergeCell ref="C67:F67"/>
    <mergeCell ref="C68:F68"/>
    <mergeCell ref="A47:E47"/>
    <mergeCell ref="D52:E52"/>
    <mergeCell ref="I52:J52"/>
    <mergeCell ref="A54:B54"/>
    <mergeCell ref="D60:E60"/>
    <mergeCell ref="I60:J60"/>
    <mergeCell ref="D46:E46"/>
    <mergeCell ref="I46:J46"/>
    <mergeCell ref="A12:B12"/>
    <mergeCell ref="D27:E27"/>
    <mergeCell ref="I27:J27"/>
    <mergeCell ref="A28:D28"/>
    <mergeCell ref="D33:E33"/>
    <mergeCell ref="I33:J33"/>
    <mergeCell ref="A34:K34"/>
    <mergeCell ref="A35:E35"/>
    <mergeCell ref="D40:E40"/>
    <mergeCell ref="I40:J40"/>
    <mergeCell ref="A41:E41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846A-CD7D-430E-B7E5-F5F65827190F}">
  <sheetPr codeName="Sheet7">
    <tabColor rgb="FFFFFF00"/>
  </sheetPr>
  <dimension ref="B2:G89"/>
  <sheetViews>
    <sheetView workbookViewId="0">
      <selection activeCell="E39" sqref="E39"/>
    </sheetView>
  </sheetViews>
  <sheetFormatPr baseColWidth="10" defaultColWidth="8.83203125" defaultRowHeight="15"/>
  <cols>
    <col min="1" max="1" width="8.83203125" style="544"/>
    <col min="2" max="2" width="54.1640625" style="544" customWidth="1"/>
    <col min="3" max="3" width="9.83203125" style="544" bestFit="1" customWidth="1"/>
    <col min="4" max="4" width="9.6640625" style="551" customWidth="1"/>
    <col min="5" max="5" width="11.1640625" style="695" bestFit="1" customWidth="1"/>
    <col min="6" max="6" width="9.83203125" style="544" bestFit="1" customWidth="1"/>
    <col min="7" max="7" width="8.83203125" style="695"/>
    <col min="8" max="16384" width="8.83203125" style="544"/>
  </cols>
  <sheetData>
    <row r="2" spans="2:7" ht="16">
      <c r="D2" s="827" t="s">
        <v>462</v>
      </c>
      <c r="E2" s="695" t="s">
        <v>463</v>
      </c>
      <c r="F2" s="695" t="s">
        <v>464</v>
      </c>
    </row>
    <row r="3" spans="2:7">
      <c r="B3" s="1253" t="s">
        <v>465</v>
      </c>
      <c r="C3" s="1254"/>
      <c r="D3" s="551" t="s">
        <v>63</v>
      </c>
      <c r="E3" s="704">
        <v>1300</v>
      </c>
    </row>
    <row r="4" spans="2:7">
      <c r="B4" s="828" t="s">
        <v>466</v>
      </c>
      <c r="C4" s="829">
        <v>1500</v>
      </c>
      <c r="D4" s="695" t="s">
        <v>160</v>
      </c>
      <c r="E4" s="704">
        <v>65</v>
      </c>
    </row>
    <row r="5" spans="2:7">
      <c r="B5" s="828" t="s">
        <v>466</v>
      </c>
      <c r="C5" s="830">
        <v>2000</v>
      </c>
      <c r="D5" s="695" t="s">
        <v>160</v>
      </c>
      <c r="E5" s="704">
        <v>65</v>
      </c>
    </row>
    <row r="6" spans="2:7">
      <c r="B6" s="1255" t="s">
        <v>467</v>
      </c>
      <c r="C6" s="1256"/>
      <c r="D6" s="551" t="s">
        <v>63</v>
      </c>
      <c r="E6" s="704">
        <v>3150</v>
      </c>
    </row>
    <row r="7" spans="2:7">
      <c r="B7" s="1257" t="s">
        <v>468</v>
      </c>
      <c r="C7" s="1258"/>
      <c r="D7" s="551" t="s">
        <v>63</v>
      </c>
      <c r="E7" s="704">
        <v>16500</v>
      </c>
      <c r="G7" s="704">
        <f>E7/33</f>
        <v>500</v>
      </c>
    </row>
    <row r="8" spans="2:7">
      <c r="B8" s="1257" t="s">
        <v>469</v>
      </c>
      <c r="C8" s="1258"/>
      <c r="D8" s="551" t="s">
        <v>85</v>
      </c>
      <c r="E8" s="704">
        <v>240</v>
      </c>
    </row>
    <row r="9" spans="2:7">
      <c r="B9" s="1257" t="s">
        <v>470</v>
      </c>
      <c r="C9" s="1258"/>
      <c r="D9" s="551" t="s">
        <v>156</v>
      </c>
      <c r="E9" s="704">
        <v>360</v>
      </c>
    </row>
    <row r="10" spans="2:7">
      <c r="B10" s="1257" t="s">
        <v>471</v>
      </c>
      <c r="C10" s="1258"/>
      <c r="D10" s="551" t="s">
        <v>156</v>
      </c>
      <c r="E10" s="704">
        <v>360</v>
      </c>
    </row>
    <row r="11" spans="2:7">
      <c r="B11" s="1257" t="s">
        <v>472</v>
      </c>
      <c r="C11" s="1258"/>
      <c r="D11" s="551" t="s">
        <v>148</v>
      </c>
      <c r="E11" s="704">
        <v>60</v>
      </c>
    </row>
    <row r="12" spans="2:7">
      <c r="B12" s="1259" t="s">
        <v>473</v>
      </c>
      <c r="C12" s="1260"/>
      <c r="D12" s="551" t="s">
        <v>156</v>
      </c>
      <c r="E12" s="704">
        <v>160</v>
      </c>
    </row>
    <row r="13" spans="2:7">
      <c r="B13" s="1261" t="s">
        <v>474</v>
      </c>
      <c r="C13" s="1258"/>
      <c r="D13" s="551" t="s">
        <v>156</v>
      </c>
      <c r="E13" s="704">
        <v>390</v>
      </c>
    </row>
    <row r="14" spans="2:7">
      <c r="B14" s="1257" t="s">
        <v>475</v>
      </c>
      <c r="C14" s="1258"/>
      <c r="D14" s="551" t="s">
        <v>160</v>
      </c>
      <c r="E14" s="704">
        <v>100</v>
      </c>
    </row>
    <row r="15" spans="2:7">
      <c r="B15" s="1262" t="s">
        <v>476</v>
      </c>
      <c r="C15" s="1252"/>
      <c r="D15" s="551" t="s">
        <v>423</v>
      </c>
      <c r="E15" s="831">
        <f>1000/1.21*G15</f>
        <v>61735.53719008265</v>
      </c>
      <c r="G15" s="704">
        <v>74.7</v>
      </c>
    </row>
    <row r="16" spans="2:7">
      <c r="B16" s="1251" t="s">
        <v>477</v>
      </c>
      <c r="C16" s="1252"/>
      <c r="D16" s="551" t="s">
        <v>423</v>
      </c>
      <c r="E16" s="831">
        <f>1000/0.395*G16</f>
        <v>70886.075949367078</v>
      </c>
      <c r="G16" s="704">
        <v>28</v>
      </c>
    </row>
    <row r="17" spans="2:7">
      <c r="B17" s="1264" t="s">
        <v>478</v>
      </c>
      <c r="C17" s="1265"/>
      <c r="D17" s="551" t="s">
        <v>423</v>
      </c>
      <c r="E17" s="832">
        <f>G17*1000</f>
        <v>130000</v>
      </c>
      <c r="G17" s="704">
        <v>130</v>
      </c>
    </row>
    <row r="18" spans="2:7">
      <c r="B18" s="1266" t="s">
        <v>479</v>
      </c>
      <c r="C18" s="1267"/>
      <c r="D18" s="551" t="s">
        <v>63</v>
      </c>
      <c r="E18" s="704">
        <v>7200</v>
      </c>
    </row>
    <row r="19" spans="2:7">
      <c r="B19" s="1266" t="s">
        <v>480</v>
      </c>
      <c r="C19" s="1267"/>
      <c r="D19" s="551" t="s">
        <v>85</v>
      </c>
      <c r="E19" s="704">
        <v>11</v>
      </c>
    </row>
    <row r="20" spans="2:7">
      <c r="B20" s="1268" t="s">
        <v>481</v>
      </c>
      <c r="C20" s="1268"/>
      <c r="D20" s="551" t="s">
        <v>85</v>
      </c>
      <c r="E20" s="704">
        <v>1200</v>
      </c>
    </row>
    <row r="21" spans="2:7">
      <c r="B21" s="833" t="s">
        <v>482</v>
      </c>
      <c r="C21" s="833"/>
      <c r="D21" s="551" t="s">
        <v>184</v>
      </c>
      <c r="E21" s="704">
        <v>980</v>
      </c>
    </row>
    <row r="22" spans="2:7">
      <c r="B22" s="1268" t="s">
        <v>483</v>
      </c>
      <c r="C22" s="1268"/>
      <c r="D22" s="551" t="s">
        <v>484</v>
      </c>
      <c r="E22" s="704">
        <v>3968</v>
      </c>
    </row>
    <row r="23" spans="2:7">
      <c r="B23" s="1266" t="s">
        <v>485</v>
      </c>
      <c r="C23" s="1267"/>
      <c r="D23" s="551" t="s">
        <v>150</v>
      </c>
      <c r="E23" s="832">
        <f>E25*F25+E26*F26+E27*F27</f>
        <v>4.5</v>
      </c>
    </row>
    <row r="24" spans="2:7">
      <c r="E24" s="704"/>
    </row>
    <row r="25" spans="2:7">
      <c r="B25" s="1263" t="s">
        <v>486</v>
      </c>
      <c r="C25" s="1263"/>
      <c r="D25" s="551" t="s">
        <v>85</v>
      </c>
      <c r="E25" s="704">
        <v>45</v>
      </c>
      <c r="F25" s="834">
        <f>ROUNDUP((' Лента-расчеты'!B13+' Лента-расчеты'!B15+' Лента-расчеты'!B17+' Лента-расчеты'!B20+' Лента-расчеты'!B25)/20+(' Лента-расчеты'!B22+' Лента-расчеты'!B23)/30,1)</f>
        <v>0.1</v>
      </c>
    </row>
    <row r="26" spans="2:7">
      <c r="B26" s="1263" t="s">
        <v>487</v>
      </c>
      <c r="C26" s="1263"/>
      <c r="D26" s="551" t="s">
        <v>488</v>
      </c>
      <c r="E26" s="704">
        <v>55</v>
      </c>
      <c r="F26" s="832">
        <f>ROUNDUP(' Лента-расчеты'!H17*8/1000,0)</f>
        <v>0</v>
      </c>
    </row>
    <row r="27" spans="2:7">
      <c r="B27" s="1263" t="s">
        <v>489</v>
      </c>
      <c r="C27" s="1263"/>
      <c r="D27" s="551" t="s">
        <v>490</v>
      </c>
      <c r="E27" s="704">
        <v>170</v>
      </c>
      <c r="F27" s="835">
        <f>ROUNDUP(('Лента - данные'!D4+'Лента - данные'!D6)*2.2/150,0)</f>
        <v>0</v>
      </c>
    </row>
    <row r="29" spans="2:7">
      <c r="B29" s="836" t="s">
        <v>163</v>
      </c>
      <c r="C29" s="837">
        <v>3500</v>
      </c>
      <c r="D29" s="561" t="s">
        <v>167</v>
      </c>
      <c r="E29" s="838">
        <v>120</v>
      </c>
    </row>
    <row r="30" spans="2:7">
      <c r="B30" s="836" t="s">
        <v>491</v>
      </c>
      <c r="C30" s="837">
        <v>5000</v>
      </c>
      <c r="D30" s="561" t="s">
        <v>167</v>
      </c>
      <c r="E30" s="838">
        <v>120</v>
      </c>
    </row>
    <row r="31" spans="2:7">
      <c r="B31" s="836" t="s">
        <v>492</v>
      </c>
      <c r="C31" s="837">
        <v>18500</v>
      </c>
      <c r="D31" s="561" t="s">
        <v>167</v>
      </c>
      <c r="E31" s="606"/>
    </row>
    <row r="32" spans="2:7">
      <c r="B32" s="839" t="s">
        <v>493</v>
      </c>
      <c r="C32" s="840">
        <v>23500</v>
      </c>
      <c r="D32" s="841" t="s">
        <v>167</v>
      </c>
      <c r="E32" s="841"/>
    </row>
    <row r="35" spans="2:4">
      <c r="B35" s="842" t="s">
        <v>494</v>
      </c>
      <c r="C35" s="796" t="s">
        <v>462</v>
      </c>
      <c r="D35" s="796" t="s">
        <v>214</v>
      </c>
    </row>
    <row r="36" spans="2:4">
      <c r="B36" s="839" t="s">
        <v>524</v>
      </c>
      <c r="C36" s="796" t="s">
        <v>150</v>
      </c>
      <c r="D36" s="551">
        <v>3250</v>
      </c>
    </row>
    <row r="37" spans="2:4" ht="17">
      <c r="B37" s="843" t="s">
        <v>495</v>
      </c>
      <c r="C37" s="796" t="s">
        <v>160</v>
      </c>
      <c r="D37" s="795">
        <v>50</v>
      </c>
    </row>
    <row r="38" spans="2:4" ht="17">
      <c r="B38" s="843" t="s">
        <v>496</v>
      </c>
      <c r="C38" s="796" t="s">
        <v>63</v>
      </c>
      <c r="D38" s="795">
        <v>1250</v>
      </c>
    </row>
    <row r="39" spans="2:4" ht="17">
      <c r="B39" s="843" t="s">
        <v>497</v>
      </c>
      <c r="C39" s="796" t="s">
        <v>160</v>
      </c>
      <c r="D39" s="795">
        <v>150</v>
      </c>
    </row>
    <row r="40" spans="2:4" ht="17">
      <c r="B40" s="843" t="s">
        <v>498</v>
      </c>
      <c r="C40" s="796" t="s">
        <v>63</v>
      </c>
      <c r="D40" s="795">
        <v>800</v>
      </c>
    </row>
    <row r="41" spans="2:4" ht="17">
      <c r="B41" s="843" t="s">
        <v>499</v>
      </c>
      <c r="C41" s="796" t="s">
        <v>160</v>
      </c>
      <c r="D41" s="795">
        <v>50</v>
      </c>
    </row>
    <row r="42" spans="2:4" ht="17">
      <c r="B42" s="843" t="s">
        <v>500</v>
      </c>
      <c r="C42" s="796" t="s">
        <v>63</v>
      </c>
      <c r="D42" s="795">
        <v>800</v>
      </c>
    </row>
    <row r="43" spans="2:4" ht="17">
      <c r="B43" s="843" t="s">
        <v>501</v>
      </c>
      <c r="C43" s="796" t="s">
        <v>160</v>
      </c>
      <c r="D43" s="795">
        <v>240</v>
      </c>
    </row>
    <row r="44" spans="2:4" ht="17">
      <c r="B44" s="843" t="s">
        <v>502</v>
      </c>
      <c r="C44" s="796" t="s">
        <v>423</v>
      </c>
      <c r="D44" s="795">
        <v>17500</v>
      </c>
    </row>
    <row r="45" spans="2:4" ht="17">
      <c r="B45" s="843" t="s">
        <v>503</v>
      </c>
      <c r="C45" s="796" t="s">
        <v>85</v>
      </c>
      <c r="D45" s="795">
        <v>12</v>
      </c>
    </row>
    <row r="46" spans="2:4" ht="17">
      <c r="B46" s="843" t="s">
        <v>504</v>
      </c>
      <c r="C46" s="796" t="s">
        <v>85</v>
      </c>
      <c r="D46" s="795">
        <v>7</v>
      </c>
    </row>
    <row r="47" spans="2:4" ht="17">
      <c r="B47" s="843" t="s">
        <v>505</v>
      </c>
      <c r="C47" s="796" t="s">
        <v>85</v>
      </c>
      <c r="D47" s="795">
        <v>7</v>
      </c>
    </row>
    <row r="48" spans="2:4" ht="17">
      <c r="B48" s="843" t="s">
        <v>506</v>
      </c>
      <c r="C48" s="796" t="s">
        <v>85</v>
      </c>
      <c r="D48" s="795">
        <v>7</v>
      </c>
    </row>
    <row r="49" spans="2:7" ht="17">
      <c r="B49" s="843" t="s">
        <v>507</v>
      </c>
      <c r="C49" s="796" t="s">
        <v>85</v>
      </c>
      <c r="D49" s="795">
        <v>7</v>
      </c>
    </row>
    <row r="50" spans="2:7" ht="17">
      <c r="B50" s="843" t="s">
        <v>508</v>
      </c>
      <c r="C50" s="796" t="s">
        <v>85</v>
      </c>
      <c r="D50" s="795">
        <v>3</v>
      </c>
    </row>
    <row r="51" spans="2:7" ht="17">
      <c r="B51" s="843" t="s">
        <v>509</v>
      </c>
      <c r="C51" s="796" t="s">
        <v>85</v>
      </c>
      <c r="D51" s="795">
        <v>50</v>
      </c>
    </row>
    <row r="52" spans="2:7" ht="17">
      <c r="B52" s="843" t="s">
        <v>510</v>
      </c>
      <c r="C52" s="796" t="s">
        <v>63</v>
      </c>
      <c r="D52" s="795">
        <v>5850</v>
      </c>
    </row>
    <row r="53" spans="2:7" ht="17">
      <c r="B53" s="843" t="s">
        <v>511</v>
      </c>
      <c r="C53" s="796" t="s">
        <v>160</v>
      </c>
      <c r="D53" s="795">
        <v>450</v>
      </c>
    </row>
    <row r="54" spans="2:7" ht="17">
      <c r="B54" s="843" t="s">
        <v>512</v>
      </c>
      <c r="C54" s="796" t="s">
        <v>513</v>
      </c>
      <c r="D54" s="795">
        <v>4500</v>
      </c>
    </row>
    <row r="55" spans="2:7">
      <c r="B55" s="839"/>
    </row>
    <row r="56" spans="2:7">
      <c r="B56" s="839"/>
    </row>
    <row r="57" spans="2:7">
      <c r="B57" s="839"/>
    </row>
    <row r="59" spans="2:7" ht="16">
      <c r="D59" s="827" t="s">
        <v>462</v>
      </c>
      <c r="E59" s="695" t="s">
        <v>463</v>
      </c>
      <c r="F59" s="695" t="s">
        <v>464</v>
      </c>
    </row>
    <row r="60" spans="2:7">
      <c r="B60" s="1253" t="s">
        <v>465</v>
      </c>
      <c r="C60" s="1254"/>
      <c r="D60" s="551" t="s">
        <v>63</v>
      </c>
      <c r="E60" s="704">
        <v>1300</v>
      </c>
    </row>
    <row r="61" spans="2:7">
      <c r="B61" s="828" t="s">
        <v>466</v>
      </c>
      <c r="C61" s="829">
        <v>1500</v>
      </c>
      <c r="D61" s="695" t="s">
        <v>160</v>
      </c>
      <c r="E61" s="704">
        <v>65</v>
      </c>
    </row>
    <row r="62" spans="2:7">
      <c r="B62" s="828" t="s">
        <v>466</v>
      </c>
      <c r="C62" s="830">
        <v>2000</v>
      </c>
      <c r="D62" s="695" t="s">
        <v>160</v>
      </c>
      <c r="E62" s="704">
        <v>65</v>
      </c>
    </row>
    <row r="63" spans="2:7">
      <c r="B63" s="1255" t="s">
        <v>467</v>
      </c>
      <c r="C63" s="1256"/>
      <c r="D63" s="551" t="s">
        <v>63</v>
      </c>
      <c r="E63" s="704">
        <v>3150</v>
      </c>
    </row>
    <row r="64" spans="2:7">
      <c r="B64" s="1257" t="s">
        <v>468</v>
      </c>
      <c r="C64" s="1258"/>
      <c r="D64" s="551" t="s">
        <v>63</v>
      </c>
      <c r="E64" s="704">
        <v>16500</v>
      </c>
      <c r="G64" s="704">
        <f>E64/33</f>
        <v>500</v>
      </c>
    </row>
    <row r="65" spans="2:7">
      <c r="B65" s="1257" t="s">
        <v>469</v>
      </c>
      <c r="C65" s="1258"/>
      <c r="D65" s="551" t="s">
        <v>85</v>
      </c>
      <c r="E65" s="704">
        <v>240</v>
      </c>
    </row>
    <row r="66" spans="2:7">
      <c r="B66" s="1257" t="s">
        <v>470</v>
      </c>
      <c r="C66" s="1258"/>
      <c r="D66" s="551" t="s">
        <v>156</v>
      </c>
      <c r="E66" s="704">
        <v>360</v>
      </c>
    </row>
    <row r="67" spans="2:7">
      <c r="B67" s="1257" t="s">
        <v>471</v>
      </c>
      <c r="C67" s="1258"/>
      <c r="D67" s="551" t="s">
        <v>156</v>
      </c>
      <c r="E67" s="704">
        <v>360</v>
      </c>
    </row>
    <row r="68" spans="2:7">
      <c r="B68" s="1257" t="s">
        <v>472</v>
      </c>
      <c r="C68" s="1258"/>
      <c r="D68" s="551" t="s">
        <v>148</v>
      </c>
      <c r="E68" s="704">
        <v>60</v>
      </c>
    </row>
    <row r="69" spans="2:7">
      <c r="B69" s="1259" t="s">
        <v>473</v>
      </c>
      <c r="C69" s="1260"/>
      <c r="D69" s="551" t="s">
        <v>156</v>
      </c>
      <c r="E69" s="704">
        <v>160</v>
      </c>
    </row>
    <row r="70" spans="2:7">
      <c r="B70" s="1261" t="s">
        <v>474</v>
      </c>
      <c r="C70" s="1258"/>
      <c r="D70" s="551" t="s">
        <v>156</v>
      </c>
      <c r="E70" s="704">
        <v>390</v>
      </c>
    </row>
    <row r="71" spans="2:7">
      <c r="B71" s="1257" t="s">
        <v>475</v>
      </c>
      <c r="C71" s="1258"/>
      <c r="D71" s="551" t="s">
        <v>160</v>
      </c>
      <c r="E71" s="704">
        <v>100</v>
      </c>
    </row>
    <row r="72" spans="2:7">
      <c r="B72" s="1262" t="s">
        <v>476</v>
      </c>
      <c r="C72" s="1252"/>
      <c r="D72" s="551" t="s">
        <v>423</v>
      </c>
      <c r="E72" s="831">
        <f>1000/1.21*G72</f>
        <v>61735.53719008265</v>
      </c>
      <c r="G72" s="704">
        <v>74.7</v>
      </c>
    </row>
    <row r="73" spans="2:7">
      <c r="B73" s="1251" t="s">
        <v>477</v>
      </c>
      <c r="C73" s="1252"/>
      <c r="D73" s="551" t="s">
        <v>423</v>
      </c>
      <c r="E73" s="831">
        <f>1000/0.395*G73</f>
        <v>70886.075949367078</v>
      </c>
      <c r="G73" s="704">
        <v>28</v>
      </c>
    </row>
    <row r="74" spans="2:7">
      <c r="B74" s="1264" t="s">
        <v>478</v>
      </c>
      <c r="C74" s="1265"/>
      <c r="D74" s="551" t="s">
        <v>423</v>
      </c>
      <c r="E74" s="832">
        <f>G74*1000</f>
        <v>130000</v>
      </c>
      <c r="G74" s="704">
        <v>130</v>
      </c>
    </row>
    <row r="75" spans="2:7">
      <c r="B75" s="1266" t="s">
        <v>479</v>
      </c>
      <c r="C75" s="1267"/>
      <c r="D75" s="551" t="s">
        <v>63</v>
      </c>
      <c r="E75" s="704">
        <v>7200</v>
      </c>
    </row>
    <row r="76" spans="2:7">
      <c r="B76" s="1266" t="s">
        <v>480</v>
      </c>
      <c r="C76" s="1267"/>
      <c r="D76" s="551" t="s">
        <v>85</v>
      </c>
      <c r="E76" s="704">
        <v>11</v>
      </c>
    </row>
    <row r="77" spans="2:7">
      <c r="B77" s="1268" t="s">
        <v>481</v>
      </c>
      <c r="C77" s="1268"/>
      <c r="D77" s="551" t="s">
        <v>85</v>
      </c>
      <c r="E77" s="704">
        <v>1200</v>
      </c>
    </row>
    <row r="78" spans="2:7">
      <c r="B78" s="833" t="s">
        <v>482</v>
      </c>
      <c r="C78" s="833"/>
      <c r="D78" s="551" t="s">
        <v>184</v>
      </c>
      <c r="E78" s="704">
        <v>980</v>
      </c>
    </row>
    <row r="79" spans="2:7">
      <c r="B79" s="1268" t="s">
        <v>483</v>
      </c>
      <c r="C79" s="1268"/>
      <c r="D79" s="551" t="s">
        <v>484</v>
      </c>
      <c r="E79" s="704">
        <v>3968</v>
      </c>
    </row>
    <row r="80" spans="2:7">
      <c r="B80" s="1266" t="s">
        <v>485</v>
      </c>
      <c r="C80" s="1267"/>
      <c r="D80" s="551" t="s">
        <v>150</v>
      </c>
      <c r="E80" s="832">
        <f>E82*F82+E83*F83+E84*F84</f>
        <v>153</v>
      </c>
    </row>
    <row r="81" spans="2:6">
      <c r="E81" s="704"/>
    </row>
    <row r="82" spans="2:6">
      <c r="B82" s="1263" t="s">
        <v>486</v>
      </c>
      <c r="C82" s="1263"/>
      <c r="D82" s="551" t="s">
        <v>85</v>
      </c>
      <c r="E82" s="704">
        <v>45</v>
      </c>
      <c r="F82" s="834">
        <f>ROUNDUP((' Лента-расчеты'!B50+' Лента-расчеты'!B52+' Лента-расчеты'!B54+' Лента-расчеты'!B57+' Лента-расчеты'!B62)/20+(' Лента-расчеты'!B59+' Лента-расчеты'!B60)/30,1)</f>
        <v>3.4</v>
      </c>
    </row>
    <row r="83" spans="2:6">
      <c r="B83" s="1263" t="s">
        <v>487</v>
      </c>
      <c r="C83" s="1263"/>
      <c r="D83" s="551" t="s">
        <v>488</v>
      </c>
      <c r="E83" s="704">
        <v>55</v>
      </c>
      <c r="F83" s="832">
        <f>ROUNDUP(' Лента-расчеты'!H54*8/1000,0)</f>
        <v>0</v>
      </c>
    </row>
    <row r="84" spans="2:6">
      <c r="B84" s="1263" t="s">
        <v>489</v>
      </c>
      <c r="C84" s="1263"/>
      <c r="D84" s="551" t="s">
        <v>490</v>
      </c>
      <c r="E84" s="704">
        <v>170</v>
      </c>
      <c r="F84" s="835">
        <f>ROUNDUP(('Лента - данные'!D22+'Лента - данные'!D24)*2.2/150,0)</f>
        <v>0</v>
      </c>
    </row>
    <row r="86" spans="2:6">
      <c r="B86" s="836" t="s">
        <v>163</v>
      </c>
      <c r="C86" s="837">
        <v>3500</v>
      </c>
      <c r="D86" s="561" t="s">
        <v>167</v>
      </c>
      <c r="E86" s="838">
        <v>120</v>
      </c>
    </row>
    <row r="87" spans="2:6">
      <c r="B87" s="836" t="s">
        <v>491</v>
      </c>
      <c r="C87" s="837">
        <v>5000</v>
      </c>
      <c r="D87" s="561" t="s">
        <v>167</v>
      </c>
      <c r="E87" s="838">
        <v>120</v>
      </c>
    </row>
    <row r="88" spans="2:6">
      <c r="B88" s="836" t="s">
        <v>492</v>
      </c>
      <c r="C88" s="837">
        <v>18500</v>
      </c>
      <c r="D88" s="561" t="s">
        <v>167</v>
      </c>
      <c r="E88" s="606"/>
    </row>
    <row r="89" spans="2:6">
      <c r="B89" s="839" t="s">
        <v>493</v>
      </c>
      <c r="C89" s="840">
        <v>23500</v>
      </c>
      <c r="D89" s="841" t="s">
        <v>167</v>
      </c>
      <c r="E89" s="841"/>
    </row>
  </sheetData>
  <sheetProtection algorithmName="SHA-512" hashValue="+ZmyMFVk4LAYNF74DaQ0CoWhkBQfImfCjIfzGwj6pDvwH6NyGz6eI5WN3mb7xMz1FiPCYOWNjU+4QqERmb4Gow==" saltValue="9uMvVsJuuOcazONb1Q+JRQ==" spinCount="100000" sheet="1" objects="1" scenarios="1"/>
  <customSheetViews>
    <customSheetView guid="{3274156B-1D2A-4448-883E-F1EEF1AAE0AF}" topLeftCell="A76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2">
    <mergeCell ref="B84:C84"/>
    <mergeCell ref="B77:C77"/>
    <mergeCell ref="B79:C79"/>
    <mergeCell ref="B80:C80"/>
    <mergeCell ref="B82:C82"/>
    <mergeCell ref="B83:C83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0:C60"/>
    <mergeCell ref="B63:C63"/>
    <mergeCell ref="B64:C64"/>
    <mergeCell ref="B65:C65"/>
    <mergeCell ref="B66:C66"/>
    <mergeCell ref="B25:C25"/>
    <mergeCell ref="B26:C26"/>
    <mergeCell ref="B27:C27"/>
    <mergeCell ref="B17:C17"/>
    <mergeCell ref="B18:C18"/>
    <mergeCell ref="B19:C19"/>
    <mergeCell ref="B20:C20"/>
    <mergeCell ref="B22:C22"/>
    <mergeCell ref="B23:C23"/>
    <mergeCell ref="B16:C16"/>
    <mergeCell ref="B3:C3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B80-4E7F-4237-8A52-6F6EAA1687E0}">
  <sheetPr codeName="Sheet8">
    <tabColor rgb="FFFFFF00"/>
  </sheetPr>
  <dimension ref="A1:AK582"/>
  <sheetViews>
    <sheetView workbookViewId="0">
      <selection activeCell="C28" sqref="C28"/>
    </sheetView>
  </sheetViews>
  <sheetFormatPr baseColWidth="10" defaultColWidth="8.83203125" defaultRowHeight="15"/>
  <cols>
    <col min="1" max="1" width="51.5" customWidth="1"/>
    <col min="3" max="4" width="12.1640625" customWidth="1"/>
    <col min="5" max="5" width="11" bestFit="1" customWidth="1"/>
    <col min="8" max="8" width="0.6640625" customWidth="1"/>
    <col min="9" max="9" width="48.83203125" customWidth="1"/>
    <col min="11" max="11" width="10.1640625" customWidth="1"/>
    <col min="13" max="13" width="15" customWidth="1"/>
    <col min="16" max="16" width="47.33203125" customWidth="1"/>
    <col min="19" max="19" width="13.5" customWidth="1"/>
    <col min="20" max="20" width="13.1640625" customWidth="1"/>
  </cols>
  <sheetData>
    <row r="1" spans="1:37" ht="19">
      <c r="I1" s="456" t="s">
        <v>635</v>
      </c>
      <c r="AA1" t="s">
        <v>1078</v>
      </c>
      <c r="AB1" t="s">
        <v>1079</v>
      </c>
      <c r="AC1" t="s">
        <v>1080</v>
      </c>
      <c r="AD1" t="s">
        <v>1081</v>
      </c>
      <c r="AE1" t="s">
        <v>1082</v>
      </c>
      <c r="AF1" t="s">
        <v>1083</v>
      </c>
      <c r="AH1" t="s">
        <v>1084</v>
      </c>
      <c r="AI1" t="s">
        <v>1085</v>
      </c>
      <c r="AJ1" t="s">
        <v>1086</v>
      </c>
      <c r="AK1" t="s">
        <v>1087</v>
      </c>
    </row>
    <row r="2" spans="1:37">
      <c r="I2" s="36">
        <v>1</v>
      </c>
      <c r="J2" t="s">
        <v>636</v>
      </c>
      <c r="K2" s="457">
        <v>3650</v>
      </c>
      <c r="L2" s="457">
        <v>51</v>
      </c>
      <c r="M2" s="88"/>
      <c r="P2" s="1269" t="s">
        <v>637</v>
      </c>
      <c r="Q2" s="1270"/>
      <c r="R2" s="1270"/>
      <c r="S2" s="1270"/>
      <c r="T2" s="1270"/>
      <c r="AA2" t="s">
        <v>1088</v>
      </c>
      <c r="AB2" t="s">
        <v>1089</v>
      </c>
      <c r="AC2" t="s">
        <v>839</v>
      </c>
      <c r="AD2" t="s">
        <v>1090</v>
      </c>
      <c r="AE2" t="s">
        <v>1091</v>
      </c>
      <c r="AF2" t="s">
        <v>2172</v>
      </c>
      <c r="AH2" t="s">
        <v>1092</v>
      </c>
      <c r="AI2" t="s">
        <v>1093</v>
      </c>
      <c r="AJ2" t="s">
        <v>1094</v>
      </c>
      <c r="AK2" t="s">
        <v>2173</v>
      </c>
    </row>
    <row r="3" spans="1:37" ht="19">
      <c r="A3" s="458" t="s">
        <v>638</v>
      </c>
      <c r="B3" s="459"/>
      <c r="C3" s="460"/>
      <c r="D3" s="461"/>
      <c r="E3" s="462" t="s">
        <v>214</v>
      </c>
      <c r="I3" s="36">
        <v>2</v>
      </c>
      <c r="J3" t="s">
        <v>636</v>
      </c>
      <c r="K3" s="457">
        <v>3050</v>
      </c>
      <c r="L3" s="457">
        <v>17</v>
      </c>
      <c r="M3" s="88"/>
      <c r="P3" s="463" t="s">
        <v>639</v>
      </c>
      <c r="Q3" s="464" t="s">
        <v>160</v>
      </c>
      <c r="R3" s="465" t="str">
        <f>C4</f>
        <v>DB-size</v>
      </c>
      <c r="S3" s="466"/>
      <c r="T3" s="464"/>
      <c r="AA3" t="s">
        <v>1088</v>
      </c>
      <c r="AB3" t="s">
        <v>1089</v>
      </c>
      <c r="AC3" t="s">
        <v>842</v>
      </c>
      <c r="AD3" t="s">
        <v>1095</v>
      </c>
      <c r="AE3" t="s">
        <v>1096</v>
      </c>
      <c r="AF3" t="s">
        <v>2174</v>
      </c>
      <c r="AH3" t="s">
        <v>1092</v>
      </c>
      <c r="AI3" t="s">
        <v>1097</v>
      </c>
      <c r="AJ3" t="s">
        <v>1098</v>
      </c>
      <c r="AK3" t="s">
        <v>2175</v>
      </c>
    </row>
    <row r="4" spans="1:37">
      <c r="A4" s="467" t="s">
        <v>639</v>
      </c>
      <c r="B4" s="459" t="s">
        <v>160</v>
      </c>
      <c r="C4" s="1106" t="s">
        <v>2857</v>
      </c>
      <c r="D4" s="461"/>
      <c r="E4" s="378"/>
      <c r="I4" s="36">
        <v>3</v>
      </c>
      <c r="J4" t="s">
        <v>636</v>
      </c>
      <c r="K4" s="457">
        <v>0</v>
      </c>
      <c r="L4" s="457">
        <v>0</v>
      </c>
      <c r="M4" s="88"/>
      <c r="P4" s="131" t="s">
        <v>640</v>
      </c>
      <c r="Q4" s="130" t="s">
        <v>63</v>
      </c>
      <c r="R4" s="135"/>
      <c r="S4" s="130">
        <v>16000</v>
      </c>
      <c r="T4" s="130"/>
      <c r="AA4" t="s">
        <v>1088</v>
      </c>
      <c r="AB4" t="s">
        <v>1089</v>
      </c>
      <c r="AC4" t="s">
        <v>844</v>
      </c>
      <c r="AD4" t="s">
        <v>1095</v>
      </c>
      <c r="AE4" t="s">
        <v>1099</v>
      </c>
      <c r="AF4" t="s">
        <v>2176</v>
      </c>
      <c r="AH4" t="s">
        <v>1092</v>
      </c>
      <c r="AI4" t="s">
        <v>1100</v>
      </c>
      <c r="AJ4" t="s">
        <v>1101</v>
      </c>
      <c r="AK4" t="s">
        <v>2177</v>
      </c>
    </row>
    <row r="5" spans="1:37" ht="18.5" customHeight="1">
      <c r="A5" s="469" t="s">
        <v>641</v>
      </c>
      <c r="B5" s="459" t="s">
        <v>642</v>
      </c>
      <c r="C5" s="1110" t="s">
        <v>996</v>
      </c>
      <c r="D5" s="461"/>
      <c r="E5" s="378">
        <f>'Лента - данные'!F284</f>
        <v>0</v>
      </c>
      <c r="F5" t="s">
        <v>2533</v>
      </c>
      <c r="G5" cm="1">
        <f t="array" aca="1" ref="G5" ca="1">INDIRECT(SUBSTITUTE(MID(F5, 2, LEN(F5)), "'Данные - Крыша'!C", "'Данные - Крыша'!A"))</f>
        <v>0</v>
      </c>
      <c r="I5" s="36">
        <v>4</v>
      </c>
      <c r="J5" t="s">
        <v>636</v>
      </c>
      <c r="K5" s="457">
        <v>0</v>
      </c>
      <c r="L5" s="457">
        <v>0</v>
      </c>
      <c r="M5" s="88"/>
      <c r="P5" s="131" t="s">
        <v>643</v>
      </c>
      <c r="Q5" s="130" t="s">
        <v>63</v>
      </c>
      <c r="R5" s="135"/>
      <c r="S5" s="130">
        <v>16000</v>
      </c>
      <c r="T5" s="130"/>
      <c r="AA5" t="s">
        <v>1088</v>
      </c>
      <c r="AB5" t="s">
        <v>1089</v>
      </c>
      <c r="AC5" t="s">
        <v>846</v>
      </c>
      <c r="AD5" t="s">
        <v>1102</v>
      </c>
      <c r="AE5" t="s">
        <v>1103</v>
      </c>
      <c r="AF5" t="s">
        <v>2178</v>
      </c>
      <c r="AH5" t="s">
        <v>1092</v>
      </c>
      <c r="AI5" t="s">
        <v>1104</v>
      </c>
      <c r="AJ5" t="s">
        <v>1105</v>
      </c>
      <c r="AK5" t="s">
        <v>2179</v>
      </c>
    </row>
    <row r="6" spans="1:37" ht="17.5" customHeight="1">
      <c r="A6" s="470" t="s">
        <v>644</v>
      </c>
      <c r="B6" s="165" t="s">
        <v>184</v>
      </c>
      <c r="C6" s="1113" t="s">
        <v>999</v>
      </c>
      <c r="D6" s="165"/>
      <c r="E6" s="378">
        <f>'Лента - данные'!F285</f>
        <v>0</v>
      </c>
      <c r="F6" t="s">
        <v>2534</v>
      </c>
      <c r="I6" s="36">
        <v>5</v>
      </c>
      <c r="J6" t="s">
        <v>636</v>
      </c>
      <c r="K6" s="457">
        <v>0</v>
      </c>
      <c r="L6" s="457">
        <v>0</v>
      </c>
      <c r="M6" s="88"/>
      <c r="P6" s="131" t="s">
        <v>645</v>
      </c>
      <c r="Q6" s="130" t="s">
        <v>184</v>
      </c>
      <c r="R6" s="135"/>
      <c r="S6" s="130">
        <v>1200</v>
      </c>
      <c r="T6" s="130"/>
      <c r="AA6" t="s">
        <v>1088</v>
      </c>
      <c r="AB6" t="s">
        <v>1089</v>
      </c>
      <c r="AC6" t="s">
        <v>848</v>
      </c>
      <c r="AD6" t="s">
        <v>1106</v>
      </c>
      <c r="AE6" t="s">
        <v>1107</v>
      </c>
      <c r="AF6" t="s">
        <v>2180</v>
      </c>
      <c r="AH6" t="s">
        <v>1092</v>
      </c>
      <c r="AI6" t="s">
        <v>1108</v>
      </c>
      <c r="AJ6" t="s">
        <v>1109</v>
      </c>
      <c r="AK6" t="s">
        <v>2181</v>
      </c>
    </row>
    <row r="7" spans="1:37" ht="14.5" customHeight="1">
      <c r="A7" s="470" t="s">
        <v>646</v>
      </c>
      <c r="B7" s="165" t="s">
        <v>182</v>
      </c>
      <c r="C7" s="1113" t="s">
        <v>1002</v>
      </c>
      <c r="D7" s="165"/>
      <c r="E7" s="378">
        <f>'Лента - данные'!F286</f>
        <v>0</v>
      </c>
      <c r="F7" t="s">
        <v>2535</v>
      </c>
      <c r="I7" s="36">
        <v>6</v>
      </c>
      <c r="J7" t="s">
        <v>636</v>
      </c>
      <c r="K7" s="457">
        <v>0</v>
      </c>
      <c r="L7" s="457">
        <v>0</v>
      </c>
      <c r="M7" s="88"/>
      <c r="P7" s="131" t="s">
        <v>647</v>
      </c>
      <c r="Q7" s="130" t="s">
        <v>86</v>
      </c>
      <c r="R7" s="135"/>
      <c r="S7" s="130">
        <v>60</v>
      </c>
      <c r="T7" s="130"/>
      <c r="AA7" t="s">
        <v>1088</v>
      </c>
      <c r="AB7" t="s">
        <v>1089</v>
      </c>
      <c r="AC7" t="s">
        <v>849</v>
      </c>
      <c r="AD7" t="s">
        <v>1110</v>
      </c>
      <c r="AE7" t="s">
        <v>1111</v>
      </c>
      <c r="AF7" t="s">
        <v>2182</v>
      </c>
      <c r="AH7" t="s">
        <v>1092</v>
      </c>
      <c r="AI7" t="s">
        <v>1112</v>
      </c>
      <c r="AJ7" t="s">
        <v>1113</v>
      </c>
      <c r="AK7" t="s">
        <v>2183</v>
      </c>
    </row>
    <row r="8" spans="1:37" ht="18" customHeight="1">
      <c r="A8" s="470" t="s">
        <v>648</v>
      </c>
      <c r="B8" s="165" t="s">
        <v>649</v>
      </c>
      <c r="C8" s="1113" t="s">
        <v>1005</v>
      </c>
      <c r="D8" s="165"/>
      <c r="E8" s="378">
        <f>'Лента - данные'!F287</f>
        <v>0</v>
      </c>
      <c r="F8" t="s">
        <v>2536</v>
      </c>
      <c r="I8" s="36">
        <v>7</v>
      </c>
      <c r="J8" t="s">
        <v>636</v>
      </c>
      <c r="K8" s="457">
        <v>0</v>
      </c>
      <c r="L8" s="457">
        <v>0</v>
      </c>
      <c r="M8" s="88"/>
      <c r="P8" s="131" t="s">
        <v>650</v>
      </c>
      <c r="Q8" s="130" t="s">
        <v>160</v>
      </c>
      <c r="R8" s="135"/>
      <c r="S8" s="130">
        <v>50</v>
      </c>
      <c r="T8" s="130"/>
      <c r="AA8" t="s">
        <v>1088</v>
      </c>
      <c r="AB8" t="s">
        <v>1089</v>
      </c>
      <c r="AC8" t="s">
        <v>850</v>
      </c>
      <c r="AD8" t="s">
        <v>1114</v>
      </c>
      <c r="AE8" t="s">
        <v>1115</v>
      </c>
      <c r="AF8" t="s">
        <v>2184</v>
      </c>
      <c r="AH8" t="s">
        <v>1092</v>
      </c>
      <c r="AI8" t="s">
        <v>1116</v>
      </c>
      <c r="AJ8" t="s">
        <v>1117</v>
      </c>
      <c r="AK8" t="s">
        <v>2185</v>
      </c>
    </row>
    <row r="9" spans="1:37" ht="15" customHeight="1">
      <c r="A9" s="470" t="s">
        <v>651</v>
      </c>
      <c r="B9" s="165" t="s">
        <v>649</v>
      </c>
      <c r="C9" s="1113" t="s">
        <v>1008</v>
      </c>
      <c r="D9" s="165"/>
      <c r="E9" s="378">
        <f>'Лента - данные'!F288</f>
        <v>0</v>
      </c>
      <c r="F9" t="s">
        <v>2537</v>
      </c>
      <c r="I9" s="36">
        <v>8</v>
      </c>
      <c r="J9" t="s">
        <v>636</v>
      </c>
      <c r="K9" s="457">
        <v>0</v>
      </c>
      <c r="L9" s="457">
        <v>0</v>
      </c>
      <c r="M9" s="88"/>
      <c r="P9" s="131" t="s">
        <v>799</v>
      </c>
      <c r="Q9" s="130" t="s">
        <v>160</v>
      </c>
      <c r="R9" s="135"/>
      <c r="S9" s="130">
        <v>350</v>
      </c>
      <c r="T9" s="130"/>
      <c r="AA9" t="s">
        <v>1088</v>
      </c>
      <c r="AB9" t="s">
        <v>1089</v>
      </c>
      <c r="AC9" t="s">
        <v>856</v>
      </c>
      <c r="AD9" t="s">
        <v>1118</v>
      </c>
      <c r="AE9" t="s">
        <v>1119</v>
      </c>
      <c r="AF9" t="s">
        <v>2186</v>
      </c>
      <c r="AH9" t="s">
        <v>1092</v>
      </c>
      <c r="AI9" t="s">
        <v>1120</v>
      </c>
      <c r="AJ9" t="s">
        <v>1121</v>
      </c>
      <c r="AK9" t="s">
        <v>2187</v>
      </c>
    </row>
    <row r="10" spans="1:37" ht="15.5" customHeight="1">
      <c r="A10" s="470" t="s">
        <v>652</v>
      </c>
      <c r="B10" s="165" t="s">
        <v>85</v>
      </c>
      <c r="C10" s="1113" t="s">
        <v>1011</v>
      </c>
      <c r="D10" s="165"/>
      <c r="E10" s="378">
        <f>'Лента - данные'!F289</f>
        <v>0</v>
      </c>
      <c r="F10" t="s">
        <v>2538</v>
      </c>
      <c r="I10" s="36">
        <v>9</v>
      </c>
      <c r="J10" t="s">
        <v>636</v>
      </c>
      <c r="K10" s="457">
        <v>0</v>
      </c>
      <c r="L10" s="457">
        <v>0</v>
      </c>
      <c r="M10" s="88"/>
      <c r="P10" s="131" t="s">
        <v>796</v>
      </c>
      <c r="Q10" s="130" t="s">
        <v>160</v>
      </c>
      <c r="R10" s="135"/>
      <c r="S10" s="130">
        <v>200</v>
      </c>
      <c r="T10" s="130"/>
      <c r="AA10" t="s">
        <v>1088</v>
      </c>
      <c r="AB10" t="s">
        <v>1089</v>
      </c>
      <c r="AC10" t="s">
        <v>858</v>
      </c>
      <c r="AD10" t="s">
        <v>1122</v>
      </c>
      <c r="AE10" t="s">
        <v>1123</v>
      </c>
      <c r="AF10" t="s">
        <v>2188</v>
      </c>
      <c r="AH10" t="s">
        <v>1092</v>
      </c>
      <c r="AI10" t="s">
        <v>1124</v>
      </c>
      <c r="AJ10" t="s">
        <v>1125</v>
      </c>
      <c r="AK10" t="s">
        <v>2189</v>
      </c>
    </row>
    <row r="11" spans="1:37" ht="17.5" customHeight="1">
      <c r="A11" s="470" t="s">
        <v>655</v>
      </c>
      <c r="B11" s="165" t="s">
        <v>85</v>
      </c>
      <c r="C11" s="1113" t="s">
        <v>1014</v>
      </c>
      <c r="D11" s="165"/>
      <c r="E11" s="378">
        <f>'Лента - данные'!F290</f>
        <v>0</v>
      </c>
      <c r="F11" t="s">
        <v>2539</v>
      </c>
      <c r="I11" s="36">
        <v>10</v>
      </c>
      <c r="J11" t="s">
        <v>636</v>
      </c>
      <c r="K11" s="457">
        <v>0</v>
      </c>
      <c r="L11" s="457">
        <v>0</v>
      </c>
      <c r="M11" s="88"/>
      <c r="P11" s="131"/>
      <c r="Q11" s="130"/>
      <c r="R11" s="135"/>
      <c r="S11" s="130"/>
      <c r="T11" s="130"/>
      <c r="AA11" t="s">
        <v>1088</v>
      </c>
      <c r="AB11" t="s">
        <v>1089</v>
      </c>
      <c r="AC11" t="s">
        <v>859</v>
      </c>
      <c r="AD11" t="s">
        <v>1122</v>
      </c>
      <c r="AE11" t="s">
        <v>1126</v>
      </c>
      <c r="AF11" t="s">
        <v>2190</v>
      </c>
      <c r="AH11" t="s">
        <v>1092</v>
      </c>
      <c r="AI11" t="s">
        <v>1127</v>
      </c>
      <c r="AJ11" t="s">
        <v>1128</v>
      </c>
      <c r="AK11" t="s">
        <v>2191</v>
      </c>
    </row>
    <row r="12" spans="1:37" ht="14.5" customHeight="1">
      <c r="A12" s="470" t="s">
        <v>657</v>
      </c>
      <c r="B12" s="165" t="s">
        <v>85</v>
      </c>
      <c r="C12" s="1113" t="s">
        <v>1017</v>
      </c>
      <c r="D12" s="165"/>
      <c r="E12" s="378">
        <f>'Лента - данные'!F291</f>
        <v>0</v>
      </c>
      <c r="F12" t="s">
        <v>2540</v>
      </c>
      <c r="I12" s="36">
        <v>11</v>
      </c>
      <c r="J12" t="s">
        <v>636</v>
      </c>
      <c r="K12" s="457">
        <v>0</v>
      </c>
      <c r="L12" s="457">
        <v>0</v>
      </c>
      <c r="M12" s="88"/>
      <c r="P12" s="131" t="s">
        <v>653</v>
      </c>
      <c r="Q12" s="130" t="s">
        <v>654</v>
      </c>
      <c r="R12" s="135">
        <v>1</v>
      </c>
      <c r="S12" s="130">
        <v>2500</v>
      </c>
      <c r="T12" s="130"/>
      <c r="AA12" t="s">
        <v>1088</v>
      </c>
      <c r="AB12" t="s">
        <v>1089</v>
      </c>
      <c r="AC12" t="s">
        <v>860</v>
      </c>
      <c r="AD12" t="s">
        <v>1122</v>
      </c>
      <c r="AE12" t="s">
        <v>1129</v>
      </c>
      <c r="AF12" t="s">
        <v>2192</v>
      </c>
      <c r="AH12" t="s">
        <v>1092</v>
      </c>
      <c r="AI12" t="s">
        <v>1130</v>
      </c>
      <c r="AJ12" t="s">
        <v>1058</v>
      </c>
      <c r="AK12" t="s">
        <v>2193</v>
      </c>
    </row>
    <row r="13" spans="1:37" ht="15" customHeight="1">
      <c r="A13" s="470" t="s">
        <v>658</v>
      </c>
      <c r="B13" s="165" t="s">
        <v>85</v>
      </c>
      <c r="C13" s="1113" t="s">
        <v>1020</v>
      </c>
      <c r="D13" s="165"/>
      <c r="E13" s="378">
        <f>'Лента - данные'!F292</f>
        <v>0</v>
      </c>
      <c r="F13" t="s">
        <v>2541</v>
      </c>
      <c r="I13" s="36">
        <v>12</v>
      </c>
      <c r="J13" t="s">
        <v>636</v>
      </c>
      <c r="K13" s="457">
        <v>0</v>
      </c>
      <c r="L13" s="457">
        <v>0</v>
      </c>
      <c r="M13" s="88"/>
      <c r="P13" s="131" t="s">
        <v>656</v>
      </c>
      <c r="Q13" s="130" t="s">
        <v>167</v>
      </c>
      <c r="R13" s="135">
        <v>1</v>
      </c>
      <c r="S13" s="130">
        <v>10000</v>
      </c>
      <c r="T13" s="33"/>
      <c r="AA13" t="s">
        <v>1088</v>
      </c>
      <c r="AB13" t="s">
        <v>1089</v>
      </c>
      <c r="AC13" t="s">
        <v>861</v>
      </c>
      <c r="AD13" t="s">
        <v>1122</v>
      </c>
      <c r="AE13" t="s">
        <v>1131</v>
      </c>
      <c r="AF13" t="s">
        <v>2194</v>
      </c>
      <c r="AH13" t="s">
        <v>1092</v>
      </c>
      <c r="AI13" t="s">
        <v>1132</v>
      </c>
      <c r="AJ13" t="s">
        <v>1133</v>
      </c>
      <c r="AK13" t="s">
        <v>2195</v>
      </c>
    </row>
    <row r="14" spans="1:37" ht="12.5" customHeight="1">
      <c r="A14" s="470" t="s">
        <v>659</v>
      </c>
      <c r="B14" s="165" t="s">
        <v>85</v>
      </c>
      <c r="C14" s="1113" t="s">
        <v>1023</v>
      </c>
      <c r="D14" s="165"/>
      <c r="E14" s="378">
        <f>'Лента - данные'!F293</f>
        <v>0</v>
      </c>
      <c r="F14" t="s">
        <v>2542</v>
      </c>
      <c r="I14" s="36">
        <v>13</v>
      </c>
      <c r="J14" t="s">
        <v>636</v>
      </c>
      <c r="K14" s="457">
        <v>0</v>
      </c>
      <c r="L14" s="457">
        <v>0</v>
      </c>
      <c r="M14" s="88"/>
      <c r="AA14" t="s">
        <v>1088</v>
      </c>
      <c r="AB14" t="s">
        <v>1089</v>
      </c>
      <c r="AC14" t="s">
        <v>1134</v>
      </c>
      <c r="AD14" t="s">
        <v>1135</v>
      </c>
      <c r="AE14" t="s">
        <v>1136</v>
      </c>
      <c r="AF14" t="s">
        <v>2196</v>
      </c>
      <c r="AH14" t="s">
        <v>1092</v>
      </c>
      <c r="AI14" t="s">
        <v>1137</v>
      </c>
      <c r="AJ14" t="s">
        <v>1061</v>
      </c>
      <c r="AK14" t="s">
        <v>2197</v>
      </c>
    </row>
    <row r="15" spans="1:37" ht="30">
      <c r="A15" s="470" t="s">
        <v>660</v>
      </c>
      <c r="B15" s="165" t="s">
        <v>85</v>
      </c>
      <c r="C15" s="1113" t="s">
        <v>1026</v>
      </c>
      <c r="D15" s="165"/>
      <c r="E15" s="378">
        <f>'Лента - данные'!F294</f>
        <v>0</v>
      </c>
      <c r="F15" t="s">
        <v>2543</v>
      </c>
      <c r="I15" s="36">
        <v>14</v>
      </c>
      <c r="J15" t="s">
        <v>636</v>
      </c>
      <c r="K15" s="457">
        <v>0</v>
      </c>
      <c r="L15" s="457">
        <v>0</v>
      </c>
      <c r="M15" s="88"/>
      <c r="AA15" t="s">
        <v>1088</v>
      </c>
      <c r="AB15" t="s">
        <v>1089</v>
      </c>
      <c r="AC15" t="s">
        <v>863</v>
      </c>
      <c r="AD15" t="s">
        <v>1138</v>
      </c>
      <c r="AE15" t="s">
        <v>1139</v>
      </c>
      <c r="AF15" t="s">
        <v>2198</v>
      </c>
      <c r="AH15" t="s">
        <v>1092</v>
      </c>
      <c r="AI15" t="s">
        <v>1140</v>
      </c>
      <c r="AJ15" t="s">
        <v>1062</v>
      </c>
      <c r="AK15" t="s">
        <v>2199</v>
      </c>
    </row>
    <row r="16" spans="1:37" ht="15" customHeight="1">
      <c r="A16" s="470" t="s">
        <v>661</v>
      </c>
      <c r="B16" s="165" t="s">
        <v>182</v>
      </c>
      <c r="C16" s="1113" t="s">
        <v>1029</v>
      </c>
      <c r="D16" s="165"/>
      <c r="E16" s="378">
        <f>'Лента - данные'!F295</f>
        <v>0</v>
      </c>
      <c r="F16" t="s">
        <v>2544</v>
      </c>
      <c r="I16" s="36">
        <v>15</v>
      </c>
      <c r="J16" t="s">
        <v>636</v>
      </c>
      <c r="K16" s="457">
        <v>0</v>
      </c>
      <c r="L16" s="457">
        <v>0</v>
      </c>
      <c r="M16" s="88"/>
      <c r="AA16" t="s">
        <v>1088</v>
      </c>
      <c r="AB16" t="s">
        <v>1089</v>
      </c>
      <c r="AC16" t="s">
        <v>864</v>
      </c>
      <c r="AD16" t="s">
        <v>1141</v>
      </c>
      <c r="AE16" t="s">
        <v>1142</v>
      </c>
      <c r="AF16" t="s">
        <v>2200</v>
      </c>
      <c r="AH16" t="s">
        <v>1092</v>
      </c>
      <c r="AI16" t="s">
        <v>1143</v>
      </c>
      <c r="AJ16" t="s">
        <v>1063</v>
      </c>
      <c r="AK16" t="s">
        <v>2201</v>
      </c>
    </row>
    <row r="17" spans="1:37" ht="15.5" customHeight="1">
      <c r="A17" s="470" t="s">
        <v>662</v>
      </c>
      <c r="B17" s="165" t="s">
        <v>182</v>
      </c>
      <c r="C17" s="1113" t="s">
        <v>1032</v>
      </c>
      <c r="D17" s="165"/>
      <c r="E17" s="378">
        <f>'Лента - данные'!F296</f>
        <v>0</v>
      </c>
      <c r="F17" t="s">
        <v>2545</v>
      </c>
      <c r="I17" s="36">
        <v>16</v>
      </c>
      <c r="J17" t="s">
        <v>636</v>
      </c>
      <c r="K17" s="457">
        <v>0</v>
      </c>
      <c r="L17" s="457">
        <v>0</v>
      </c>
      <c r="M17" s="88"/>
      <c r="AA17" t="s">
        <v>1088</v>
      </c>
      <c r="AB17" t="s">
        <v>1089</v>
      </c>
      <c r="AC17" t="s">
        <v>841</v>
      </c>
      <c r="AD17" t="s">
        <v>1144</v>
      </c>
      <c r="AE17" t="s">
        <v>1145</v>
      </c>
      <c r="AF17" t="s">
        <v>2202</v>
      </c>
      <c r="AH17" t="s">
        <v>1092</v>
      </c>
      <c r="AI17" t="s">
        <v>1146</v>
      </c>
      <c r="AJ17" t="s">
        <v>1064</v>
      </c>
      <c r="AK17" t="s">
        <v>2203</v>
      </c>
    </row>
    <row r="18" spans="1:37" ht="15.5" customHeight="1">
      <c r="A18" s="470" t="s">
        <v>663</v>
      </c>
      <c r="B18" s="165" t="s">
        <v>85</v>
      </c>
      <c r="C18" s="1113" t="s">
        <v>1035</v>
      </c>
      <c r="D18" s="165"/>
      <c r="E18" s="378">
        <f>'Лента - данные'!F297</f>
        <v>0</v>
      </c>
      <c r="F18" t="s">
        <v>2546</v>
      </c>
      <c r="I18" s="36">
        <v>17</v>
      </c>
      <c r="J18" t="s">
        <v>636</v>
      </c>
      <c r="K18" s="457">
        <v>0</v>
      </c>
      <c r="L18" s="457">
        <v>0</v>
      </c>
      <c r="M18" s="88"/>
      <c r="AA18" t="s">
        <v>1088</v>
      </c>
      <c r="AB18" t="s">
        <v>1089</v>
      </c>
      <c r="AC18" t="s">
        <v>843</v>
      </c>
      <c r="AD18" t="s">
        <v>1147</v>
      </c>
      <c r="AE18" t="s">
        <v>1148</v>
      </c>
      <c r="AF18" t="s">
        <v>2204</v>
      </c>
      <c r="AH18" t="s">
        <v>1092</v>
      </c>
      <c r="AI18" t="s">
        <v>1149</v>
      </c>
      <c r="AJ18" t="s">
        <v>1150</v>
      </c>
      <c r="AK18" t="s">
        <v>2205</v>
      </c>
    </row>
    <row r="19" spans="1:37" ht="15.5" customHeight="1">
      <c r="A19" s="470" t="s">
        <v>664</v>
      </c>
      <c r="B19" s="165" t="s">
        <v>85</v>
      </c>
      <c r="C19" s="1113" t="s">
        <v>1038</v>
      </c>
      <c r="D19" s="165"/>
      <c r="E19" s="378">
        <f>'Лента - данные'!F298</f>
        <v>0</v>
      </c>
      <c r="F19" t="s">
        <v>2547</v>
      </c>
      <c r="I19" s="36">
        <v>18</v>
      </c>
      <c r="J19" t="s">
        <v>636</v>
      </c>
      <c r="K19" s="457">
        <v>0</v>
      </c>
      <c r="L19" s="457">
        <v>0</v>
      </c>
      <c r="M19" s="88"/>
      <c r="AA19" t="s">
        <v>1088</v>
      </c>
      <c r="AB19" t="s">
        <v>1089</v>
      </c>
      <c r="AC19" t="s">
        <v>845</v>
      </c>
      <c r="AD19" t="s">
        <v>1151</v>
      </c>
      <c r="AE19" t="s">
        <v>1152</v>
      </c>
      <c r="AF19" t="s">
        <v>2206</v>
      </c>
      <c r="AH19" t="s">
        <v>1092</v>
      </c>
      <c r="AI19" t="s">
        <v>1153</v>
      </c>
      <c r="AJ19" t="s">
        <v>1154</v>
      </c>
      <c r="AK19" t="s">
        <v>2207</v>
      </c>
    </row>
    <row r="20" spans="1:37" ht="13.75" customHeight="1">
      <c r="A20" s="470" t="s">
        <v>665</v>
      </c>
      <c r="B20" s="165" t="s">
        <v>85</v>
      </c>
      <c r="C20" s="1113" t="s">
        <v>1041</v>
      </c>
      <c r="D20" s="165"/>
      <c r="E20" s="378">
        <f>'Лента - данные'!F299</f>
        <v>0</v>
      </c>
      <c r="F20" t="s">
        <v>1076</v>
      </c>
      <c r="I20" s="36">
        <v>19</v>
      </c>
      <c r="J20" t="s">
        <v>636</v>
      </c>
      <c r="K20" s="457">
        <v>0</v>
      </c>
      <c r="L20" s="457">
        <v>0</v>
      </c>
      <c r="M20" s="88"/>
      <c r="AA20" t="s">
        <v>1088</v>
      </c>
      <c r="AB20" t="s">
        <v>1089</v>
      </c>
      <c r="AC20" t="s">
        <v>847</v>
      </c>
      <c r="AD20" t="s">
        <v>1155</v>
      </c>
      <c r="AE20" t="s">
        <v>1156</v>
      </c>
      <c r="AF20" t="s">
        <v>2208</v>
      </c>
      <c r="AH20" t="s">
        <v>1092</v>
      </c>
      <c r="AI20" t="s">
        <v>1157</v>
      </c>
      <c r="AJ20" t="s">
        <v>1158</v>
      </c>
      <c r="AK20" t="s">
        <v>2209</v>
      </c>
    </row>
    <row r="21" spans="1:37" ht="18.5" customHeight="1">
      <c r="A21" s="470" t="s">
        <v>666</v>
      </c>
      <c r="B21" s="165" t="s">
        <v>85</v>
      </c>
      <c r="C21" s="1113" t="s">
        <v>1044</v>
      </c>
      <c r="D21" s="165"/>
      <c r="E21" s="378">
        <f>'Лента - данные'!F300</f>
        <v>0</v>
      </c>
      <c r="F21" t="s">
        <v>2548</v>
      </c>
      <c r="I21" s="36">
        <v>20</v>
      </c>
      <c r="J21" t="s">
        <v>636</v>
      </c>
      <c r="K21" s="457">
        <v>0</v>
      </c>
      <c r="L21" s="457">
        <v>0</v>
      </c>
      <c r="M21" s="88"/>
      <c r="AA21" t="s">
        <v>1088</v>
      </c>
      <c r="AB21" t="s">
        <v>1089</v>
      </c>
      <c r="AC21" t="s">
        <v>848</v>
      </c>
      <c r="AD21" t="s">
        <v>1106</v>
      </c>
      <c r="AE21" t="s">
        <v>1159</v>
      </c>
      <c r="AF21" t="s">
        <v>2210</v>
      </c>
      <c r="AH21" t="s">
        <v>1092</v>
      </c>
      <c r="AI21" t="s">
        <v>1160</v>
      </c>
      <c r="AJ21" t="s">
        <v>1161</v>
      </c>
      <c r="AK21" t="s">
        <v>2211</v>
      </c>
    </row>
    <row r="22" spans="1:37" ht="15" customHeight="1">
      <c r="A22" s="470" t="s">
        <v>667</v>
      </c>
      <c r="B22" s="165" t="s">
        <v>642</v>
      </c>
      <c r="C22" s="1113" t="s">
        <v>1047</v>
      </c>
      <c r="D22" s="165"/>
      <c r="E22" s="378">
        <f>'Лента - данные'!F301</f>
        <v>0</v>
      </c>
      <c r="F22" t="s">
        <v>1075</v>
      </c>
      <c r="I22" s="36">
        <v>21</v>
      </c>
      <c r="J22" t="s">
        <v>636</v>
      </c>
      <c r="K22" s="457">
        <v>0</v>
      </c>
      <c r="L22" s="457">
        <v>0</v>
      </c>
      <c r="M22" s="88"/>
      <c r="AA22" t="s">
        <v>1088</v>
      </c>
      <c r="AB22" t="s">
        <v>1089</v>
      </c>
      <c r="AC22" t="s">
        <v>852</v>
      </c>
      <c r="AD22" t="s">
        <v>1122</v>
      </c>
      <c r="AE22" t="s">
        <v>1162</v>
      </c>
      <c r="AF22" t="s">
        <v>2212</v>
      </c>
      <c r="AH22" t="s">
        <v>1092</v>
      </c>
      <c r="AI22" t="s">
        <v>1163</v>
      </c>
      <c r="AJ22" t="s">
        <v>1065</v>
      </c>
      <c r="AK22" t="s">
        <v>2213</v>
      </c>
    </row>
    <row r="23" spans="1:37" ht="14.5" customHeight="1">
      <c r="A23" s="470" t="s">
        <v>668</v>
      </c>
      <c r="B23" s="165" t="s">
        <v>85</v>
      </c>
      <c r="C23" s="1113" t="s">
        <v>1048</v>
      </c>
      <c r="D23" s="165"/>
      <c r="E23" s="378">
        <f>'Лента - данные'!F302</f>
        <v>0</v>
      </c>
      <c r="F23" t="s">
        <v>1073</v>
      </c>
      <c r="I23" s="36">
        <v>22</v>
      </c>
      <c r="J23" t="s">
        <v>636</v>
      </c>
      <c r="K23" s="457">
        <v>0</v>
      </c>
      <c r="L23" s="457">
        <v>0</v>
      </c>
      <c r="M23" s="88"/>
      <c r="AA23" t="s">
        <v>1088</v>
      </c>
      <c r="AB23" t="s">
        <v>1089</v>
      </c>
      <c r="AC23" t="s">
        <v>853</v>
      </c>
      <c r="AD23" t="s">
        <v>1122</v>
      </c>
      <c r="AE23" t="s">
        <v>1164</v>
      </c>
      <c r="AF23" t="s">
        <v>2214</v>
      </c>
      <c r="AH23" t="s">
        <v>1092</v>
      </c>
      <c r="AI23" t="s">
        <v>1165</v>
      </c>
      <c r="AJ23" t="s">
        <v>1166</v>
      </c>
      <c r="AK23" t="s">
        <v>2215</v>
      </c>
    </row>
    <row r="24" spans="1:37" ht="13.75" customHeight="1">
      <c r="A24" s="470" t="s">
        <v>669</v>
      </c>
      <c r="B24" s="165" t="s">
        <v>85</v>
      </c>
      <c r="C24" s="1113" t="s">
        <v>1049</v>
      </c>
      <c r="D24" s="165"/>
      <c r="E24" s="378">
        <f>'Лента - данные'!F303</f>
        <v>0</v>
      </c>
      <c r="F24" t="s">
        <v>1074</v>
      </c>
      <c r="I24" s="458" t="s">
        <v>670</v>
      </c>
      <c r="J24" s="459"/>
      <c r="K24" s="460"/>
      <c r="L24" s="461"/>
      <c r="M24" s="462" t="s">
        <v>214</v>
      </c>
      <c r="AA24" t="s">
        <v>1088</v>
      </c>
      <c r="AB24" t="s">
        <v>1089</v>
      </c>
      <c r="AC24" t="s">
        <v>855</v>
      </c>
      <c r="AD24" t="s">
        <v>1122</v>
      </c>
      <c r="AE24" t="s">
        <v>1167</v>
      </c>
      <c r="AF24" t="s">
        <v>2216</v>
      </c>
      <c r="AH24" t="s">
        <v>1092</v>
      </c>
      <c r="AI24" t="s">
        <v>1168</v>
      </c>
      <c r="AJ24" t="s">
        <v>1169</v>
      </c>
      <c r="AK24" t="s">
        <v>2217</v>
      </c>
    </row>
    <row r="25" spans="1:37" ht="16.25" customHeight="1">
      <c r="A25" s="470" t="s">
        <v>671</v>
      </c>
      <c r="B25" s="165" t="s">
        <v>85</v>
      </c>
      <c r="C25" s="1113" t="s">
        <v>1050</v>
      </c>
      <c r="D25" s="165"/>
      <c r="E25" s="378">
        <f>'Лента - данные'!F304</f>
        <v>0</v>
      </c>
      <c r="F25" t="s">
        <v>2549</v>
      </c>
      <c r="I25" s="467" t="s">
        <v>639</v>
      </c>
      <c r="J25" s="459" t="s">
        <v>160</v>
      </c>
      <c r="K25" s="468" t="str">
        <f>C4</f>
        <v>DB-size</v>
      </c>
      <c r="L25" s="461"/>
      <c r="M25" s="378"/>
      <c r="AA25" t="s">
        <v>1088</v>
      </c>
      <c r="AB25" t="s">
        <v>1089</v>
      </c>
      <c r="AC25" t="s">
        <v>857</v>
      </c>
      <c r="AD25" t="s">
        <v>1122</v>
      </c>
      <c r="AE25" t="s">
        <v>1170</v>
      </c>
      <c r="AF25" t="s">
        <v>2218</v>
      </c>
      <c r="AH25" t="s">
        <v>1092</v>
      </c>
      <c r="AI25" t="s">
        <v>1171</v>
      </c>
      <c r="AJ25" t="s">
        <v>1172</v>
      </c>
      <c r="AK25" t="s">
        <v>2219</v>
      </c>
    </row>
    <row r="26" spans="1:37" ht="15.5" customHeight="1">
      <c r="A26" s="470" t="s">
        <v>672</v>
      </c>
      <c r="B26" s="165" t="s">
        <v>85</v>
      </c>
      <c r="C26" s="1113" t="s">
        <v>1051</v>
      </c>
      <c r="D26" s="165"/>
      <c r="E26" s="378">
        <f>'Лента - данные'!F305</f>
        <v>0</v>
      </c>
      <c r="F26" t="s">
        <v>2550</v>
      </c>
      <c r="I26" s="469" t="s">
        <v>673</v>
      </c>
      <c r="J26" s="459" t="s">
        <v>160</v>
      </c>
      <c r="K26" s="460">
        <f>SUM(M2:M23)</f>
        <v>0</v>
      </c>
      <c r="L26" s="461"/>
      <c r="M26" s="471">
        <v>650</v>
      </c>
      <c r="AA26" t="s">
        <v>1088</v>
      </c>
      <c r="AB26" t="s">
        <v>1173</v>
      </c>
      <c r="AC26" t="s">
        <v>495</v>
      </c>
      <c r="AD26" t="s">
        <v>1174</v>
      </c>
      <c r="AE26" t="s">
        <v>1175</v>
      </c>
      <c r="AF26" t="s">
        <v>2220</v>
      </c>
      <c r="AH26" t="s">
        <v>1092</v>
      </c>
      <c r="AI26" t="s">
        <v>1176</v>
      </c>
      <c r="AJ26" t="s">
        <v>1177</v>
      </c>
      <c r="AK26" t="s">
        <v>2221</v>
      </c>
    </row>
    <row r="27" spans="1:37" ht="14.5" customHeight="1">
      <c r="A27" s="470" t="s">
        <v>674</v>
      </c>
      <c r="B27" s="165" t="s">
        <v>675</v>
      </c>
      <c r="C27" s="1113" t="s">
        <v>1052</v>
      </c>
      <c r="D27" s="165"/>
      <c r="E27" s="378">
        <f>'Лента - данные'!F306</f>
        <v>0</v>
      </c>
      <c r="F27" t="s">
        <v>2551</v>
      </c>
      <c r="I27" s="470" t="s">
        <v>676</v>
      </c>
      <c r="J27" s="165" t="s">
        <v>85</v>
      </c>
      <c r="K27" s="457">
        <v>0</v>
      </c>
      <c r="L27" s="165"/>
      <c r="M27" s="378">
        <v>1650</v>
      </c>
      <c r="AA27" t="s">
        <v>1088</v>
      </c>
      <c r="AB27" t="s">
        <v>1173</v>
      </c>
      <c r="AC27" t="s">
        <v>866</v>
      </c>
      <c r="AD27" t="s">
        <v>1178</v>
      </c>
      <c r="AE27" t="s">
        <v>1179</v>
      </c>
      <c r="AF27" t="s">
        <v>2222</v>
      </c>
      <c r="AH27" t="s">
        <v>1092</v>
      </c>
      <c r="AI27" t="s">
        <v>1180</v>
      </c>
      <c r="AJ27" t="s">
        <v>1181</v>
      </c>
      <c r="AK27" t="s">
        <v>2223</v>
      </c>
    </row>
    <row r="28" spans="1:37" ht="14.5" customHeight="1">
      <c r="A28" s="470" t="s">
        <v>677</v>
      </c>
      <c r="B28" s="165" t="s">
        <v>156</v>
      </c>
      <c r="C28" s="1121"/>
      <c r="D28" s="165"/>
      <c r="E28" s="378">
        <f>'Лента - данные'!F307</f>
        <v>0</v>
      </c>
      <c r="F28" t="s">
        <v>2552</v>
      </c>
      <c r="I28" s="470" t="s">
        <v>655</v>
      </c>
      <c r="J28" s="165" t="s">
        <v>85</v>
      </c>
      <c r="K28" s="457">
        <v>10</v>
      </c>
      <c r="L28" s="165"/>
      <c r="M28" s="378">
        <v>3800</v>
      </c>
      <c r="AA28" t="s">
        <v>1088</v>
      </c>
      <c r="AB28" t="s">
        <v>1173</v>
      </c>
      <c r="AC28" t="s">
        <v>868</v>
      </c>
      <c r="AD28" t="s">
        <v>1178</v>
      </c>
      <c r="AE28" t="s">
        <v>1182</v>
      </c>
      <c r="AF28" t="s">
        <v>2224</v>
      </c>
      <c r="AH28" t="s">
        <v>1092</v>
      </c>
      <c r="AI28" t="s">
        <v>1183</v>
      </c>
      <c r="AJ28" t="s">
        <v>1184</v>
      </c>
      <c r="AK28" t="s">
        <v>2225</v>
      </c>
    </row>
    <row r="29" spans="1:37" ht="13.25" customHeight="1">
      <c r="A29" s="470" t="s">
        <v>678</v>
      </c>
      <c r="B29" s="165" t="s">
        <v>85</v>
      </c>
      <c r="C29" s="1113" t="s">
        <v>1055</v>
      </c>
      <c r="D29" s="165"/>
      <c r="E29" s="378">
        <f>'Лента - данные'!F308</f>
        <v>0</v>
      </c>
      <c r="F29" t="s">
        <v>2553</v>
      </c>
      <c r="I29" s="470" t="s">
        <v>657</v>
      </c>
      <c r="J29" s="165" t="s">
        <v>85</v>
      </c>
      <c r="K29" s="457">
        <v>15</v>
      </c>
      <c r="L29" s="165"/>
      <c r="M29" s="378">
        <v>2271</v>
      </c>
      <c r="AA29" t="s">
        <v>1088</v>
      </c>
      <c r="AB29" t="s">
        <v>1173</v>
      </c>
      <c r="AC29" t="s">
        <v>870</v>
      </c>
      <c r="AD29" t="s">
        <v>1178</v>
      </c>
      <c r="AE29" t="s">
        <v>1185</v>
      </c>
      <c r="AF29" t="s">
        <v>2226</v>
      </c>
      <c r="AH29" t="s">
        <v>1092</v>
      </c>
      <c r="AI29" t="s">
        <v>1186</v>
      </c>
      <c r="AJ29" t="s">
        <v>1187</v>
      </c>
      <c r="AK29" t="s">
        <v>2227</v>
      </c>
    </row>
    <row r="30" spans="1:37" ht="16.25" customHeight="1">
      <c r="A30" s="470" t="s">
        <v>679</v>
      </c>
      <c r="B30" s="165" t="s">
        <v>85</v>
      </c>
      <c r="C30" s="1113" t="s">
        <v>1056</v>
      </c>
      <c r="D30" s="165"/>
      <c r="E30" s="378">
        <f>'Лента - данные'!F309</f>
        <v>0</v>
      </c>
      <c r="F30" t="s">
        <v>2554</v>
      </c>
      <c r="I30" s="470" t="s">
        <v>658</v>
      </c>
      <c r="J30" s="165" t="s">
        <v>85</v>
      </c>
      <c r="K30" s="457">
        <v>10</v>
      </c>
      <c r="L30" s="165"/>
      <c r="M30" s="378">
        <v>4500</v>
      </c>
      <c r="AA30" t="s">
        <v>1088</v>
      </c>
      <c r="AB30" t="s">
        <v>1173</v>
      </c>
      <c r="AC30" t="s">
        <v>872</v>
      </c>
      <c r="AD30" t="s">
        <v>1178</v>
      </c>
      <c r="AE30" t="s">
        <v>1188</v>
      </c>
      <c r="AF30" t="s">
        <v>2228</v>
      </c>
      <c r="AH30" t="s">
        <v>1092</v>
      </c>
      <c r="AI30" t="s">
        <v>1189</v>
      </c>
      <c r="AJ30" t="s">
        <v>1190</v>
      </c>
      <c r="AK30" t="s">
        <v>2229</v>
      </c>
    </row>
    <row r="31" spans="1:37" ht="16.25" customHeight="1">
      <c r="A31" s="470" t="s">
        <v>680</v>
      </c>
      <c r="B31" s="165" t="s">
        <v>63</v>
      </c>
      <c r="C31" s="1113" t="s">
        <v>1057</v>
      </c>
      <c r="D31" s="165"/>
      <c r="E31" s="378">
        <f>'Лента - данные'!F310</f>
        <v>0</v>
      </c>
      <c r="F31" t="s">
        <v>1070</v>
      </c>
      <c r="I31" s="470" t="s">
        <v>681</v>
      </c>
      <c r="J31" s="165" t="s">
        <v>85</v>
      </c>
      <c r="K31" s="457">
        <v>10</v>
      </c>
      <c r="L31" s="165"/>
      <c r="M31" s="378">
        <v>1315</v>
      </c>
      <c r="AA31" t="s">
        <v>1088</v>
      </c>
      <c r="AB31" t="s">
        <v>1173</v>
      </c>
      <c r="AC31" t="s">
        <v>867</v>
      </c>
      <c r="AD31" t="s">
        <v>1191</v>
      </c>
      <c r="AE31" t="s">
        <v>1192</v>
      </c>
      <c r="AF31" t="s">
        <v>2230</v>
      </c>
      <c r="AH31" t="s">
        <v>1092</v>
      </c>
      <c r="AI31" t="s">
        <v>1193</v>
      </c>
      <c r="AJ31" t="s">
        <v>1194</v>
      </c>
      <c r="AK31" t="s">
        <v>2231</v>
      </c>
    </row>
    <row r="32" spans="1:37" ht="14.5" customHeight="1">
      <c r="A32" s="470" t="s">
        <v>682</v>
      </c>
      <c r="B32" s="165" t="s">
        <v>85</v>
      </c>
      <c r="C32" s="164"/>
      <c r="D32" s="165"/>
      <c r="E32" s="378">
        <f>'Лента - данные'!F311</f>
        <v>0</v>
      </c>
      <c r="F32" t="s">
        <v>1077</v>
      </c>
      <c r="I32" s="470" t="s">
        <v>683</v>
      </c>
      <c r="J32" s="165" t="s">
        <v>85</v>
      </c>
      <c r="K32" s="457">
        <v>0</v>
      </c>
      <c r="L32" s="165"/>
      <c r="M32" s="378">
        <v>500</v>
      </c>
      <c r="AA32" t="s">
        <v>1088</v>
      </c>
      <c r="AB32" t="s">
        <v>1173</v>
      </c>
      <c r="AC32" t="s">
        <v>869</v>
      </c>
      <c r="AD32" t="s">
        <v>1195</v>
      </c>
      <c r="AE32" t="s">
        <v>1196</v>
      </c>
      <c r="AF32" t="s">
        <v>2232</v>
      </c>
      <c r="AH32" t="s">
        <v>1092</v>
      </c>
      <c r="AI32" t="s">
        <v>1197</v>
      </c>
      <c r="AJ32" t="s">
        <v>1198</v>
      </c>
      <c r="AK32" t="s">
        <v>2233</v>
      </c>
    </row>
    <row r="33" spans="1:37" ht="14.5" customHeight="1">
      <c r="A33" s="470" t="s">
        <v>684</v>
      </c>
      <c r="B33" s="165" t="s">
        <v>156</v>
      </c>
      <c r="C33" s="164"/>
      <c r="D33" s="165"/>
      <c r="E33" s="378">
        <f>'Лента - данные'!F312</f>
        <v>0</v>
      </c>
      <c r="F33" t="s">
        <v>2555</v>
      </c>
      <c r="I33" s="470" t="s">
        <v>685</v>
      </c>
      <c r="J33" s="165" t="s">
        <v>85</v>
      </c>
      <c r="K33" s="457">
        <v>0</v>
      </c>
      <c r="L33" s="165"/>
      <c r="M33" s="378">
        <v>500</v>
      </c>
      <c r="AA33" t="s">
        <v>1088</v>
      </c>
      <c r="AB33" t="s">
        <v>1173</v>
      </c>
      <c r="AC33" t="s">
        <v>871</v>
      </c>
      <c r="AD33" t="s">
        <v>1199</v>
      </c>
      <c r="AE33" t="s">
        <v>1200</v>
      </c>
      <c r="AF33" t="s">
        <v>2234</v>
      </c>
      <c r="AH33" t="s">
        <v>1092</v>
      </c>
      <c r="AI33" t="s">
        <v>1201</v>
      </c>
      <c r="AJ33" t="s">
        <v>1202</v>
      </c>
      <c r="AK33" t="s">
        <v>2235</v>
      </c>
    </row>
    <row r="34" spans="1:37" ht="13.25" customHeight="1">
      <c r="A34" s="470" t="s">
        <v>686</v>
      </c>
      <c r="B34" s="165" t="s">
        <v>63</v>
      </c>
      <c r="C34" s="407"/>
      <c r="D34" s="165"/>
      <c r="E34" s="378">
        <f>'Лента - данные'!F313</f>
        <v>0</v>
      </c>
      <c r="F34" t="s">
        <v>2556</v>
      </c>
      <c r="I34" s="470" t="s">
        <v>687</v>
      </c>
      <c r="J34" s="165" t="s">
        <v>642</v>
      </c>
      <c r="K34" s="457">
        <v>7</v>
      </c>
      <c r="L34" s="165"/>
      <c r="M34" s="378">
        <v>500</v>
      </c>
      <c r="AA34" t="s">
        <v>1088</v>
      </c>
      <c r="AB34" t="s">
        <v>1173</v>
      </c>
      <c r="AC34" t="s">
        <v>873</v>
      </c>
      <c r="AD34" t="s">
        <v>1203</v>
      </c>
      <c r="AE34" t="s">
        <v>1204</v>
      </c>
      <c r="AF34" t="s">
        <v>2236</v>
      </c>
      <c r="AH34" t="s">
        <v>1092</v>
      </c>
      <c r="AI34" t="s">
        <v>1205</v>
      </c>
      <c r="AJ34" t="s">
        <v>1206</v>
      </c>
      <c r="AK34" t="s">
        <v>2237</v>
      </c>
    </row>
    <row r="35" spans="1:37" ht="13.25" customHeight="1">
      <c r="A35" s="470" t="s">
        <v>688</v>
      </c>
      <c r="B35" s="165" t="s">
        <v>156</v>
      </c>
      <c r="C35" s="407"/>
      <c r="D35" s="165"/>
      <c r="E35" s="378">
        <f>'Лента - данные'!F314</f>
        <v>0</v>
      </c>
      <c r="F35" t="s">
        <v>2557</v>
      </c>
      <c r="I35" s="470" t="s">
        <v>662</v>
      </c>
      <c r="J35" s="165" t="s">
        <v>642</v>
      </c>
      <c r="K35" s="457">
        <v>1</v>
      </c>
      <c r="L35" s="165"/>
      <c r="M35" s="378">
        <v>500</v>
      </c>
      <c r="AA35" t="s">
        <v>1088</v>
      </c>
      <c r="AB35" t="s">
        <v>1173</v>
      </c>
      <c r="AC35" t="s">
        <v>862</v>
      </c>
      <c r="AD35" t="s">
        <v>1207</v>
      </c>
      <c r="AE35" t="s">
        <v>1208</v>
      </c>
      <c r="AF35" t="s">
        <v>2238</v>
      </c>
      <c r="AH35" t="s">
        <v>1092</v>
      </c>
      <c r="AI35" t="s">
        <v>1209</v>
      </c>
      <c r="AJ35" t="s">
        <v>1210</v>
      </c>
      <c r="AK35" t="s">
        <v>2239</v>
      </c>
    </row>
    <row r="36" spans="1:37" ht="13.25" customHeight="1">
      <c r="A36" s="470" t="s">
        <v>689</v>
      </c>
      <c r="B36" s="165" t="s">
        <v>85</v>
      </c>
      <c r="C36" s="407"/>
      <c r="D36" s="165"/>
      <c r="E36" s="378">
        <f>'Лента - данные'!F315</f>
        <v>0</v>
      </c>
      <c r="F36" t="s">
        <v>2558</v>
      </c>
      <c r="I36" s="470" t="s">
        <v>663</v>
      </c>
      <c r="J36" s="165" t="s">
        <v>85</v>
      </c>
      <c r="K36" s="457">
        <v>1</v>
      </c>
      <c r="L36" s="165"/>
      <c r="M36" s="378">
        <v>500</v>
      </c>
      <c r="AA36" t="s">
        <v>1088</v>
      </c>
      <c r="AB36" t="s">
        <v>1173</v>
      </c>
      <c r="AC36" t="s">
        <v>865</v>
      </c>
      <c r="AD36" t="s">
        <v>1211</v>
      </c>
      <c r="AE36" t="s">
        <v>1212</v>
      </c>
      <c r="AF36" t="s">
        <v>2240</v>
      </c>
      <c r="AH36" t="s">
        <v>1092</v>
      </c>
      <c r="AI36" t="s">
        <v>1213</v>
      </c>
      <c r="AJ36" t="s">
        <v>1214</v>
      </c>
      <c r="AK36" t="s">
        <v>2241</v>
      </c>
    </row>
    <row r="37" spans="1:37" ht="15.5" customHeight="1">
      <c r="A37" s="470" t="s">
        <v>197</v>
      </c>
      <c r="B37" s="165" t="s">
        <v>85</v>
      </c>
      <c r="C37" s="407"/>
      <c r="D37" s="165"/>
      <c r="E37" s="378">
        <f>'Лента - данные'!F316</f>
        <v>0</v>
      </c>
      <c r="F37" t="s">
        <v>2559</v>
      </c>
      <c r="I37" s="470" t="s">
        <v>664</v>
      </c>
      <c r="J37" s="165" t="s">
        <v>85</v>
      </c>
      <c r="K37" s="457">
        <v>4</v>
      </c>
      <c r="L37" s="165"/>
      <c r="M37" s="378">
        <v>1000</v>
      </c>
      <c r="AA37" t="s">
        <v>1088</v>
      </c>
      <c r="AB37" t="s">
        <v>1173</v>
      </c>
      <c r="AC37" t="s">
        <v>845</v>
      </c>
      <c r="AD37" t="s">
        <v>1215</v>
      </c>
      <c r="AE37" t="s">
        <v>1216</v>
      </c>
      <c r="AF37" t="s">
        <v>2242</v>
      </c>
      <c r="AH37" t="s">
        <v>1092</v>
      </c>
      <c r="AI37" t="s">
        <v>1217</v>
      </c>
      <c r="AJ37" t="s">
        <v>1218</v>
      </c>
      <c r="AK37" t="s">
        <v>2243</v>
      </c>
    </row>
    <row r="38" spans="1:37" ht="15.5" customHeight="1">
      <c r="A38" s="470" t="s">
        <v>690</v>
      </c>
      <c r="B38" s="165" t="s">
        <v>85</v>
      </c>
      <c r="C38" s="407"/>
      <c r="D38" s="165"/>
      <c r="E38" s="378">
        <f>'Лента - данные'!F317</f>
        <v>0</v>
      </c>
      <c r="F38" t="s">
        <v>2560</v>
      </c>
      <c r="I38" s="470" t="s">
        <v>665</v>
      </c>
      <c r="J38" s="165" t="s">
        <v>85</v>
      </c>
      <c r="K38" s="457">
        <v>0</v>
      </c>
      <c r="L38" s="165"/>
      <c r="M38" s="378">
        <v>1000</v>
      </c>
      <c r="AA38" t="s">
        <v>1088</v>
      </c>
      <c r="AB38" t="s">
        <v>1173</v>
      </c>
      <c r="AC38" t="s">
        <v>847</v>
      </c>
      <c r="AD38" t="s">
        <v>1211</v>
      </c>
      <c r="AE38" t="s">
        <v>1219</v>
      </c>
      <c r="AF38" t="s">
        <v>2244</v>
      </c>
      <c r="AH38" t="s">
        <v>1092</v>
      </c>
      <c r="AI38" t="s">
        <v>1220</v>
      </c>
      <c r="AJ38" t="s">
        <v>1221</v>
      </c>
      <c r="AK38" t="s">
        <v>2245</v>
      </c>
    </row>
    <row r="39" spans="1:37" ht="13.75" customHeight="1">
      <c r="A39" s="470" t="s">
        <v>691</v>
      </c>
      <c r="B39" s="165" t="s">
        <v>85</v>
      </c>
      <c r="C39" s="407"/>
      <c r="D39" s="165"/>
      <c r="E39" s="378">
        <f>'Лента - данные'!F318</f>
        <v>0</v>
      </c>
      <c r="F39" t="s">
        <v>2561</v>
      </c>
      <c r="I39" s="470" t="s">
        <v>692</v>
      </c>
      <c r="J39" s="165" t="s">
        <v>85</v>
      </c>
      <c r="K39" s="457">
        <v>12</v>
      </c>
      <c r="L39" s="165"/>
      <c r="M39" s="378">
        <v>2500</v>
      </c>
      <c r="AA39" t="s">
        <v>1222</v>
      </c>
      <c r="AB39" t="s">
        <v>1089</v>
      </c>
      <c r="AC39" t="s">
        <v>878</v>
      </c>
      <c r="AD39" t="s">
        <v>1223</v>
      </c>
      <c r="AE39" t="s">
        <v>1224</v>
      </c>
      <c r="AF39" t="s">
        <v>2246</v>
      </c>
      <c r="AH39" t="s">
        <v>1092</v>
      </c>
      <c r="AI39" t="s">
        <v>1225</v>
      </c>
      <c r="AJ39" t="s">
        <v>1226</v>
      </c>
      <c r="AK39" t="s">
        <v>2247</v>
      </c>
    </row>
    <row r="40" spans="1:37" ht="12.5" customHeight="1">
      <c r="A40" s="470" t="s">
        <v>693</v>
      </c>
      <c r="B40" s="165" t="s">
        <v>85</v>
      </c>
      <c r="C40" s="407"/>
      <c r="D40" s="165"/>
      <c r="E40" s="378">
        <f>'Лента - данные'!F319</f>
        <v>0</v>
      </c>
      <c r="F40" t="s">
        <v>2562</v>
      </c>
      <c r="I40" s="470" t="s">
        <v>667</v>
      </c>
      <c r="J40" s="165" t="s">
        <v>85</v>
      </c>
      <c r="K40" s="457">
        <v>92</v>
      </c>
      <c r="L40" s="165"/>
      <c r="M40" s="378">
        <v>980</v>
      </c>
      <c r="AA40" t="s">
        <v>1222</v>
      </c>
      <c r="AB40" t="s">
        <v>1089</v>
      </c>
      <c r="AC40" t="s">
        <v>881</v>
      </c>
      <c r="AD40" t="s">
        <v>1227</v>
      </c>
      <c r="AE40" t="s">
        <v>1228</v>
      </c>
      <c r="AF40" t="s">
        <v>2248</v>
      </c>
      <c r="AH40" t="s">
        <v>1092</v>
      </c>
      <c r="AI40" t="s">
        <v>1229</v>
      </c>
      <c r="AJ40" t="s">
        <v>1230</v>
      </c>
      <c r="AK40" t="s">
        <v>2249</v>
      </c>
    </row>
    <row r="41" spans="1:37" ht="18.5" customHeight="1">
      <c r="A41" s="470" t="s">
        <v>694</v>
      </c>
      <c r="B41" s="165" t="s">
        <v>85</v>
      </c>
      <c r="C41" s="165"/>
      <c r="D41" s="165"/>
      <c r="E41" s="378">
        <f>'Лента - данные'!F320</f>
        <v>0</v>
      </c>
      <c r="F41" t="s">
        <v>2563</v>
      </c>
      <c r="I41" s="470" t="s">
        <v>668</v>
      </c>
      <c r="J41" s="165" t="s">
        <v>85</v>
      </c>
      <c r="K41" s="457">
        <v>2</v>
      </c>
      <c r="L41" s="165"/>
      <c r="M41" s="378">
        <v>2250</v>
      </c>
      <c r="AA41" t="s">
        <v>1222</v>
      </c>
      <c r="AB41" t="s">
        <v>1089</v>
      </c>
      <c r="AC41" t="s">
        <v>885</v>
      </c>
      <c r="AD41" t="s">
        <v>1231</v>
      </c>
      <c r="AE41" t="s">
        <v>1232</v>
      </c>
      <c r="AF41" t="s">
        <v>2250</v>
      </c>
      <c r="AH41" t="s">
        <v>1092</v>
      </c>
      <c r="AI41" t="s">
        <v>1233</v>
      </c>
      <c r="AJ41" t="s">
        <v>1234</v>
      </c>
      <c r="AK41" t="s">
        <v>2251</v>
      </c>
    </row>
    <row r="42" spans="1:37" ht="14.5" customHeight="1">
      <c r="A42" s="470" t="s">
        <v>695</v>
      </c>
      <c r="B42" s="165" t="s">
        <v>156</v>
      </c>
      <c r="C42" s="165"/>
      <c r="D42" s="165"/>
      <c r="E42" s="378">
        <f>'Лента - данные'!F321</f>
        <v>0</v>
      </c>
      <c r="F42" t="s">
        <v>2564</v>
      </c>
      <c r="I42" s="470" t="s">
        <v>669</v>
      </c>
      <c r="J42" s="165" t="s">
        <v>85</v>
      </c>
      <c r="K42" s="457">
        <v>1</v>
      </c>
      <c r="L42" s="165"/>
      <c r="M42" s="378">
        <v>1500</v>
      </c>
      <c r="AA42" t="s">
        <v>1222</v>
      </c>
      <c r="AB42" t="s">
        <v>1089</v>
      </c>
      <c r="AC42" t="s">
        <v>889</v>
      </c>
      <c r="AD42" t="s">
        <v>1235</v>
      </c>
      <c r="AE42" t="s">
        <v>1236</v>
      </c>
      <c r="AF42" t="s">
        <v>2252</v>
      </c>
      <c r="AH42" t="s">
        <v>1092</v>
      </c>
      <c r="AI42" t="s">
        <v>1237</v>
      </c>
      <c r="AJ42" t="s">
        <v>1238</v>
      </c>
      <c r="AK42" t="s">
        <v>2253</v>
      </c>
    </row>
    <row r="43" spans="1:37" ht="14.5" customHeight="1">
      <c r="A43" s="470" t="s">
        <v>696</v>
      </c>
      <c r="B43" s="165" t="s">
        <v>156</v>
      </c>
      <c r="C43" s="165"/>
      <c r="D43" s="165"/>
      <c r="E43" s="378">
        <f>'Лента - данные'!F322</f>
        <v>0</v>
      </c>
      <c r="F43" t="s">
        <v>2565</v>
      </c>
      <c r="I43" s="470" t="s">
        <v>671</v>
      </c>
      <c r="J43" s="165" t="s">
        <v>85</v>
      </c>
      <c r="K43" s="457">
        <v>0</v>
      </c>
      <c r="L43" s="165"/>
      <c r="M43" s="378">
        <v>980</v>
      </c>
      <c r="AA43" t="s">
        <v>1222</v>
      </c>
      <c r="AB43" t="s">
        <v>1089</v>
      </c>
      <c r="AC43" t="s">
        <v>893</v>
      </c>
      <c r="AD43" t="s">
        <v>1199</v>
      </c>
      <c r="AE43" t="s">
        <v>1239</v>
      </c>
      <c r="AF43" t="s">
        <v>2254</v>
      </c>
      <c r="AH43" t="s">
        <v>1092</v>
      </c>
      <c r="AI43" t="s">
        <v>1240</v>
      </c>
      <c r="AJ43" t="s">
        <v>1241</v>
      </c>
      <c r="AK43" t="s">
        <v>2255</v>
      </c>
    </row>
    <row r="44" spans="1:37" ht="15" customHeight="1">
      <c r="A44" s="470" t="s">
        <v>697</v>
      </c>
      <c r="B44" s="165" t="s">
        <v>85</v>
      </c>
      <c r="C44" s="165"/>
      <c r="D44" s="165"/>
      <c r="E44" s="378">
        <f>'Лента - данные'!F323</f>
        <v>0</v>
      </c>
      <c r="F44" t="s">
        <v>2566</v>
      </c>
      <c r="I44" s="470" t="s">
        <v>672</v>
      </c>
      <c r="J44" s="165" t="s">
        <v>85</v>
      </c>
      <c r="K44" s="457">
        <v>0</v>
      </c>
      <c r="L44" s="165"/>
      <c r="M44" s="378">
        <v>2500</v>
      </c>
      <c r="AA44" t="s">
        <v>1222</v>
      </c>
      <c r="AB44" t="s">
        <v>1089</v>
      </c>
      <c r="AC44" t="s">
        <v>897</v>
      </c>
      <c r="AD44" t="s">
        <v>1242</v>
      </c>
      <c r="AE44" t="s">
        <v>1243</v>
      </c>
      <c r="AF44" t="s">
        <v>2256</v>
      </c>
      <c r="AH44" t="s">
        <v>1092</v>
      </c>
      <c r="AI44" t="s">
        <v>1244</v>
      </c>
      <c r="AJ44" t="s">
        <v>1245</v>
      </c>
      <c r="AK44" t="s">
        <v>2257</v>
      </c>
    </row>
    <row r="45" spans="1:37" ht="18" customHeight="1">
      <c r="A45" s="470" t="s">
        <v>180</v>
      </c>
      <c r="B45" s="165" t="s">
        <v>85</v>
      </c>
      <c r="C45" s="165"/>
      <c r="D45" s="165"/>
      <c r="E45" s="378">
        <f>'Лента - данные'!F324</f>
        <v>0</v>
      </c>
      <c r="F45" t="s">
        <v>2567</v>
      </c>
      <c r="I45" s="470"/>
      <c r="J45" s="165"/>
      <c r="K45" s="189"/>
      <c r="L45" s="165"/>
      <c r="M45" s="378"/>
      <c r="AA45" t="s">
        <v>1222</v>
      </c>
      <c r="AB45" t="s">
        <v>1089</v>
      </c>
      <c r="AC45" t="s">
        <v>900</v>
      </c>
      <c r="AD45" t="s">
        <v>1174</v>
      </c>
      <c r="AE45" t="s">
        <v>1246</v>
      </c>
      <c r="AF45" t="s">
        <v>2258</v>
      </c>
      <c r="AH45" t="s">
        <v>1092</v>
      </c>
      <c r="AI45" t="s">
        <v>1247</v>
      </c>
      <c r="AJ45" t="s">
        <v>1248</v>
      </c>
      <c r="AK45" t="s">
        <v>2259</v>
      </c>
    </row>
    <row r="46" spans="1:37" ht="15.5" customHeight="1">
      <c r="A46" s="470" t="s">
        <v>698</v>
      </c>
      <c r="B46" s="165" t="s">
        <v>85</v>
      </c>
      <c r="C46" s="165"/>
      <c r="D46" s="165"/>
      <c r="E46" s="378">
        <f>'Лента - данные'!F325</f>
        <v>0</v>
      </c>
      <c r="F46" t="s">
        <v>1072</v>
      </c>
      <c r="I46" s="470"/>
      <c r="J46" s="165"/>
      <c r="K46" s="189"/>
      <c r="L46" s="165"/>
      <c r="M46" s="378"/>
      <c r="AA46" t="s">
        <v>1222</v>
      </c>
      <c r="AB46" t="s">
        <v>1089</v>
      </c>
      <c r="AC46" t="s">
        <v>903</v>
      </c>
      <c r="AD46" t="s">
        <v>1174</v>
      </c>
      <c r="AE46" t="s">
        <v>1249</v>
      </c>
      <c r="AF46" t="s">
        <v>2260</v>
      </c>
      <c r="AH46" t="s">
        <v>1092</v>
      </c>
      <c r="AI46" t="s">
        <v>1250</v>
      </c>
      <c r="AJ46" t="s">
        <v>1251</v>
      </c>
      <c r="AK46" t="s">
        <v>2261</v>
      </c>
    </row>
    <row r="47" spans="1:37" ht="28.25" customHeight="1">
      <c r="A47" s="470" t="s">
        <v>699</v>
      </c>
      <c r="B47" s="165" t="s">
        <v>167</v>
      </c>
      <c r="C47" s="165"/>
      <c r="D47" s="165"/>
      <c r="E47" s="378">
        <f>'Лента - данные'!F326</f>
        <v>0</v>
      </c>
      <c r="F47" t="s">
        <v>2568</v>
      </c>
      <c r="I47" s="470" t="s">
        <v>700</v>
      </c>
      <c r="J47" s="165" t="s">
        <v>63</v>
      </c>
      <c r="K47" s="472" t="str">
        <f>C31</f>
        <v>DB-srtropValue</v>
      </c>
      <c r="L47" s="165"/>
      <c r="M47" s="378">
        <v>25000</v>
      </c>
      <c r="AA47" t="s">
        <v>1222</v>
      </c>
      <c r="AB47" t="s">
        <v>1089</v>
      </c>
      <c r="AC47" t="s">
        <v>905</v>
      </c>
      <c r="AD47" t="s">
        <v>1174</v>
      </c>
      <c r="AE47" t="s">
        <v>1252</v>
      </c>
      <c r="AF47" t="s">
        <v>2262</v>
      </c>
      <c r="AH47" t="s">
        <v>1092</v>
      </c>
      <c r="AI47" t="s">
        <v>1253</v>
      </c>
      <c r="AJ47" t="s">
        <v>1254</v>
      </c>
      <c r="AK47" t="s">
        <v>2263</v>
      </c>
    </row>
    <row r="48" spans="1:37">
      <c r="A48" s="470" t="s">
        <v>701</v>
      </c>
      <c r="B48" s="165" t="s">
        <v>167</v>
      </c>
      <c r="C48" s="165"/>
      <c r="D48" s="165"/>
      <c r="E48" s="378">
        <f>'Лента - данные'!F327</f>
        <v>10000</v>
      </c>
      <c r="F48" t="s">
        <v>2569</v>
      </c>
      <c r="I48" s="470" t="s">
        <v>682</v>
      </c>
      <c r="J48" s="165" t="s">
        <v>85</v>
      </c>
      <c r="K48" s="164"/>
      <c r="L48" s="165"/>
      <c r="M48" s="378">
        <v>180</v>
      </c>
      <c r="AA48" t="s">
        <v>1222</v>
      </c>
      <c r="AB48" t="s">
        <v>1089</v>
      </c>
      <c r="AC48" t="s">
        <v>908</v>
      </c>
      <c r="AD48" t="s">
        <v>1174</v>
      </c>
      <c r="AE48" t="s">
        <v>1255</v>
      </c>
      <c r="AF48" t="s">
        <v>2264</v>
      </c>
      <c r="AH48" t="s">
        <v>1092</v>
      </c>
      <c r="AI48" t="s">
        <v>1256</v>
      </c>
      <c r="AJ48" t="s">
        <v>1257</v>
      </c>
      <c r="AK48" t="s">
        <v>2265</v>
      </c>
    </row>
    <row r="49" spans="1:37">
      <c r="A49" s="470"/>
      <c r="B49" s="165"/>
      <c r="C49" s="165"/>
      <c r="D49" s="165"/>
      <c r="E49" s="378"/>
      <c r="I49" s="470" t="s">
        <v>702</v>
      </c>
      <c r="J49" s="165" t="s">
        <v>63</v>
      </c>
      <c r="K49" s="407"/>
      <c r="L49" s="165"/>
      <c r="M49" s="378">
        <v>25000</v>
      </c>
      <c r="AA49" t="s">
        <v>1222</v>
      </c>
      <c r="AB49" t="s">
        <v>1089</v>
      </c>
      <c r="AC49" t="s">
        <v>911</v>
      </c>
      <c r="AD49" t="s">
        <v>1258</v>
      </c>
      <c r="AE49" t="s">
        <v>1259</v>
      </c>
      <c r="AF49" t="s">
        <v>2266</v>
      </c>
      <c r="AH49" t="s">
        <v>1092</v>
      </c>
      <c r="AI49" t="s">
        <v>1260</v>
      </c>
      <c r="AJ49" t="s">
        <v>1261</v>
      </c>
      <c r="AK49" t="s">
        <v>2267</v>
      </c>
    </row>
    <row r="50" spans="1:37">
      <c r="A50" s="473"/>
      <c r="B50" s="474"/>
      <c r="C50" s="474"/>
      <c r="D50" s="474"/>
      <c r="E50" s="475"/>
      <c r="I50" s="470" t="s">
        <v>689</v>
      </c>
      <c r="J50" s="165" t="s">
        <v>85</v>
      </c>
      <c r="K50" s="407"/>
      <c r="L50" s="165"/>
      <c r="M50" s="378">
        <v>50</v>
      </c>
      <c r="AA50" t="s">
        <v>1222</v>
      </c>
      <c r="AB50" t="s">
        <v>1089</v>
      </c>
      <c r="AC50" t="s">
        <v>913</v>
      </c>
      <c r="AD50" t="s">
        <v>1262</v>
      </c>
      <c r="AE50" t="s">
        <v>1263</v>
      </c>
      <c r="AF50" t="s">
        <v>2268</v>
      </c>
      <c r="AH50" t="s">
        <v>1092</v>
      </c>
      <c r="AI50" t="s">
        <v>1264</v>
      </c>
      <c r="AJ50" t="s">
        <v>1265</v>
      </c>
      <c r="AK50" t="s">
        <v>2269</v>
      </c>
    </row>
    <row r="51" spans="1:37">
      <c r="A51" s="1271" t="s">
        <v>494</v>
      </c>
      <c r="B51" s="1272"/>
      <c r="C51" s="1272"/>
      <c r="D51" s="1272"/>
      <c r="E51" s="1273"/>
      <c r="I51" s="470" t="s">
        <v>197</v>
      </c>
      <c r="J51" s="165" t="s">
        <v>85</v>
      </c>
      <c r="K51" s="407"/>
      <c r="L51" s="165"/>
      <c r="M51" s="378">
        <v>240</v>
      </c>
      <c r="AA51" t="s">
        <v>1222</v>
      </c>
      <c r="AB51" t="s">
        <v>1089</v>
      </c>
      <c r="AC51" t="s">
        <v>916</v>
      </c>
      <c r="AD51" t="s">
        <v>1266</v>
      </c>
      <c r="AE51" t="s">
        <v>1267</v>
      </c>
      <c r="AF51" t="s">
        <v>2270</v>
      </c>
      <c r="AH51" t="s">
        <v>1092</v>
      </c>
      <c r="AI51" t="s">
        <v>1268</v>
      </c>
      <c r="AJ51" t="s">
        <v>1269</v>
      </c>
      <c r="AK51" t="s">
        <v>2271</v>
      </c>
    </row>
    <row r="52" spans="1:37">
      <c r="A52" s="447"/>
      <c r="B52" s="476"/>
      <c r="C52" s="477" t="s">
        <v>214</v>
      </c>
      <c r="D52" s="163"/>
      <c r="I52" s="470" t="s">
        <v>690</v>
      </c>
      <c r="J52" s="165" t="s">
        <v>85</v>
      </c>
      <c r="K52" s="407"/>
      <c r="L52" s="165"/>
      <c r="M52" s="378">
        <v>3.5</v>
      </c>
      <c r="AA52" t="s">
        <v>1222</v>
      </c>
      <c r="AB52" t="s">
        <v>1089</v>
      </c>
      <c r="AC52" t="s">
        <v>919</v>
      </c>
      <c r="AD52" t="s">
        <v>1270</v>
      </c>
      <c r="AE52" t="s">
        <v>1271</v>
      </c>
      <c r="AF52" t="s">
        <v>2272</v>
      </c>
      <c r="AH52" t="s">
        <v>1092</v>
      </c>
      <c r="AI52" t="s">
        <v>1272</v>
      </c>
      <c r="AJ52" t="s">
        <v>1273</v>
      </c>
      <c r="AK52" t="s">
        <v>2273</v>
      </c>
    </row>
    <row r="53" spans="1:37">
      <c r="A53" s="1132" t="s">
        <v>703</v>
      </c>
      <c r="B53" s="476" t="s">
        <v>63</v>
      </c>
      <c r="C53" s="163">
        <f>'Лента - данные'!D332</f>
        <v>0</v>
      </c>
      <c r="D53" s="163"/>
      <c r="I53" s="470" t="s">
        <v>691</v>
      </c>
      <c r="J53" s="165" t="s">
        <v>85</v>
      </c>
      <c r="K53" s="407"/>
      <c r="L53" s="165"/>
      <c r="M53" s="378">
        <v>7</v>
      </c>
      <c r="AA53" t="s">
        <v>1222</v>
      </c>
      <c r="AB53" t="s">
        <v>1089</v>
      </c>
      <c r="AC53" t="s">
        <v>922</v>
      </c>
      <c r="AD53" t="s">
        <v>1274</v>
      </c>
      <c r="AE53" t="s">
        <v>1275</v>
      </c>
      <c r="AF53" t="s">
        <v>2274</v>
      </c>
      <c r="AH53" t="s">
        <v>1092</v>
      </c>
      <c r="AI53" t="s">
        <v>1276</v>
      </c>
      <c r="AJ53" t="s">
        <v>1277</v>
      </c>
      <c r="AK53" t="s">
        <v>2275</v>
      </c>
    </row>
    <row r="54" spans="1:37">
      <c r="A54" s="1132" t="s">
        <v>704</v>
      </c>
      <c r="B54" s="476" t="s">
        <v>160</v>
      </c>
      <c r="C54" s="163">
        <f>'Лента - данные'!D333</f>
        <v>0</v>
      </c>
      <c r="D54" s="163"/>
      <c r="I54" s="470" t="s">
        <v>693</v>
      </c>
      <c r="J54" s="165" t="s">
        <v>85</v>
      </c>
      <c r="K54" s="407"/>
      <c r="L54" s="165"/>
      <c r="M54" s="378">
        <v>455</v>
      </c>
      <c r="AA54" t="s">
        <v>1222</v>
      </c>
      <c r="AB54" t="s">
        <v>1089</v>
      </c>
      <c r="AC54" t="s">
        <v>927</v>
      </c>
      <c r="AD54" t="s">
        <v>1278</v>
      </c>
      <c r="AE54" t="s">
        <v>1279</v>
      </c>
      <c r="AF54" t="s">
        <v>2276</v>
      </c>
      <c r="AH54" t="s">
        <v>1092</v>
      </c>
      <c r="AI54" t="s">
        <v>1280</v>
      </c>
      <c r="AJ54" t="s">
        <v>1281</v>
      </c>
      <c r="AK54" t="s">
        <v>2277</v>
      </c>
    </row>
    <row r="55" spans="1:37">
      <c r="A55" s="1130" t="s">
        <v>705</v>
      </c>
      <c r="B55" s="476" t="s">
        <v>160</v>
      </c>
      <c r="C55" s="163">
        <f>'Лента - данные'!D334</f>
        <v>0</v>
      </c>
      <c r="D55" s="163"/>
      <c r="I55" s="470" t="s">
        <v>694</v>
      </c>
      <c r="J55" s="165" t="s">
        <v>85</v>
      </c>
      <c r="K55" s="165"/>
      <c r="L55" s="165"/>
      <c r="M55" s="378">
        <v>57</v>
      </c>
      <c r="AA55" t="s">
        <v>1222</v>
      </c>
      <c r="AB55" t="s">
        <v>1089</v>
      </c>
      <c r="AC55" t="s">
        <v>930</v>
      </c>
      <c r="AD55" t="s">
        <v>1282</v>
      </c>
      <c r="AE55" t="s">
        <v>1283</v>
      </c>
      <c r="AF55" t="s">
        <v>2278</v>
      </c>
      <c r="AH55" t="s">
        <v>1092</v>
      </c>
      <c r="AI55" t="s">
        <v>1284</v>
      </c>
      <c r="AJ55" t="s">
        <v>1285</v>
      </c>
      <c r="AK55" t="s">
        <v>2279</v>
      </c>
    </row>
    <row r="56" spans="1:37">
      <c r="A56" s="1132" t="s">
        <v>706</v>
      </c>
      <c r="B56" s="476" t="s">
        <v>160</v>
      </c>
      <c r="C56" s="163">
        <f>'Лента - данные'!D335</f>
        <v>0</v>
      </c>
      <c r="D56" s="163"/>
      <c r="I56" s="470" t="s">
        <v>696</v>
      </c>
      <c r="J56" s="165" t="s">
        <v>156</v>
      </c>
      <c r="K56" s="165"/>
      <c r="L56" s="165"/>
      <c r="M56" s="378">
        <v>380</v>
      </c>
      <c r="AA56" t="s">
        <v>1222</v>
      </c>
      <c r="AB56" t="s">
        <v>1089</v>
      </c>
      <c r="AC56" t="s">
        <v>933</v>
      </c>
      <c r="AD56" t="s">
        <v>1286</v>
      </c>
      <c r="AE56" t="s">
        <v>1287</v>
      </c>
      <c r="AF56" t="s">
        <v>2280</v>
      </c>
      <c r="AH56" t="s">
        <v>1092</v>
      </c>
      <c r="AI56" t="s">
        <v>1288</v>
      </c>
      <c r="AJ56" t="s">
        <v>1289</v>
      </c>
      <c r="AK56" t="s">
        <v>2281</v>
      </c>
    </row>
    <row r="57" spans="1:37">
      <c r="A57" s="1041" t="s">
        <v>707</v>
      </c>
      <c r="B57" s="476" t="s">
        <v>160</v>
      </c>
      <c r="C57" s="163">
        <f>'Лента - данные'!D336</f>
        <v>0</v>
      </c>
      <c r="D57" s="163"/>
      <c r="I57" s="470" t="s">
        <v>697</v>
      </c>
      <c r="J57" s="165" t="s">
        <v>85</v>
      </c>
      <c r="K57" s="165"/>
      <c r="L57" s="165"/>
      <c r="M57" s="378">
        <v>612</v>
      </c>
      <c r="AA57" t="s">
        <v>1222</v>
      </c>
      <c r="AB57" t="s">
        <v>1089</v>
      </c>
      <c r="AC57" t="s">
        <v>937</v>
      </c>
      <c r="AD57" t="s">
        <v>1203</v>
      </c>
      <c r="AE57" t="s">
        <v>1290</v>
      </c>
      <c r="AF57" t="s">
        <v>2282</v>
      </c>
      <c r="AH57" t="s">
        <v>1092</v>
      </c>
      <c r="AI57" t="s">
        <v>1291</v>
      </c>
      <c r="AJ57" t="s">
        <v>1292</v>
      </c>
      <c r="AK57" t="s">
        <v>2283</v>
      </c>
    </row>
    <row r="58" spans="1:37">
      <c r="A58" s="1041" t="s">
        <v>1067</v>
      </c>
      <c r="B58" s="476" t="s">
        <v>160</v>
      </c>
      <c r="C58" s="163">
        <f>'Лента - данные'!D337</f>
        <v>0</v>
      </c>
      <c r="D58" s="163"/>
      <c r="I58" s="470" t="s">
        <v>180</v>
      </c>
      <c r="J58" s="165" t="s">
        <v>85</v>
      </c>
      <c r="K58" s="165"/>
      <c r="L58" s="165"/>
      <c r="M58" s="378">
        <v>65</v>
      </c>
      <c r="AA58" t="s">
        <v>1222</v>
      </c>
      <c r="AB58" t="s">
        <v>1173</v>
      </c>
      <c r="AC58" t="s">
        <v>879</v>
      </c>
      <c r="AD58" t="s">
        <v>1274</v>
      </c>
      <c r="AE58" t="s">
        <v>1293</v>
      </c>
      <c r="AF58" t="s">
        <v>2284</v>
      </c>
      <c r="AH58" t="s">
        <v>1092</v>
      </c>
      <c r="AI58" t="s">
        <v>1294</v>
      </c>
      <c r="AJ58" t="s">
        <v>1295</v>
      </c>
      <c r="AK58" t="s">
        <v>2285</v>
      </c>
    </row>
    <row r="59" spans="1:37">
      <c r="A59" s="1041" t="s">
        <v>1068</v>
      </c>
      <c r="B59" s="476" t="s">
        <v>86</v>
      </c>
      <c r="C59" s="163">
        <f>'Лента - данные'!D338</f>
        <v>0</v>
      </c>
      <c r="D59" s="163"/>
      <c r="I59" s="470" t="s">
        <v>698</v>
      </c>
      <c r="J59" s="165" t="s">
        <v>85</v>
      </c>
      <c r="K59" s="165"/>
      <c r="L59" s="165"/>
      <c r="M59" s="378">
        <v>3500</v>
      </c>
      <c r="AA59" t="s">
        <v>1222</v>
      </c>
      <c r="AB59" t="s">
        <v>1173</v>
      </c>
      <c r="AC59" t="s">
        <v>1296</v>
      </c>
      <c r="AD59" t="s">
        <v>1297</v>
      </c>
      <c r="AE59" t="s">
        <v>1298</v>
      </c>
      <c r="AF59" t="s">
        <v>2286</v>
      </c>
      <c r="AH59" t="s">
        <v>1092</v>
      </c>
      <c r="AI59" t="s">
        <v>1299</v>
      </c>
      <c r="AJ59" t="s">
        <v>1300</v>
      </c>
      <c r="AK59" t="s">
        <v>2287</v>
      </c>
    </row>
    <row r="60" spans="1:37">
      <c r="A60" s="1041" t="s">
        <v>709</v>
      </c>
      <c r="B60" s="476" t="s">
        <v>160</v>
      </c>
      <c r="C60" s="163">
        <f>'Лента - данные'!D339</f>
        <v>0</v>
      </c>
      <c r="D60" s="163"/>
      <c r="I60" s="470" t="s">
        <v>699</v>
      </c>
      <c r="J60" s="165" t="s">
        <v>167</v>
      </c>
      <c r="K60" s="165"/>
      <c r="L60" s="165"/>
      <c r="M60" s="378">
        <v>10000</v>
      </c>
      <c r="AA60" t="s">
        <v>1222</v>
      </c>
      <c r="AB60" t="s">
        <v>1173</v>
      </c>
      <c r="AC60" t="s">
        <v>1301</v>
      </c>
      <c r="AD60" t="s">
        <v>1302</v>
      </c>
      <c r="AE60" t="s">
        <v>1303</v>
      </c>
      <c r="AF60" t="s">
        <v>2288</v>
      </c>
      <c r="AH60" t="s">
        <v>1092</v>
      </c>
      <c r="AI60" t="s">
        <v>1304</v>
      </c>
      <c r="AJ60" t="s">
        <v>1305</v>
      </c>
      <c r="AK60" t="s">
        <v>2289</v>
      </c>
    </row>
    <row r="61" spans="1:37" ht="30">
      <c r="A61" s="447" t="s">
        <v>710</v>
      </c>
      <c r="B61" s="476" t="s">
        <v>160</v>
      </c>
      <c r="C61" s="163">
        <f>'Лента - данные'!D340</f>
        <v>0</v>
      </c>
      <c r="D61" s="163"/>
      <c r="I61" s="470" t="s">
        <v>701</v>
      </c>
      <c r="J61" s="165" t="s">
        <v>167</v>
      </c>
      <c r="K61" s="165"/>
      <c r="L61" s="165"/>
      <c r="M61" s="378">
        <v>10000</v>
      </c>
      <c r="AA61" t="s">
        <v>1222</v>
      </c>
      <c r="AB61" t="s">
        <v>1173</v>
      </c>
      <c r="AC61" t="s">
        <v>890</v>
      </c>
      <c r="AD61" t="s">
        <v>1195</v>
      </c>
      <c r="AE61" t="s">
        <v>1306</v>
      </c>
      <c r="AF61" t="s">
        <v>2290</v>
      </c>
      <c r="AH61" t="s">
        <v>1092</v>
      </c>
      <c r="AI61" t="s">
        <v>1307</v>
      </c>
      <c r="AJ61" t="s">
        <v>1308</v>
      </c>
      <c r="AK61" t="s">
        <v>2291</v>
      </c>
    </row>
    <row r="62" spans="1:37">
      <c r="A62" s="1041" t="s">
        <v>711</v>
      </c>
      <c r="B62" s="476" t="s">
        <v>160</v>
      </c>
      <c r="C62" s="163">
        <f>'Лента - данные'!D341</f>
        <v>45</v>
      </c>
      <c r="D62" s="163"/>
      <c r="I62" s="470"/>
      <c r="J62" s="165"/>
      <c r="K62" s="165"/>
      <c r="L62" s="165"/>
      <c r="M62" s="378"/>
      <c r="AA62" t="s">
        <v>1222</v>
      </c>
      <c r="AB62" t="s">
        <v>1173</v>
      </c>
      <c r="AC62" t="s">
        <v>1309</v>
      </c>
      <c r="AD62" t="s">
        <v>1310</v>
      </c>
      <c r="AE62" t="s">
        <v>1311</v>
      </c>
      <c r="AF62" t="s">
        <v>2292</v>
      </c>
      <c r="AH62" t="s">
        <v>1092</v>
      </c>
      <c r="AI62" t="s">
        <v>1312</v>
      </c>
      <c r="AJ62" t="s">
        <v>1313</v>
      </c>
      <c r="AK62" t="s">
        <v>2293</v>
      </c>
    </row>
    <row r="63" spans="1:37">
      <c r="A63" s="1130" t="s">
        <v>674</v>
      </c>
      <c r="B63" s="467" t="s">
        <v>160</v>
      </c>
      <c r="C63" s="163">
        <f>'Лента - данные'!D342</f>
        <v>0</v>
      </c>
      <c r="D63" s="163"/>
      <c r="I63" s="473"/>
      <c r="J63" s="474"/>
      <c r="K63" s="474"/>
      <c r="L63" s="474"/>
      <c r="M63" s="475"/>
      <c r="AA63" t="s">
        <v>1222</v>
      </c>
      <c r="AB63" t="s">
        <v>1173</v>
      </c>
      <c r="AC63" t="s">
        <v>898</v>
      </c>
      <c r="AD63" t="s">
        <v>1174</v>
      </c>
      <c r="AE63" t="s">
        <v>1314</v>
      </c>
      <c r="AF63" t="s">
        <v>2294</v>
      </c>
      <c r="AH63" t="s">
        <v>1092</v>
      </c>
      <c r="AI63" t="s">
        <v>1315</v>
      </c>
      <c r="AJ63" t="s">
        <v>1316</v>
      </c>
      <c r="AK63" t="s">
        <v>2295</v>
      </c>
    </row>
    <row r="64" spans="1:37">
      <c r="A64" s="1134" t="s">
        <v>712</v>
      </c>
      <c r="B64" s="130" t="s">
        <v>160</v>
      </c>
      <c r="C64" s="163">
        <f>'Лента - данные'!D343</f>
        <v>0</v>
      </c>
      <c r="D64" s="163"/>
      <c r="I64" s="1271" t="s">
        <v>494</v>
      </c>
      <c r="J64" s="1272"/>
      <c r="K64" s="1272"/>
      <c r="L64" s="1272"/>
      <c r="M64" s="1273"/>
      <c r="AA64" t="s">
        <v>1222</v>
      </c>
      <c r="AB64" t="s">
        <v>1173</v>
      </c>
      <c r="AC64" t="s">
        <v>901</v>
      </c>
      <c r="AD64" t="s">
        <v>1174</v>
      </c>
      <c r="AE64" t="s">
        <v>1317</v>
      </c>
      <c r="AF64" t="s">
        <v>2296</v>
      </c>
      <c r="AH64" t="s">
        <v>1092</v>
      </c>
      <c r="AI64" t="s">
        <v>1318</v>
      </c>
      <c r="AJ64" t="s">
        <v>1319</v>
      </c>
      <c r="AK64" t="s">
        <v>2297</v>
      </c>
    </row>
    <row r="65" spans="1:37">
      <c r="A65" s="928" t="s">
        <v>713</v>
      </c>
      <c r="B65" s="130" t="s">
        <v>86</v>
      </c>
      <c r="C65" s="163">
        <f>'Лента - данные'!D344</f>
        <v>0</v>
      </c>
      <c r="D65" s="163"/>
      <c r="E65" s="229"/>
      <c r="I65" s="447"/>
      <c r="J65" s="476"/>
      <c r="K65" s="477" t="s">
        <v>214</v>
      </c>
      <c r="L65" s="163"/>
      <c r="AA65" t="s">
        <v>1222</v>
      </c>
      <c r="AB65" t="s">
        <v>1173</v>
      </c>
      <c r="AC65" t="s">
        <v>904</v>
      </c>
      <c r="AD65" t="s">
        <v>1191</v>
      </c>
      <c r="AE65" t="s">
        <v>1320</v>
      </c>
      <c r="AF65" t="s">
        <v>2298</v>
      </c>
      <c r="AH65" t="s">
        <v>1092</v>
      </c>
      <c r="AI65" t="s">
        <v>1321</v>
      </c>
      <c r="AJ65" t="s">
        <v>1322</v>
      </c>
      <c r="AK65" t="s">
        <v>2299</v>
      </c>
    </row>
    <row r="66" spans="1:37">
      <c r="A66" s="928" t="s">
        <v>714</v>
      </c>
      <c r="B66" s="130" t="s">
        <v>86</v>
      </c>
      <c r="C66" s="163">
        <f>'Лента - данные'!D345</f>
        <v>0</v>
      </c>
      <c r="D66" s="163"/>
      <c r="E66" s="229"/>
      <c r="I66" s="447" t="s">
        <v>703</v>
      </c>
      <c r="J66" s="476" t="s">
        <v>63</v>
      </c>
      <c r="K66" s="163">
        <v>200</v>
      </c>
      <c r="L66" s="163"/>
      <c r="AA66" t="s">
        <v>1222</v>
      </c>
      <c r="AB66" t="s">
        <v>1173</v>
      </c>
      <c r="AC66" t="s">
        <v>906</v>
      </c>
      <c r="AD66" t="s">
        <v>1302</v>
      </c>
      <c r="AE66" t="s">
        <v>1323</v>
      </c>
      <c r="AF66" t="s">
        <v>2300</v>
      </c>
      <c r="AH66" t="s">
        <v>1092</v>
      </c>
      <c r="AI66" t="s">
        <v>1324</v>
      </c>
      <c r="AJ66" t="s">
        <v>1325</v>
      </c>
      <c r="AK66" t="s">
        <v>2301</v>
      </c>
    </row>
    <row r="67" spans="1:37">
      <c r="A67" s="928" t="s">
        <v>715</v>
      </c>
      <c r="B67" s="130" t="s">
        <v>63</v>
      </c>
      <c r="C67" s="163">
        <f>'Лента - данные'!D346</f>
        <v>0</v>
      </c>
      <c r="D67" s="163"/>
      <c r="I67" s="447" t="s">
        <v>704</v>
      </c>
      <c r="J67" s="476" t="s">
        <v>160</v>
      </c>
      <c r="K67" s="163">
        <v>180</v>
      </c>
      <c r="L67" s="163"/>
      <c r="AA67" t="s">
        <v>1222</v>
      </c>
      <c r="AB67" t="s">
        <v>1173</v>
      </c>
      <c r="AC67" t="s">
        <v>909</v>
      </c>
      <c r="AD67" t="s">
        <v>1262</v>
      </c>
      <c r="AE67" t="s">
        <v>1326</v>
      </c>
      <c r="AF67" t="s">
        <v>2302</v>
      </c>
      <c r="AH67" t="s">
        <v>1092</v>
      </c>
      <c r="AI67" t="s">
        <v>1327</v>
      </c>
      <c r="AJ67" t="s">
        <v>1328</v>
      </c>
      <c r="AK67" t="s">
        <v>2303</v>
      </c>
    </row>
    <row r="68" spans="1:37">
      <c r="A68" s="928" t="s">
        <v>716</v>
      </c>
      <c r="B68" s="130" t="s">
        <v>654</v>
      </c>
      <c r="C68" s="163">
        <f>'Лента - данные'!D347</f>
        <v>0</v>
      </c>
      <c r="D68" s="163"/>
      <c r="I68" s="447" t="s">
        <v>705</v>
      </c>
      <c r="J68" s="476" t="s">
        <v>160</v>
      </c>
      <c r="K68" s="163">
        <v>240</v>
      </c>
      <c r="L68" s="163"/>
      <c r="AA68" t="s">
        <v>1222</v>
      </c>
      <c r="AB68" t="s">
        <v>1173</v>
      </c>
      <c r="AC68" t="s">
        <v>912</v>
      </c>
      <c r="AD68" t="s">
        <v>1329</v>
      </c>
      <c r="AE68" t="s">
        <v>1330</v>
      </c>
      <c r="AF68" t="s">
        <v>2304</v>
      </c>
      <c r="AH68" t="s">
        <v>1092</v>
      </c>
      <c r="AI68" t="s">
        <v>1331</v>
      </c>
      <c r="AJ68" t="s">
        <v>1332</v>
      </c>
      <c r="AK68" t="s">
        <v>2305</v>
      </c>
    </row>
    <row r="69" spans="1:37">
      <c r="A69" s="928" t="s">
        <v>717</v>
      </c>
      <c r="B69" s="165"/>
      <c r="C69" s="163">
        <f>'Лента - данные'!D348</f>
        <v>0</v>
      </c>
      <c r="D69" s="165"/>
      <c r="E69" s="378"/>
      <c r="I69" s="447" t="s">
        <v>706</v>
      </c>
      <c r="J69" s="476" t="s">
        <v>160</v>
      </c>
      <c r="K69" s="163">
        <v>200</v>
      </c>
      <c r="L69" s="163"/>
      <c r="AA69" t="s">
        <v>1222</v>
      </c>
      <c r="AB69" t="s">
        <v>1173</v>
      </c>
      <c r="AC69" t="s">
        <v>914</v>
      </c>
      <c r="AD69" t="s">
        <v>1195</v>
      </c>
      <c r="AE69" t="s">
        <v>1333</v>
      </c>
      <c r="AF69" t="s">
        <v>2306</v>
      </c>
      <c r="AH69" t="s">
        <v>1092</v>
      </c>
      <c r="AI69" t="s">
        <v>1334</v>
      </c>
      <c r="AJ69" t="s">
        <v>1335</v>
      </c>
      <c r="AK69" t="s">
        <v>2307</v>
      </c>
    </row>
    <row r="70" spans="1:37">
      <c r="A70" s="479" t="s">
        <v>718</v>
      </c>
      <c r="B70" s="165"/>
      <c r="C70" s="480" t="s">
        <v>213</v>
      </c>
      <c r="D70" s="165"/>
      <c r="E70" s="481" t="s">
        <v>214</v>
      </c>
      <c r="I70" s="447" t="s">
        <v>707</v>
      </c>
      <c r="J70" s="476" t="s">
        <v>160</v>
      </c>
      <c r="K70" s="163">
        <v>600</v>
      </c>
      <c r="L70" s="163"/>
      <c r="AA70" t="s">
        <v>1222</v>
      </c>
      <c r="AB70" t="s">
        <v>1173</v>
      </c>
      <c r="AC70" t="s">
        <v>920</v>
      </c>
      <c r="AD70" t="s">
        <v>1336</v>
      </c>
      <c r="AE70" t="s">
        <v>1337</v>
      </c>
      <c r="AF70" t="s">
        <v>2308</v>
      </c>
      <c r="AH70" t="s">
        <v>1092</v>
      </c>
      <c r="AI70" t="s">
        <v>1338</v>
      </c>
      <c r="AJ70" t="s">
        <v>1339</v>
      </c>
      <c r="AK70" t="s">
        <v>2309</v>
      </c>
    </row>
    <row r="71" spans="1:37">
      <c r="A71" s="470" t="s">
        <v>719</v>
      </c>
      <c r="B71" s="165" t="s">
        <v>85</v>
      </c>
      <c r="C71" s="479">
        <v>8</v>
      </c>
      <c r="D71" s="165"/>
      <c r="E71" s="378">
        <v>5</v>
      </c>
      <c r="I71" s="447" t="s">
        <v>708</v>
      </c>
      <c r="J71" s="476" t="s">
        <v>160</v>
      </c>
      <c r="K71" s="163">
        <v>150</v>
      </c>
      <c r="L71" s="163"/>
      <c r="AA71" t="s">
        <v>1222</v>
      </c>
      <c r="AB71" t="s">
        <v>1173</v>
      </c>
      <c r="AC71" t="s">
        <v>924</v>
      </c>
      <c r="AD71" t="s">
        <v>1336</v>
      </c>
      <c r="AE71" t="s">
        <v>1340</v>
      </c>
      <c r="AF71" t="s">
        <v>2310</v>
      </c>
      <c r="AH71" t="s">
        <v>1092</v>
      </c>
      <c r="AI71" t="s">
        <v>1341</v>
      </c>
      <c r="AJ71" t="s">
        <v>1342</v>
      </c>
      <c r="AK71" t="s">
        <v>2311</v>
      </c>
    </row>
    <row r="72" spans="1:37">
      <c r="A72" s="470" t="s">
        <v>720</v>
      </c>
      <c r="B72" s="165" t="s">
        <v>85</v>
      </c>
      <c r="C72" s="482">
        <v>2</v>
      </c>
      <c r="D72" s="165"/>
      <c r="E72" s="378">
        <v>5</v>
      </c>
      <c r="I72" s="447" t="s">
        <v>709</v>
      </c>
      <c r="J72" s="476" t="s">
        <v>86</v>
      </c>
      <c r="K72" s="163">
        <v>5</v>
      </c>
      <c r="L72" s="163"/>
      <c r="AA72" t="s">
        <v>1222</v>
      </c>
      <c r="AB72" t="s">
        <v>1173</v>
      </c>
      <c r="AC72" t="s">
        <v>928</v>
      </c>
      <c r="AD72" t="s">
        <v>1343</v>
      </c>
      <c r="AE72" t="s">
        <v>1344</v>
      </c>
      <c r="AF72" t="s">
        <v>2312</v>
      </c>
      <c r="AH72" t="s">
        <v>1092</v>
      </c>
      <c r="AI72" t="s">
        <v>1345</v>
      </c>
      <c r="AJ72" t="s">
        <v>1346</v>
      </c>
      <c r="AK72" t="s">
        <v>2313</v>
      </c>
    </row>
    <row r="73" spans="1:37">
      <c r="A73" s="470" t="s">
        <v>721</v>
      </c>
      <c r="B73" s="165" t="s">
        <v>85</v>
      </c>
      <c r="C73" s="482">
        <v>38</v>
      </c>
      <c r="D73" s="165"/>
      <c r="E73" s="378">
        <v>5</v>
      </c>
      <c r="I73" s="447" t="s">
        <v>710</v>
      </c>
      <c r="J73" s="476" t="s">
        <v>160</v>
      </c>
      <c r="K73" s="163">
        <v>180</v>
      </c>
      <c r="L73" s="163"/>
      <c r="AA73" t="s">
        <v>1222</v>
      </c>
      <c r="AB73" t="s">
        <v>1173</v>
      </c>
      <c r="AC73" t="s">
        <v>931</v>
      </c>
      <c r="AD73" t="s">
        <v>1195</v>
      </c>
      <c r="AE73" t="s">
        <v>1347</v>
      </c>
      <c r="AF73" t="s">
        <v>2314</v>
      </c>
      <c r="AH73" t="s">
        <v>1092</v>
      </c>
      <c r="AI73" t="s">
        <v>1348</v>
      </c>
      <c r="AJ73" t="s">
        <v>1349</v>
      </c>
      <c r="AK73" t="s">
        <v>2315</v>
      </c>
    </row>
    <row r="74" spans="1:37">
      <c r="A74" s="470" t="s">
        <v>722</v>
      </c>
      <c r="B74" s="165" t="s">
        <v>85</v>
      </c>
      <c r="C74" s="482">
        <v>10</v>
      </c>
      <c r="D74" s="165"/>
      <c r="E74" s="378">
        <v>5</v>
      </c>
      <c r="I74" s="447" t="s">
        <v>711</v>
      </c>
      <c r="J74" s="476" t="s">
        <v>160</v>
      </c>
      <c r="K74" s="163">
        <v>45</v>
      </c>
      <c r="L74" s="163"/>
      <c r="AA74" t="s">
        <v>1222</v>
      </c>
      <c r="AB74" t="s">
        <v>1173</v>
      </c>
      <c r="AC74" t="s">
        <v>935</v>
      </c>
      <c r="AD74" t="s">
        <v>1350</v>
      </c>
      <c r="AE74" t="s">
        <v>1351</v>
      </c>
      <c r="AF74" t="s">
        <v>2316</v>
      </c>
      <c r="AH74" t="s">
        <v>1092</v>
      </c>
      <c r="AI74" t="s">
        <v>1352</v>
      </c>
      <c r="AJ74" t="s">
        <v>1353</v>
      </c>
      <c r="AK74" t="s">
        <v>2317</v>
      </c>
    </row>
    <row r="75" spans="1:37">
      <c r="A75" s="470" t="s">
        <v>723</v>
      </c>
      <c r="B75" s="165" t="s">
        <v>85</v>
      </c>
      <c r="C75" s="482">
        <v>4</v>
      </c>
      <c r="D75" s="165"/>
      <c r="E75" s="378">
        <v>5</v>
      </c>
      <c r="I75" s="478" t="s">
        <v>712</v>
      </c>
      <c r="J75" s="467" t="s">
        <v>160</v>
      </c>
      <c r="K75" s="467">
        <v>500</v>
      </c>
      <c r="L75" s="163"/>
      <c r="AA75" t="s">
        <v>1222</v>
      </c>
      <c r="AB75" t="s">
        <v>1173</v>
      </c>
      <c r="AC75" t="s">
        <v>939</v>
      </c>
      <c r="AD75" t="s">
        <v>1354</v>
      </c>
      <c r="AE75" t="s">
        <v>1355</v>
      </c>
      <c r="AF75" t="s">
        <v>2318</v>
      </c>
      <c r="AH75" t="s">
        <v>1092</v>
      </c>
      <c r="AI75" t="s">
        <v>1356</v>
      </c>
      <c r="AJ75" t="s">
        <v>1357</v>
      </c>
      <c r="AK75" t="s">
        <v>2319</v>
      </c>
    </row>
    <row r="76" spans="1:37">
      <c r="A76" s="470" t="s">
        <v>724</v>
      </c>
      <c r="B76" s="165" t="s">
        <v>85</v>
      </c>
      <c r="C76" s="482">
        <v>8</v>
      </c>
      <c r="D76" s="165"/>
      <c r="E76" s="378">
        <v>5</v>
      </c>
      <c r="I76" s="131" t="s">
        <v>714</v>
      </c>
      <c r="J76" s="130" t="s">
        <v>86</v>
      </c>
      <c r="K76" s="130">
        <v>350</v>
      </c>
      <c r="L76" s="163"/>
      <c r="AA76" t="s">
        <v>1358</v>
      </c>
      <c r="AB76" t="s">
        <v>1089</v>
      </c>
      <c r="AC76" t="s">
        <v>147</v>
      </c>
      <c r="AD76" t="s">
        <v>1359</v>
      </c>
      <c r="AE76" t="s">
        <v>1360</v>
      </c>
      <c r="AF76" t="s">
        <v>2320</v>
      </c>
      <c r="AH76" t="s">
        <v>1092</v>
      </c>
      <c r="AI76" t="s">
        <v>1361</v>
      </c>
      <c r="AJ76" t="s">
        <v>1362</v>
      </c>
      <c r="AK76" t="s">
        <v>2321</v>
      </c>
    </row>
    <row r="77" spans="1:37">
      <c r="A77" s="470" t="s">
        <v>725</v>
      </c>
      <c r="B77" s="165" t="s">
        <v>85</v>
      </c>
      <c r="C77" s="482">
        <v>4</v>
      </c>
      <c r="D77" s="165"/>
      <c r="E77" s="378">
        <v>5</v>
      </c>
      <c r="I77" s="131" t="s">
        <v>715</v>
      </c>
      <c r="J77" s="130" t="s">
        <v>86</v>
      </c>
      <c r="K77" s="130">
        <v>650</v>
      </c>
      <c r="L77" s="163"/>
      <c r="AA77" t="s">
        <v>1358</v>
      </c>
      <c r="AB77" t="s">
        <v>1089</v>
      </c>
      <c r="AC77" t="s">
        <v>948</v>
      </c>
      <c r="AD77" t="s">
        <v>1363</v>
      </c>
      <c r="AE77" t="s">
        <v>1364</v>
      </c>
      <c r="AF77" t="s">
        <v>2322</v>
      </c>
      <c r="AH77" t="s">
        <v>1092</v>
      </c>
      <c r="AI77" t="s">
        <v>1365</v>
      </c>
      <c r="AJ77" t="s">
        <v>1366</v>
      </c>
      <c r="AK77" t="s">
        <v>2323</v>
      </c>
    </row>
    <row r="78" spans="1:37">
      <c r="A78" s="470" t="s">
        <v>726</v>
      </c>
      <c r="B78" s="165" t="s">
        <v>85</v>
      </c>
      <c r="C78" s="479">
        <v>4</v>
      </c>
      <c r="D78" s="165"/>
      <c r="E78" s="378">
        <v>5</v>
      </c>
      <c r="I78" s="131" t="s">
        <v>716</v>
      </c>
      <c r="J78" s="130" t="s">
        <v>63</v>
      </c>
      <c r="K78" s="130">
        <v>500</v>
      </c>
      <c r="L78" s="163"/>
      <c r="AA78" t="s">
        <v>1358</v>
      </c>
      <c r="AB78" t="s">
        <v>1089</v>
      </c>
      <c r="AC78" t="s">
        <v>950</v>
      </c>
      <c r="AD78" t="s">
        <v>1367</v>
      </c>
      <c r="AE78" t="s">
        <v>1368</v>
      </c>
      <c r="AF78" t="s">
        <v>2324</v>
      </c>
      <c r="AH78" t="s">
        <v>1092</v>
      </c>
      <c r="AI78" t="s">
        <v>1369</v>
      </c>
      <c r="AJ78" t="s">
        <v>1370</v>
      </c>
      <c r="AK78" t="s">
        <v>2325</v>
      </c>
    </row>
    <row r="79" spans="1:37">
      <c r="A79" s="470" t="s">
        <v>727</v>
      </c>
      <c r="B79" s="165" t="s">
        <v>85</v>
      </c>
      <c r="C79" s="479">
        <v>4</v>
      </c>
      <c r="D79" s="165"/>
      <c r="E79" s="378">
        <v>5</v>
      </c>
      <c r="I79" s="131" t="s">
        <v>717</v>
      </c>
      <c r="J79" s="130" t="s">
        <v>654</v>
      </c>
      <c r="K79" s="130"/>
      <c r="L79" s="163"/>
      <c r="AA79" t="s">
        <v>1358</v>
      </c>
      <c r="AB79" t="s">
        <v>1089</v>
      </c>
      <c r="AC79" t="s">
        <v>951</v>
      </c>
      <c r="AD79" t="s">
        <v>1336</v>
      </c>
      <c r="AE79" t="s">
        <v>1371</v>
      </c>
      <c r="AF79" t="s">
        <v>2326</v>
      </c>
      <c r="AH79" t="s">
        <v>1092</v>
      </c>
      <c r="AI79" t="s">
        <v>1372</v>
      </c>
      <c r="AJ79" t="s">
        <v>1373</v>
      </c>
      <c r="AK79" t="s">
        <v>2327</v>
      </c>
    </row>
    <row r="80" spans="1:37">
      <c r="A80" s="470" t="s">
        <v>728</v>
      </c>
      <c r="B80" s="165" t="s">
        <v>85</v>
      </c>
      <c r="C80" s="482">
        <v>12</v>
      </c>
      <c r="D80" s="165"/>
      <c r="E80" s="378">
        <v>5</v>
      </c>
      <c r="AA80" t="s">
        <v>1358</v>
      </c>
      <c r="AB80" t="s">
        <v>1089</v>
      </c>
      <c r="AC80" t="s">
        <v>180</v>
      </c>
      <c r="AD80" t="s">
        <v>1374</v>
      </c>
      <c r="AE80" t="s">
        <v>1375</v>
      </c>
      <c r="AF80" t="s">
        <v>2328</v>
      </c>
      <c r="AH80" t="s">
        <v>1092</v>
      </c>
      <c r="AI80" t="s">
        <v>1376</v>
      </c>
      <c r="AJ80" t="s">
        <v>1377</v>
      </c>
      <c r="AK80" t="s">
        <v>2329</v>
      </c>
    </row>
    <row r="81" spans="1:37">
      <c r="A81" s="470" t="s">
        <v>729</v>
      </c>
      <c r="B81" s="165" t="s">
        <v>85</v>
      </c>
      <c r="C81" s="482">
        <v>0</v>
      </c>
      <c r="D81" s="165"/>
      <c r="E81" s="378">
        <v>5</v>
      </c>
      <c r="AA81" t="s">
        <v>1358</v>
      </c>
      <c r="AB81" t="s">
        <v>1089</v>
      </c>
      <c r="AC81" t="s">
        <v>197</v>
      </c>
      <c r="AD81" t="s">
        <v>1378</v>
      </c>
      <c r="AE81" t="s">
        <v>1379</v>
      </c>
      <c r="AF81" t="s">
        <v>2330</v>
      </c>
      <c r="AH81" t="s">
        <v>1092</v>
      </c>
      <c r="AI81" t="s">
        <v>1380</v>
      </c>
      <c r="AJ81" t="s">
        <v>1381</v>
      </c>
      <c r="AK81" t="s">
        <v>2331</v>
      </c>
    </row>
    <row r="82" spans="1:37" ht="16">
      <c r="A82" s="470" t="s">
        <v>730</v>
      </c>
      <c r="B82" s="165" t="s">
        <v>85</v>
      </c>
      <c r="C82" s="482">
        <v>2</v>
      </c>
      <c r="D82" s="165"/>
      <c r="E82" s="378">
        <v>5</v>
      </c>
      <c r="AA82" t="s">
        <v>1358</v>
      </c>
      <c r="AB82" t="s">
        <v>1089</v>
      </c>
      <c r="AC82" t="s">
        <v>187</v>
      </c>
      <c r="AD82" t="s">
        <v>1382</v>
      </c>
      <c r="AE82" t="s">
        <v>1383</v>
      </c>
      <c r="AF82" t="s">
        <v>2332</v>
      </c>
      <c r="AH82" t="s">
        <v>1092</v>
      </c>
      <c r="AI82" t="s">
        <v>1384</v>
      </c>
      <c r="AJ82" t="s">
        <v>1385</v>
      </c>
      <c r="AK82" t="s">
        <v>2333</v>
      </c>
    </row>
    <row r="83" spans="1:37" ht="16">
      <c r="A83" s="470" t="s">
        <v>731</v>
      </c>
      <c r="B83" s="165" t="s">
        <v>85</v>
      </c>
      <c r="C83" s="482">
        <v>0</v>
      </c>
      <c r="D83" s="165"/>
      <c r="E83" s="378">
        <v>5</v>
      </c>
      <c r="AA83" t="s">
        <v>1358</v>
      </c>
      <c r="AB83" t="s">
        <v>1089</v>
      </c>
      <c r="AC83" t="s">
        <v>198</v>
      </c>
      <c r="AD83" t="s">
        <v>1386</v>
      </c>
      <c r="AE83" t="s">
        <v>1387</v>
      </c>
      <c r="AF83" t="s">
        <v>2334</v>
      </c>
      <c r="AH83" t="s">
        <v>1092</v>
      </c>
      <c r="AI83" t="s">
        <v>1388</v>
      </c>
      <c r="AJ83" t="s">
        <v>1389</v>
      </c>
      <c r="AK83" t="s">
        <v>2335</v>
      </c>
    </row>
    <row r="84" spans="1:37">
      <c r="A84" s="470"/>
      <c r="B84" s="165"/>
      <c r="C84" s="165"/>
      <c r="D84" s="165"/>
      <c r="E84" s="378"/>
      <c r="AA84" t="s">
        <v>1358</v>
      </c>
      <c r="AB84" t="s">
        <v>1089</v>
      </c>
      <c r="AC84" t="s">
        <v>191</v>
      </c>
      <c r="AD84" t="s">
        <v>1354</v>
      </c>
      <c r="AE84" t="s">
        <v>1390</v>
      </c>
      <c r="AF84" t="s">
        <v>2336</v>
      </c>
      <c r="AH84" t="s">
        <v>1092</v>
      </c>
      <c r="AI84" t="s">
        <v>1391</v>
      </c>
      <c r="AJ84" t="s">
        <v>1392</v>
      </c>
      <c r="AK84" t="s">
        <v>2337</v>
      </c>
    </row>
    <row r="85" spans="1:37">
      <c r="A85" s="470"/>
      <c r="B85" s="165"/>
      <c r="C85" s="165"/>
      <c r="D85" s="165"/>
      <c r="E85" s="378"/>
      <c r="AA85" t="s">
        <v>1358</v>
      </c>
      <c r="AB85" t="s">
        <v>1089</v>
      </c>
      <c r="AC85" t="s">
        <v>152</v>
      </c>
      <c r="AD85" t="s">
        <v>1178</v>
      </c>
      <c r="AE85" t="s">
        <v>1393</v>
      </c>
      <c r="AF85" t="s">
        <v>2338</v>
      </c>
      <c r="AH85" t="s">
        <v>1092</v>
      </c>
      <c r="AI85" t="s">
        <v>1394</v>
      </c>
      <c r="AJ85" t="s">
        <v>1395</v>
      </c>
      <c r="AK85" t="s">
        <v>2339</v>
      </c>
    </row>
    <row r="86" spans="1:37">
      <c r="A86" s="479" t="s">
        <v>732</v>
      </c>
      <c r="B86" s="165"/>
      <c r="C86" s="480" t="s">
        <v>213</v>
      </c>
      <c r="D86" s="165"/>
      <c r="E86" s="481" t="s">
        <v>214</v>
      </c>
      <c r="AA86" t="s">
        <v>1358</v>
      </c>
      <c r="AB86" t="s">
        <v>1089</v>
      </c>
      <c r="AC86" t="s">
        <v>952</v>
      </c>
      <c r="AD86" t="s">
        <v>1396</v>
      </c>
      <c r="AE86" t="s">
        <v>1397</v>
      </c>
      <c r="AF86" t="s">
        <v>2340</v>
      </c>
      <c r="AH86" t="s">
        <v>1092</v>
      </c>
      <c r="AI86" t="s">
        <v>1398</v>
      </c>
      <c r="AJ86" t="s">
        <v>1399</v>
      </c>
      <c r="AK86" t="s">
        <v>2341</v>
      </c>
    </row>
    <row r="87" spans="1:37">
      <c r="A87" s="470" t="s">
        <v>719</v>
      </c>
      <c r="B87" s="165" t="s">
        <v>85</v>
      </c>
      <c r="C87" s="483">
        <v>8</v>
      </c>
      <c r="D87" s="165"/>
      <c r="E87" s="378">
        <v>5</v>
      </c>
      <c r="AA87" t="s">
        <v>1358</v>
      </c>
      <c r="AB87" t="s">
        <v>1089</v>
      </c>
      <c r="AC87" t="s">
        <v>209</v>
      </c>
      <c r="AD87" t="s">
        <v>1400</v>
      </c>
      <c r="AE87" t="s">
        <v>1401</v>
      </c>
      <c r="AF87" t="s">
        <v>2342</v>
      </c>
      <c r="AH87" t="s">
        <v>1092</v>
      </c>
      <c r="AI87" t="s">
        <v>1402</v>
      </c>
      <c r="AJ87" t="s">
        <v>1403</v>
      </c>
      <c r="AK87" t="s">
        <v>2343</v>
      </c>
    </row>
    <row r="88" spans="1:37">
      <c r="A88" s="470" t="s">
        <v>720</v>
      </c>
      <c r="B88" s="165" t="s">
        <v>85</v>
      </c>
      <c r="C88" s="482">
        <v>6</v>
      </c>
      <c r="D88" s="165"/>
      <c r="E88" s="378">
        <v>5</v>
      </c>
      <c r="AA88" t="s">
        <v>1358</v>
      </c>
      <c r="AB88" t="s">
        <v>1089</v>
      </c>
      <c r="AC88" t="s">
        <v>953</v>
      </c>
      <c r="AD88" t="s">
        <v>1336</v>
      </c>
      <c r="AE88" t="s">
        <v>1404</v>
      </c>
      <c r="AF88" t="s">
        <v>2344</v>
      </c>
      <c r="AH88" t="s">
        <v>1092</v>
      </c>
      <c r="AI88" t="s">
        <v>1405</v>
      </c>
      <c r="AJ88" t="s">
        <v>1406</v>
      </c>
      <c r="AK88" t="s">
        <v>2345</v>
      </c>
    </row>
    <row r="89" spans="1:37">
      <c r="A89" s="470" t="s">
        <v>721</v>
      </c>
      <c r="B89" s="165" t="s">
        <v>85</v>
      </c>
      <c r="C89" s="482">
        <v>32</v>
      </c>
      <c r="D89" s="165"/>
      <c r="E89" s="378">
        <v>5</v>
      </c>
      <c r="AA89" t="s">
        <v>1358</v>
      </c>
      <c r="AB89" t="s">
        <v>1089</v>
      </c>
      <c r="AC89" t="s">
        <v>183</v>
      </c>
      <c r="AD89" t="s">
        <v>1407</v>
      </c>
      <c r="AE89" t="s">
        <v>1408</v>
      </c>
      <c r="AF89" t="s">
        <v>2346</v>
      </c>
      <c r="AH89" t="s">
        <v>1092</v>
      </c>
      <c r="AI89" t="s">
        <v>1409</v>
      </c>
      <c r="AJ89" t="s">
        <v>1410</v>
      </c>
      <c r="AK89" t="s">
        <v>2347</v>
      </c>
    </row>
    <row r="90" spans="1:37">
      <c r="A90" s="470" t="s">
        <v>722</v>
      </c>
      <c r="B90" s="165" t="s">
        <v>85</v>
      </c>
      <c r="C90" s="482">
        <v>10</v>
      </c>
      <c r="D90" s="165"/>
      <c r="E90" s="378">
        <v>5</v>
      </c>
      <c r="AA90" t="s">
        <v>1358</v>
      </c>
      <c r="AB90" t="s">
        <v>1089</v>
      </c>
      <c r="AC90" t="s">
        <v>161</v>
      </c>
      <c r="AD90" t="s">
        <v>1138</v>
      </c>
      <c r="AE90" t="s">
        <v>1411</v>
      </c>
      <c r="AF90" t="s">
        <v>2348</v>
      </c>
      <c r="AH90" t="s">
        <v>1092</v>
      </c>
      <c r="AI90" t="s">
        <v>1412</v>
      </c>
      <c r="AJ90" t="s">
        <v>1413</v>
      </c>
      <c r="AK90" t="s">
        <v>2349</v>
      </c>
    </row>
    <row r="91" spans="1:37">
      <c r="A91" s="470" t="s">
        <v>723</v>
      </c>
      <c r="B91" s="165" t="s">
        <v>85</v>
      </c>
      <c r="C91" s="482">
        <v>4</v>
      </c>
      <c r="D91" s="165"/>
      <c r="E91" s="378">
        <v>5</v>
      </c>
      <c r="AA91" t="s">
        <v>1358</v>
      </c>
      <c r="AB91" t="s">
        <v>1089</v>
      </c>
      <c r="AC91" t="s">
        <v>202</v>
      </c>
      <c r="AD91" t="s">
        <v>1414</v>
      </c>
      <c r="AE91" t="s">
        <v>1415</v>
      </c>
      <c r="AF91" t="s">
        <v>2350</v>
      </c>
      <c r="AH91" t="s">
        <v>1092</v>
      </c>
      <c r="AI91" t="s">
        <v>1416</v>
      </c>
      <c r="AJ91" t="s">
        <v>1417</v>
      </c>
      <c r="AK91" t="s">
        <v>2351</v>
      </c>
    </row>
    <row r="92" spans="1:37">
      <c r="A92" s="484" t="s">
        <v>724</v>
      </c>
      <c r="B92" s="165" t="s">
        <v>85</v>
      </c>
      <c r="C92" s="482">
        <v>8</v>
      </c>
      <c r="D92" s="165"/>
      <c r="E92" s="378">
        <v>5</v>
      </c>
      <c r="AA92" t="s">
        <v>1358</v>
      </c>
      <c r="AB92" t="s">
        <v>1089</v>
      </c>
      <c r="AC92" t="s">
        <v>388</v>
      </c>
      <c r="AD92" t="s">
        <v>1414</v>
      </c>
      <c r="AE92" t="s">
        <v>1418</v>
      </c>
      <c r="AF92" t="s">
        <v>2352</v>
      </c>
      <c r="AH92" t="s">
        <v>1092</v>
      </c>
      <c r="AI92" t="s">
        <v>1419</v>
      </c>
      <c r="AJ92" t="s">
        <v>1420</v>
      </c>
      <c r="AK92" t="s">
        <v>2353</v>
      </c>
    </row>
    <row r="93" spans="1:37">
      <c r="A93" s="484" t="s">
        <v>725</v>
      </c>
      <c r="B93" s="165" t="s">
        <v>85</v>
      </c>
      <c r="C93" s="482">
        <v>4</v>
      </c>
      <c r="D93" s="165"/>
      <c r="E93" s="378">
        <v>5</v>
      </c>
      <c r="AA93" t="s">
        <v>1358</v>
      </c>
      <c r="AB93" t="s">
        <v>1089</v>
      </c>
      <c r="AC93" t="s">
        <v>550</v>
      </c>
      <c r="AD93" t="s">
        <v>1118</v>
      </c>
      <c r="AE93" t="s">
        <v>1421</v>
      </c>
      <c r="AF93" t="s">
        <v>2354</v>
      </c>
      <c r="AH93" t="s">
        <v>1092</v>
      </c>
      <c r="AI93" t="s">
        <v>1422</v>
      </c>
      <c r="AJ93" t="s">
        <v>1423</v>
      </c>
      <c r="AK93" t="s">
        <v>2355</v>
      </c>
    </row>
    <row r="94" spans="1:37">
      <c r="A94" s="484" t="s">
        <v>726</v>
      </c>
      <c r="B94" s="165" t="s">
        <v>85</v>
      </c>
      <c r="C94" s="483">
        <v>4</v>
      </c>
      <c r="D94" s="165"/>
      <c r="E94" s="378">
        <v>5</v>
      </c>
      <c r="AA94" t="s">
        <v>1358</v>
      </c>
      <c r="AB94" t="s">
        <v>1089</v>
      </c>
      <c r="AC94" t="s">
        <v>957</v>
      </c>
      <c r="AD94" t="s">
        <v>1118</v>
      </c>
      <c r="AE94" t="s">
        <v>1424</v>
      </c>
      <c r="AF94" t="s">
        <v>2356</v>
      </c>
      <c r="AH94" t="s">
        <v>1092</v>
      </c>
      <c r="AI94" t="s">
        <v>1425</v>
      </c>
      <c r="AJ94" t="s">
        <v>1053</v>
      </c>
      <c r="AK94" t="s">
        <v>2357</v>
      </c>
    </row>
    <row r="95" spans="1:37">
      <c r="A95" s="484" t="s">
        <v>727</v>
      </c>
      <c r="B95" s="165" t="s">
        <v>85</v>
      </c>
      <c r="C95" s="483">
        <v>4</v>
      </c>
      <c r="D95" s="165"/>
      <c r="E95" s="378">
        <v>5</v>
      </c>
      <c r="AA95" t="s">
        <v>1358</v>
      </c>
      <c r="AB95" t="s">
        <v>1089</v>
      </c>
      <c r="AC95" t="s">
        <v>194</v>
      </c>
      <c r="AD95" t="s">
        <v>1135</v>
      </c>
      <c r="AE95" t="s">
        <v>1426</v>
      </c>
      <c r="AF95" t="s">
        <v>2358</v>
      </c>
      <c r="AH95" t="s">
        <v>1092</v>
      </c>
      <c r="AI95" t="s">
        <v>1427</v>
      </c>
      <c r="AJ95" t="s">
        <v>1054</v>
      </c>
      <c r="AK95" t="s">
        <v>2359</v>
      </c>
    </row>
    <row r="96" spans="1:37">
      <c r="A96" s="484" t="s">
        <v>728</v>
      </c>
      <c r="B96" s="165" t="s">
        <v>85</v>
      </c>
      <c r="C96" s="482">
        <v>12</v>
      </c>
      <c r="D96" s="165"/>
      <c r="E96" s="378">
        <v>5</v>
      </c>
      <c r="AA96" t="s">
        <v>1358</v>
      </c>
      <c r="AB96" t="s">
        <v>1089</v>
      </c>
      <c r="AC96" t="s">
        <v>1428</v>
      </c>
      <c r="AD96" t="s">
        <v>1429</v>
      </c>
      <c r="AE96" t="s">
        <v>1430</v>
      </c>
      <c r="AF96" t="s">
        <v>2360</v>
      </c>
      <c r="AH96" t="s">
        <v>1092</v>
      </c>
      <c r="AI96" t="s">
        <v>1431</v>
      </c>
      <c r="AJ96" t="s">
        <v>1017</v>
      </c>
      <c r="AK96" t="s">
        <v>2361</v>
      </c>
    </row>
    <row r="97" spans="1:37">
      <c r="A97" s="484" t="s">
        <v>733</v>
      </c>
      <c r="B97" s="165" t="s">
        <v>85</v>
      </c>
      <c r="C97" s="482">
        <v>2</v>
      </c>
      <c r="D97" s="165"/>
      <c r="E97" s="378">
        <v>5</v>
      </c>
      <c r="AA97" t="s">
        <v>1358</v>
      </c>
      <c r="AB97" t="s">
        <v>1089</v>
      </c>
      <c r="AC97" t="s">
        <v>959</v>
      </c>
      <c r="AD97" t="s">
        <v>1363</v>
      </c>
      <c r="AE97" t="s">
        <v>1432</v>
      </c>
      <c r="AF97" t="s">
        <v>2362</v>
      </c>
      <c r="AH97" t="s">
        <v>1092</v>
      </c>
      <c r="AI97" t="s">
        <v>1433</v>
      </c>
      <c r="AJ97" t="s">
        <v>1020</v>
      </c>
      <c r="AK97" t="s">
        <v>2363</v>
      </c>
    </row>
    <row r="98" spans="1:37">
      <c r="A98" s="484" t="s">
        <v>734</v>
      </c>
      <c r="B98" s="165" t="s">
        <v>85</v>
      </c>
      <c r="C98" s="482"/>
      <c r="D98" s="165"/>
      <c r="E98" s="378">
        <v>5</v>
      </c>
      <c r="AA98" t="s">
        <v>1358</v>
      </c>
      <c r="AB98" t="s">
        <v>1089</v>
      </c>
      <c r="AC98" t="s">
        <v>960</v>
      </c>
      <c r="AD98" t="s">
        <v>1138</v>
      </c>
      <c r="AE98" t="s">
        <v>1434</v>
      </c>
      <c r="AF98" t="s">
        <v>2364</v>
      </c>
      <c r="AH98" t="s">
        <v>1092</v>
      </c>
      <c r="AI98" t="s">
        <v>1435</v>
      </c>
      <c r="AJ98" t="s">
        <v>1023</v>
      </c>
      <c r="AK98" t="s">
        <v>2365</v>
      </c>
    </row>
    <row r="99" spans="1:37">
      <c r="A99" s="484" t="s">
        <v>735</v>
      </c>
      <c r="B99" s="165" t="s">
        <v>85</v>
      </c>
      <c r="C99" s="482"/>
      <c r="D99" s="165"/>
      <c r="E99" s="378">
        <v>5</v>
      </c>
      <c r="AA99" t="s">
        <v>1358</v>
      </c>
      <c r="AB99" t="s">
        <v>1089</v>
      </c>
      <c r="AC99" t="s">
        <v>961</v>
      </c>
      <c r="AD99" t="s">
        <v>1436</v>
      </c>
      <c r="AE99" t="s">
        <v>1437</v>
      </c>
      <c r="AF99" t="s">
        <v>2366</v>
      </c>
      <c r="AH99" t="s">
        <v>1092</v>
      </c>
      <c r="AI99" t="s">
        <v>1438</v>
      </c>
      <c r="AJ99" t="s">
        <v>1058</v>
      </c>
      <c r="AK99" t="s">
        <v>2367</v>
      </c>
    </row>
    <row r="100" spans="1:37">
      <c r="A100" s="470"/>
      <c r="B100" s="165"/>
      <c r="C100" s="165"/>
      <c r="D100" s="165"/>
      <c r="E100" s="378"/>
      <c r="AA100" t="s">
        <v>1358</v>
      </c>
      <c r="AB100" t="s">
        <v>1089</v>
      </c>
      <c r="AC100" t="s">
        <v>962</v>
      </c>
      <c r="AD100" t="s">
        <v>1439</v>
      </c>
      <c r="AE100" t="s">
        <v>1440</v>
      </c>
      <c r="AF100" t="s">
        <v>2368</v>
      </c>
      <c r="AH100" t="s">
        <v>1092</v>
      </c>
      <c r="AI100" t="s">
        <v>1441</v>
      </c>
      <c r="AJ100" t="s">
        <v>1059</v>
      </c>
      <c r="AK100" t="s">
        <v>2369</v>
      </c>
    </row>
    <row r="101" spans="1:37">
      <c r="A101" s="470"/>
      <c r="B101" s="165"/>
      <c r="C101" s="165"/>
      <c r="D101" s="165"/>
      <c r="E101" s="378"/>
      <c r="AA101" t="s">
        <v>1358</v>
      </c>
      <c r="AB101" t="s">
        <v>1089</v>
      </c>
      <c r="AC101" t="s">
        <v>163</v>
      </c>
      <c r="AD101" t="s">
        <v>1442</v>
      </c>
      <c r="AE101" t="s">
        <v>1443</v>
      </c>
      <c r="AF101" t="s">
        <v>2370</v>
      </c>
      <c r="AH101" t="s">
        <v>1092</v>
      </c>
      <c r="AI101" t="s">
        <v>1444</v>
      </c>
      <c r="AJ101" t="s">
        <v>1060</v>
      </c>
      <c r="AK101" t="s">
        <v>2371</v>
      </c>
    </row>
    <row r="102" spans="1:37">
      <c r="A102" s="470"/>
      <c r="B102" s="165"/>
      <c r="C102" s="165"/>
      <c r="D102" s="165"/>
      <c r="E102" s="378"/>
      <c r="AA102" t="s">
        <v>1358</v>
      </c>
      <c r="AB102" t="s">
        <v>1089</v>
      </c>
      <c r="AC102" t="s">
        <v>373</v>
      </c>
      <c r="AD102" t="s">
        <v>1445</v>
      </c>
      <c r="AE102" t="s">
        <v>1446</v>
      </c>
      <c r="AF102" t="s">
        <v>2372</v>
      </c>
      <c r="AH102" t="s">
        <v>1092</v>
      </c>
      <c r="AI102" t="s">
        <v>1447</v>
      </c>
      <c r="AJ102" t="s">
        <v>1061</v>
      </c>
      <c r="AK102" t="s">
        <v>2373</v>
      </c>
    </row>
    <row r="103" spans="1:37">
      <c r="A103" s="470"/>
      <c r="B103" s="165"/>
      <c r="C103" s="165"/>
      <c r="D103" s="165"/>
      <c r="E103" s="378"/>
      <c r="AA103" t="s">
        <v>1358</v>
      </c>
      <c r="AB103" t="s">
        <v>1089</v>
      </c>
      <c r="AC103" t="s">
        <v>747</v>
      </c>
      <c r="AD103" t="s">
        <v>1448</v>
      </c>
      <c r="AE103" t="s">
        <v>1449</v>
      </c>
      <c r="AF103" t="s">
        <v>2374</v>
      </c>
      <c r="AH103" t="s">
        <v>1092</v>
      </c>
      <c r="AI103" t="s">
        <v>1450</v>
      </c>
      <c r="AJ103" t="s">
        <v>1062</v>
      </c>
      <c r="AK103" t="s">
        <v>2375</v>
      </c>
    </row>
    <row r="104" spans="1:37">
      <c r="A104" s="470"/>
      <c r="B104" s="165"/>
      <c r="C104" s="165"/>
      <c r="D104" s="165"/>
      <c r="E104" s="378"/>
      <c r="AA104" t="s">
        <v>1451</v>
      </c>
      <c r="AB104" t="s">
        <v>1452</v>
      </c>
      <c r="AC104" t="s">
        <v>1453</v>
      </c>
      <c r="AD104" t="s">
        <v>1454</v>
      </c>
      <c r="AE104" t="s">
        <v>1455</v>
      </c>
      <c r="AF104" t="s">
        <v>2376</v>
      </c>
      <c r="AH104" t="s">
        <v>1092</v>
      </c>
      <c r="AI104" t="s">
        <v>1456</v>
      </c>
      <c r="AJ104" t="s">
        <v>1063</v>
      </c>
      <c r="AK104" t="s">
        <v>2377</v>
      </c>
    </row>
    <row r="105" spans="1:37">
      <c r="A105" s="470"/>
      <c r="B105" s="165"/>
      <c r="C105" s="165"/>
      <c r="D105" s="165"/>
      <c r="E105" s="378"/>
      <c r="AA105" t="s">
        <v>1451</v>
      </c>
      <c r="AB105" t="s">
        <v>1452</v>
      </c>
      <c r="AC105" t="s">
        <v>1457</v>
      </c>
      <c r="AD105" t="s">
        <v>1454</v>
      </c>
      <c r="AE105" t="s">
        <v>1458</v>
      </c>
      <c r="AF105" t="s">
        <v>2378</v>
      </c>
      <c r="AH105" t="s">
        <v>1092</v>
      </c>
      <c r="AI105" t="s">
        <v>1459</v>
      </c>
      <c r="AJ105" t="s">
        <v>1064</v>
      </c>
      <c r="AK105" t="s">
        <v>2379</v>
      </c>
    </row>
    <row r="106" spans="1:37">
      <c r="AA106" t="s">
        <v>1451</v>
      </c>
      <c r="AB106" t="s">
        <v>1452</v>
      </c>
      <c r="AC106" t="s">
        <v>1460</v>
      </c>
      <c r="AD106" t="s">
        <v>1454</v>
      </c>
      <c r="AE106" t="s">
        <v>1461</v>
      </c>
      <c r="AF106" t="s">
        <v>2380</v>
      </c>
      <c r="AH106" t="s">
        <v>1092</v>
      </c>
      <c r="AI106" t="s">
        <v>1462</v>
      </c>
      <c r="AJ106" t="s">
        <v>1044</v>
      </c>
      <c r="AK106" t="s">
        <v>2381</v>
      </c>
    </row>
    <row r="107" spans="1:37">
      <c r="AA107" t="s">
        <v>1451</v>
      </c>
      <c r="AB107" t="s">
        <v>1452</v>
      </c>
      <c r="AC107" t="s">
        <v>1463</v>
      </c>
      <c r="AD107" t="s">
        <v>1464</v>
      </c>
      <c r="AE107" t="s">
        <v>1465</v>
      </c>
      <c r="AF107" t="s">
        <v>2382</v>
      </c>
      <c r="AH107" t="s">
        <v>1092</v>
      </c>
      <c r="AI107" t="s">
        <v>1466</v>
      </c>
      <c r="AJ107" t="s">
        <v>1047</v>
      </c>
      <c r="AK107" t="s">
        <v>2383</v>
      </c>
    </row>
    <row r="108" spans="1:37">
      <c r="AA108" t="s">
        <v>1451</v>
      </c>
      <c r="AB108" t="s">
        <v>1452</v>
      </c>
      <c r="AC108" t="s">
        <v>1467</v>
      </c>
      <c r="AD108" t="s">
        <v>1464</v>
      </c>
      <c r="AE108" t="s">
        <v>1468</v>
      </c>
      <c r="AF108" t="s">
        <v>2384</v>
      </c>
      <c r="AH108" t="s">
        <v>1092</v>
      </c>
      <c r="AI108" t="s">
        <v>1469</v>
      </c>
      <c r="AJ108" t="s">
        <v>1048</v>
      </c>
      <c r="AK108" t="s">
        <v>2385</v>
      </c>
    </row>
    <row r="109" spans="1:37">
      <c r="AA109" t="s">
        <v>1451</v>
      </c>
      <c r="AB109" t="s">
        <v>1452</v>
      </c>
      <c r="AC109" t="s">
        <v>1470</v>
      </c>
      <c r="AD109" t="s">
        <v>1464</v>
      </c>
      <c r="AE109" t="s">
        <v>1471</v>
      </c>
      <c r="AF109" t="s">
        <v>2386</v>
      </c>
      <c r="AH109" t="s">
        <v>1092</v>
      </c>
      <c r="AI109" t="s">
        <v>1472</v>
      </c>
      <c r="AJ109" t="s">
        <v>1049</v>
      </c>
      <c r="AK109" t="s">
        <v>2387</v>
      </c>
    </row>
    <row r="110" spans="1:37">
      <c r="AA110" t="s">
        <v>1451</v>
      </c>
      <c r="AB110" t="s">
        <v>1452</v>
      </c>
      <c r="AC110" t="s">
        <v>1473</v>
      </c>
      <c r="AD110" t="s">
        <v>1474</v>
      </c>
      <c r="AE110" t="s">
        <v>1475</v>
      </c>
      <c r="AF110" t="s">
        <v>2388</v>
      </c>
      <c r="AH110" t="s">
        <v>1092</v>
      </c>
      <c r="AI110" t="s">
        <v>1476</v>
      </c>
      <c r="AJ110" t="s">
        <v>1065</v>
      </c>
      <c r="AK110" t="s">
        <v>2389</v>
      </c>
    </row>
    <row r="111" spans="1:37">
      <c r="AA111" t="s">
        <v>1451</v>
      </c>
      <c r="AB111" t="s">
        <v>1452</v>
      </c>
      <c r="AC111" t="s">
        <v>1477</v>
      </c>
      <c r="AD111" t="s">
        <v>1474</v>
      </c>
      <c r="AE111" t="s">
        <v>1478</v>
      </c>
      <c r="AF111" t="s">
        <v>2390</v>
      </c>
      <c r="AH111" t="s">
        <v>1092</v>
      </c>
      <c r="AI111" t="s">
        <v>1479</v>
      </c>
      <c r="AJ111" t="s">
        <v>1066</v>
      </c>
      <c r="AK111" t="s">
        <v>2391</v>
      </c>
    </row>
    <row r="112" spans="1:37">
      <c r="AA112" t="s">
        <v>1451</v>
      </c>
      <c r="AB112" t="s">
        <v>1452</v>
      </c>
      <c r="AC112" t="s">
        <v>1480</v>
      </c>
      <c r="AD112" t="s">
        <v>1481</v>
      </c>
      <c r="AE112" t="s">
        <v>1482</v>
      </c>
      <c r="AF112" t="s">
        <v>2392</v>
      </c>
      <c r="AH112" t="s">
        <v>1092</v>
      </c>
      <c r="AI112" t="s">
        <v>1483</v>
      </c>
      <c r="AJ112" t="s">
        <v>1057</v>
      </c>
      <c r="AK112" t="s">
        <v>2393</v>
      </c>
    </row>
    <row r="113" spans="27:32">
      <c r="AA113" t="s">
        <v>1451</v>
      </c>
      <c r="AB113" t="s">
        <v>1452</v>
      </c>
      <c r="AC113" t="s">
        <v>1484</v>
      </c>
      <c r="AD113" t="s">
        <v>1481</v>
      </c>
      <c r="AE113" t="s">
        <v>1485</v>
      </c>
      <c r="AF113" t="s">
        <v>2394</v>
      </c>
    </row>
    <row r="114" spans="27:32">
      <c r="AA114" t="s">
        <v>1451</v>
      </c>
      <c r="AB114" t="s">
        <v>1452</v>
      </c>
      <c r="AC114" t="s">
        <v>1486</v>
      </c>
      <c r="AD114" t="s">
        <v>1481</v>
      </c>
      <c r="AE114" t="s">
        <v>1487</v>
      </c>
      <c r="AF114" t="s">
        <v>2395</v>
      </c>
    </row>
    <row r="115" spans="27:32">
      <c r="AA115" t="s">
        <v>1451</v>
      </c>
      <c r="AB115" t="s">
        <v>1452</v>
      </c>
      <c r="AC115" t="s">
        <v>1488</v>
      </c>
      <c r="AD115" t="s">
        <v>1474</v>
      </c>
      <c r="AE115" t="s">
        <v>1489</v>
      </c>
      <c r="AF115" t="s">
        <v>2396</v>
      </c>
    </row>
    <row r="116" spans="27:32">
      <c r="AA116" t="s">
        <v>1451</v>
      </c>
      <c r="AB116" t="s">
        <v>1452</v>
      </c>
      <c r="AC116" t="s">
        <v>1490</v>
      </c>
      <c r="AD116" t="s">
        <v>1474</v>
      </c>
      <c r="AE116" t="s">
        <v>1491</v>
      </c>
      <c r="AF116" t="s">
        <v>2397</v>
      </c>
    </row>
    <row r="117" spans="27:32">
      <c r="AA117" t="s">
        <v>1451</v>
      </c>
      <c r="AB117" t="s">
        <v>1452</v>
      </c>
      <c r="AC117" t="s">
        <v>1492</v>
      </c>
      <c r="AD117" t="s">
        <v>1474</v>
      </c>
      <c r="AE117" t="s">
        <v>1493</v>
      </c>
      <c r="AF117" t="s">
        <v>2398</v>
      </c>
    </row>
    <row r="118" spans="27:32">
      <c r="AA118" t="s">
        <v>1451</v>
      </c>
      <c r="AB118" t="s">
        <v>1452</v>
      </c>
      <c r="AC118" t="s">
        <v>1494</v>
      </c>
      <c r="AD118" t="s">
        <v>1495</v>
      </c>
      <c r="AE118" t="s">
        <v>1496</v>
      </c>
      <c r="AF118" t="s">
        <v>2399</v>
      </c>
    </row>
    <row r="119" spans="27:32">
      <c r="AA119" t="s">
        <v>1451</v>
      </c>
      <c r="AB119" t="s">
        <v>1452</v>
      </c>
      <c r="AC119" t="s">
        <v>1497</v>
      </c>
      <c r="AD119" t="s">
        <v>1495</v>
      </c>
      <c r="AE119" t="s">
        <v>1498</v>
      </c>
      <c r="AF119" t="s">
        <v>2400</v>
      </c>
    </row>
    <row r="120" spans="27:32">
      <c r="AA120" t="s">
        <v>1451</v>
      </c>
      <c r="AB120" t="s">
        <v>1452</v>
      </c>
      <c r="AC120" t="s">
        <v>1499</v>
      </c>
      <c r="AD120" t="s">
        <v>1495</v>
      </c>
      <c r="AE120" t="s">
        <v>1500</v>
      </c>
      <c r="AF120" t="s">
        <v>2401</v>
      </c>
    </row>
    <row r="121" spans="27:32">
      <c r="AA121" t="s">
        <v>1451</v>
      </c>
      <c r="AB121" t="s">
        <v>1452</v>
      </c>
      <c r="AC121" t="s">
        <v>1501</v>
      </c>
      <c r="AD121" t="s">
        <v>1495</v>
      </c>
      <c r="AE121" t="s">
        <v>1502</v>
      </c>
      <c r="AF121" t="s">
        <v>2402</v>
      </c>
    </row>
    <row r="122" spans="27:32">
      <c r="AA122" t="s">
        <v>1451</v>
      </c>
      <c r="AB122" t="s">
        <v>1452</v>
      </c>
      <c r="AC122" t="s">
        <v>1503</v>
      </c>
      <c r="AD122" t="s">
        <v>1495</v>
      </c>
      <c r="AE122" t="s">
        <v>1504</v>
      </c>
      <c r="AF122" t="s">
        <v>2403</v>
      </c>
    </row>
    <row r="123" spans="27:32">
      <c r="AA123" t="s">
        <v>1451</v>
      </c>
      <c r="AB123" t="s">
        <v>1452</v>
      </c>
      <c r="AC123" t="s">
        <v>1505</v>
      </c>
      <c r="AD123" t="s">
        <v>1495</v>
      </c>
      <c r="AE123" t="s">
        <v>1506</v>
      </c>
      <c r="AF123" t="s">
        <v>2404</v>
      </c>
    </row>
    <row r="124" spans="27:32">
      <c r="AA124" t="s">
        <v>1451</v>
      </c>
      <c r="AB124" t="s">
        <v>1452</v>
      </c>
      <c r="AC124" t="s">
        <v>1507</v>
      </c>
      <c r="AD124" t="s">
        <v>1495</v>
      </c>
      <c r="AE124" t="s">
        <v>1508</v>
      </c>
      <c r="AF124" t="s">
        <v>2405</v>
      </c>
    </row>
    <row r="125" spans="27:32">
      <c r="AA125" t="s">
        <v>1451</v>
      </c>
      <c r="AB125" t="s">
        <v>1452</v>
      </c>
      <c r="AC125" t="s">
        <v>1509</v>
      </c>
      <c r="AD125" t="s">
        <v>1495</v>
      </c>
      <c r="AE125" t="s">
        <v>1510</v>
      </c>
      <c r="AF125" t="s">
        <v>2406</v>
      </c>
    </row>
    <row r="126" spans="27:32">
      <c r="AA126" t="s">
        <v>1451</v>
      </c>
      <c r="AB126" t="s">
        <v>1452</v>
      </c>
      <c r="AC126" t="s">
        <v>1511</v>
      </c>
      <c r="AD126" t="s">
        <v>1495</v>
      </c>
      <c r="AE126" t="s">
        <v>1512</v>
      </c>
      <c r="AF126" t="s">
        <v>2407</v>
      </c>
    </row>
    <row r="127" spans="27:32">
      <c r="AA127" t="s">
        <v>1451</v>
      </c>
      <c r="AB127" t="s">
        <v>1452</v>
      </c>
      <c r="AC127" t="s">
        <v>1513</v>
      </c>
      <c r="AD127" t="s">
        <v>1495</v>
      </c>
      <c r="AE127" t="s">
        <v>1514</v>
      </c>
      <c r="AF127" t="s">
        <v>2408</v>
      </c>
    </row>
    <row r="128" spans="27:32">
      <c r="AA128" t="s">
        <v>1451</v>
      </c>
      <c r="AB128" t="s">
        <v>1452</v>
      </c>
      <c r="AC128" t="s">
        <v>1515</v>
      </c>
      <c r="AD128" t="s">
        <v>1495</v>
      </c>
      <c r="AE128" t="s">
        <v>1516</v>
      </c>
      <c r="AF128" t="s">
        <v>2409</v>
      </c>
    </row>
    <row r="129" spans="27:32">
      <c r="AA129" t="s">
        <v>1451</v>
      </c>
      <c r="AB129" t="s">
        <v>1452</v>
      </c>
      <c r="AC129" t="s">
        <v>1517</v>
      </c>
      <c r="AD129" t="s">
        <v>1495</v>
      </c>
      <c r="AE129" t="s">
        <v>1518</v>
      </c>
      <c r="AF129" t="s">
        <v>2410</v>
      </c>
    </row>
    <row r="130" spans="27:32">
      <c r="AA130" t="s">
        <v>1451</v>
      </c>
      <c r="AB130" t="s">
        <v>1519</v>
      </c>
      <c r="AC130" t="s">
        <v>1520</v>
      </c>
      <c r="AD130" t="s">
        <v>1521</v>
      </c>
      <c r="AE130" t="s">
        <v>1522</v>
      </c>
      <c r="AF130" t="s">
        <v>2411</v>
      </c>
    </row>
    <row r="131" spans="27:32">
      <c r="AA131" t="s">
        <v>1451</v>
      </c>
      <c r="AB131" t="s">
        <v>1519</v>
      </c>
      <c r="AC131" t="s">
        <v>1523</v>
      </c>
      <c r="AD131" t="s">
        <v>1524</v>
      </c>
      <c r="AE131" t="s">
        <v>1525</v>
      </c>
      <c r="AF131" t="s">
        <v>2412</v>
      </c>
    </row>
    <row r="132" spans="27:32">
      <c r="AA132" t="s">
        <v>1451</v>
      </c>
      <c r="AB132" t="s">
        <v>1519</v>
      </c>
      <c r="AC132" t="s">
        <v>1526</v>
      </c>
      <c r="AD132" t="s">
        <v>1521</v>
      </c>
      <c r="AE132" t="s">
        <v>1527</v>
      </c>
      <c r="AF132" t="s">
        <v>2413</v>
      </c>
    </row>
    <row r="133" spans="27:32">
      <c r="AA133" t="s">
        <v>1451</v>
      </c>
      <c r="AB133" t="s">
        <v>1519</v>
      </c>
      <c r="AC133" t="s">
        <v>1528</v>
      </c>
      <c r="AD133" t="s">
        <v>1524</v>
      </c>
      <c r="AE133" t="s">
        <v>1529</v>
      </c>
      <c r="AF133" t="s">
        <v>2414</v>
      </c>
    </row>
    <row r="134" spans="27:32">
      <c r="AA134" t="s">
        <v>1451</v>
      </c>
      <c r="AB134" t="s">
        <v>1519</v>
      </c>
      <c r="AC134" t="s">
        <v>1530</v>
      </c>
      <c r="AD134" t="s">
        <v>1531</v>
      </c>
      <c r="AE134" t="s">
        <v>1532</v>
      </c>
      <c r="AF134" t="s">
        <v>2415</v>
      </c>
    </row>
    <row r="135" spans="27:32">
      <c r="AA135" t="s">
        <v>1451</v>
      </c>
      <c r="AB135" t="s">
        <v>1519</v>
      </c>
      <c r="AC135" t="s">
        <v>1533</v>
      </c>
      <c r="AD135" t="s">
        <v>1534</v>
      </c>
      <c r="AE135" t="s">
        <v>1535</v>
      </c>
      <c r="AF135" t="s">
        <v>2416</v>
      </c>
    </row>
    <row r="136" spans="27:32">
      <c r="AA136" t="s">
        <v>1451</v>
      </c>
      <c r="AB136" t="s">
        <v>1519</v>
      </c>
      <c r="AC136" t="s">
        <v>1536</v>
      </c>
      <c r="AD136" t="s">
        <v>1531</v>
      </c>
      <c r="AE136" t="s">
        <v>1537</v>
      </c>
      <c r="AF136" t="s">
        <v>2417</v>
      </c>
    </row>
    <row r="137" spans="27:32">
      <c r="AA137" t="s">
        <v>1451</v>
      </c>
      <c r="AB137" t="s">
        <v>1519</v>
      </c>
      <c r="AC137" t="s">
        <v>1538</v>
      </c>
      <c r="AD137" t="s">
        <v>1534</v>
      </c>
      <c r="AE137" t="s">
        <v>1539</v>
      </c>
      <c r="AF137" t="s">
        <v>2418</v>
      </c>
    </row>
    <row r="138" spans="27:32">
      <c r="AA138" t="s">
        <v>1451</v>
      </c>
      <c r="AB138" t="s">
        <v>1519</v>
      </c>
      <c r="AC138" t="s">
        <v>1530</v>
      </c>
      <c r="AD138" t="s">
        <v>1531</v>
      </c>
      <c r="AE138" t="s">
        <v>1540</v>
      </c>
      <c r="AF138" t="s">
        <v>2419</v>
      </c>
    </row>
    <row r="139" spans="27:32">
      <c r="AA139" t="s">
        <v>1451</v>
      </c>
      <c r="AB139" t="s">
        <v>1519</v>
      </c>
      <c r="AC139" t="s">
        <v>1533</v>
      </c>
      <c r="AD139" t="s">
        <v>1534</v>
      </c>
      <c r="AE139" t="s">
        <v>1541</v>
      </c>
      <c r="AF139" t="s">
        <v>2420</v>
      </c>
    </row>
    <row r="140" spans="27:32">
      <c r="AA140" t="s">
        <v>1451</v>
      </c>
      <c r="AB140" t="s">
        <v>1519</v>
      </c>
      <c r="AC140" t="s">
        <v>1542</v>
      </c>
      <c r="AD140" t="s">
        <v>1534</v>
      </c>
      <c r="AE140" t="s">
        <v>1543</v>
      </c>
      <c r="AF140" t="s">
        <v>2421</v>
      </c>
    </row>
    <row r="141" spans="27:32">
      <c r="AA141" t="s">
        <v>1451</v>
      </c>
      <c r="AB141" t="s">
        <v>1519</v>
      </c>
      <c r="AC141" t="s">
        <v>1544</v>
      </c>
      <c r="AD141" t="s">
        <v>1545</v>
      </c>
      <c r="AE141" t="s">
        <v>1546</v>
      </c>
      <c r="AF141" t="s">
        <v>2422</v>
      </c>
    </row>
    <row r="142" spans="27:32">
      <c r="AA142" t="s">
        <v>1451</v>
      </c>
      <c r="AB142" t="s">
        <v>1452</v>
      </c>
      <c r="AC142" t="s">
        <v>1547</v>
      </c>
      <c r="AD142" t="s">
        <v>1336</v>
      </c>
      <c r="AE142" t="s">
        <v>1548</v>
      </c>
      <c r="AF142" t="s">
        <v>2423</v>
      </c>
    </row>
    <row r="143" spans="27:32">
      <c r="AA143" t="s">
        <v>1451</v>
      </c>
      <c r="AB143" t="s">
        <v>1452</v>
      </c>
      <c r="AC143" t="s">
        <v>1549</v>
      </c>
      <c r="AD143" t="s">
        <v>1336</v>
      </c>
      <c r="AE143" t="s">
        <v>1550</v>
      </c>
      <c r="AF143" t="s">
        <v>2424</v>
      </c>
    </row>
    <row r="144" spans="27:32">
      <c r="AA144" t="s">
        <v>1451</v>
      </c>
      <c r="AB144" t="s">
        <v>1452</v>
      </c>
      <c r="AC144" t="s">
        <v>1551</v>
      </c>
      <c r="AD144" t="s">
        <v>1336</v>
      </c>
      <c r="AE144" t="s">
        <v>1552</v>
      </c>
      <c r="AF144" t="s">
        <v>2425</v>
      </c>
    </row>
    <row r="145" spans="27:32">
      <c r="AA145" t="s">
        <v>1451</v>
      </c>
      <c r="AB145" t="s">
        <v>1452</v>
      </c>
      <c r="AC145" t="s">
        <v>1553</v>
      </c>
      <c r="AD145" t="s">
        <v>1336</v>
      </c>
      <c r="AE145" t="s">
        <v>1554</v>
      </c>
      <c r="AF145" t="s">
        <v>2426</v>
      </c>
    </row>
    <row r="146" spans="27:32">
      <c r="AA146" t="s">
        <v>1451</v>
      </c>
      <c r="AB146" t="s">
        <v>1452</v>
      </c>
      <c r="AC146" t="s">
        <v>1555</v>
      </c>
      <c r="AD146" t="s">
        <v>1336</v>
      </c>
      <c r="AE146" t="s">
        <v>1556</v>
      </c>
      <c r="AF146" t="s">
        <v>2427</v>
      </c>
    </row>
    <row r="147" spans="27:32">
      <c r="AA147" t="s">
        <v>1451</v>
      </c>
      <c r="AB147" t="s">
        <v>1452</v>
      </c>
      <c r="AC147" t="s">
        <v>1557</v>
      </c>
      <c r="AD147" t="s">
        <v>1336</v>
      </c>
      <c r="AE147" t="s">
        <v>1558</v>
      </c>
      <c r="AF147" t="s">
        <v>2428</v>
      </c>
    </row>
    <row r="148" spans="27:32">
      <c r="AA148" t="s">
        <v>1451</v>
      </c>
      <c r="AB148" t="s">
        <v>1452</v>
      </c>
      <c r="AC148" t="s">
        <v>1559</v>
      </c>
      <c r="AD148" t="s">
        <v>1367</v>
      </c>
      <c r="AE148" t="s">
        <v>1560</v>
      </c>
      <c r="AF148" t="s">
        <v>2429</v>
      </c>
    </row>
    <row r="149" spans="27:32">
      <c r="AA149" t="s">
        <v>1451</v>
      </c>
      <c r="AB149" t="s">
        <v>1452</v>
      </c>
      <c r="AC149" t="s">
        <v>1561</v>
      </c>
      <c r="AD149" t="s">
        <v>1367</v>
      </c>
      <c r="AE149" t="s">
        <v>1562</v>
      </c>
      <c r="AF149" t="s">
        <v>2430</v>
      </c>
    </row>
    <row r="150" spans="27:32">
      <c r="AA150" t="s">
        <v>1451</v>
      </c>
      <c r="AB150" t="s">
        <v>1452</v>
      </c>
      <c r="AC150" t="s">
        <v>1563</v>
      </c>
      <c r="AD150" t="s">
        <v>1336</v>
      </c>
      <c r="AE150" t="s">
        <v>1564</v>
      </c>
      <c r="AF150" t="s">
        <v>2431</v>
      </c>
    </row>
    <row r="151" spans="27:32">
      <c r="AA151" t="s">
        <v>1451</v>
      </c>
      <c r="AB151" t="s">
        <v>1452</v>
      </c>
      <c r="AC151" t="s">
        <v>1565</v>
      </c>
      <c r="AD151" t="s">
        <v>1336</v>
      </c>
      <c r="AE151" t="s">
        <v>1566</v>
      </c>
      <c r="AF151" t="s">
        <v>2432</v>
      </c>
    </row>
    <row r="152" spans="27:32">
      <c r="AA152" t="s">
        <v>1451</v>
      </c>
      <c r="AB152" t="s">
        <v>1452</v>
      </c>
      <c r="AC152" t="s">
        <v>1567</v>
      </c>
      <c r="AD152" t="s">
        <v>1336</v>
      </c>
      <c r="AE152" t="s">
        <v>1568</v>
      </c>
      <c r="AF152" t="s">
        <v>2433</v>
      </c>
    </row>
    <row r="153" spans="27:32">
      <c r="AA153" t="s">
        <v>1451</v>
      </c>
      <c r="AB153" t="s">
        <v>1452</v>
      </c>
      <c r="AC153" t="s">
        <v>1569</v>
      </c>
      <c r="AD153" t="s">
        <v>1336</v>
      </c>
      <c r="AE153" t="s">
        <v>1570</v>
      </c>
      <c r="AF153" t="s">
        <v>2434</v>
      </c>
    </row>
    <row r="154" spans="27:32">
      <c r="AA154" t="s">
        <v>1451</v>
      </c>
      <c r="AB154" t="s">
        <v>1452</v>
      </c>
      <c r="AC154" t="s">
        <v>1571</v>
      </c>
      <c r="AD154" t="s">
        <v>1336</v>
      </c>
      <c r="AE154" t="s">
        <v>1572</v>
      </c>
      <c r="AF154" t="s">
        <v>2435</v>
      </c>
    </row>
    <row r="155" spans="27:32">
      <c r="AA155" t="s">
        <v>1451</v>
      </c>
      <c r="AB155" t="s">
        <v>1452</v>
      </c>
      <c r="AC155" t="s">
        <v>1573</v>
      </c>
      <c r="AD155" t="s">
        <v>1336</v>
      </c>
      <c r="AE155" t="s">
        <v>1574</v>
      </c>
      <c r="AF155" t="s">
        <v>2436</v>
      </c>
    </row>
    <row r="156" spans="27:32">
      <c r="AA156" t="s">
        <v>1451</v>
      </c>
      <c r="AB156" t="s">
        <v>1452</v>
      </c>
      <c r="AC156" t="s">
        <v>1575</v>
      </c>
      <c r="AD156" t="s">
        <v>1336</v>
      </c>
      <c r="AE156" t="s">
        <v>1576</v>
      </c>
      <c r="AF156" t="s">
        <v>2437</v>
      </c>
    </row>
    <row r="157" spans="27:32">
      <c r="AA157" t="s">
        <v>1451</v>
      </c>
      <c r="AB157" t="s">
        <v>1452</v>
      </c>
      <c r="AC157" t="s">
        <v>1577</v>
      </c>
      <c r="AD157" t="s">
        <v>1336</v>
      </c>
      <c r="AE157" t="s">
        <v>1578</v>
      </c>
      <c r="AF157" t="s">
        <v>2438</v>
      </c>
    </row>
    <row r="158" spans="27:32">
      <c r="AA158" t="s">
        <v>1451</v>
      </c>
      <c r="AB158" t="s">
        <v>1452</v>
      </c>
      <c r="AC158" t="s">
        <v>1579</v>
      </c>
      <c r="AD158" t="s">
        <v>1336</v>
      </c>
      <c r="AE158" t="s">
        <v>1580</v>
      </c>
      <c r="AF158" t="s">
        <v>2439</v>
      </c>
    </row>
    <row r="159" spans="27:32">
      <c r="AA159" t="s">
        <v>1451</v>
      </c>
      <c r="AB159" t="s">
        <v>1452</v>
      </c>
      <c r="AC159" t="s">
        <v>1581</v>
      </c>
      <c r="AD159" t="s">
        <v>1336</v>
      </c>
      <c r="AE159" t="s">
        <v>1582</v>
      </c>
      <c r="AF159" t="s">
        <v>2440</v>
      </c>
    </row>
    <row r="160" spans="27:32">
      <c r="AA160" t="s">
        <v>1451</v>
      </c>
      <c r="AB160" t="s">
        <v>1452</v>
      </c>
      <c r="AC160" t="s">
        <v>1583</v>
      </c>
      <c r="AD160" t="s">
        <v>1336</v>
      </c>
      <c r="AE160" t="s">
        <v>1584</v>
      </c>
      <c r="AF160" t="s">
        <v>2441</v>
      </c>
    </row>
    <row r="161" spans="27:32">
      <c r="AA161" t="s">
        <v>1451</v>
      </c>
      <c r="AB161" t="s">
        <v>1452</v>
      </c>
      <c r="AC161" t="s">
        <v>1585</v>
      </c>
      <c r="AD161" t="s">
        <v>1336</v>
      </c>
      <c r="AE161" t="s">
        <v>1586</v>
      </c>
      <c r="AF161" t="s">
        <v>2442</v>
      </c>
    </row>
    <row r="162" spans="27:32">
      <c r="AA162" t="s">
        <v>1451</v>
      </c>
      <c r="AB162" t="s">
        <v>1452</v>
      </c>
      <c r="AC162" t="s">
        <v>1587</v>
      </c>
      <c r="AD162" t="s">
        <v>1336</v>
      </c>
      <c r="AE162" t="s">
        <v>1588</v>
      </c>
      <c r="AF162" t="s">
        <v>2443</v>
      </c>
    </row>
    <row r="163" spans="27:32">
      <c r="AA163" t="s">
        <v>1451</v>
      </c>
      <c r="AB163" t="s">
        <v>1452</v>
      </c>
      <c r="AC163" t="s">
        <v>1589</v>
      </c>
      <c r="AD163" t="s">
        <v>1336</v>
      </c>
      <c r="AE163" t="s">
        <v>1590</v>
      </c>
      <c r="AF163" t="s">
        <v>2444</v>
      </c>
    </row>
    <row r="164" spans="27:32">
      <c r="AA164" t="s">
        <v>1451</v>
      </c>
      <c r="AB164" t="s">
        <v>1452</v>
      </c>
      <c r="AC164" t="s">
        <v>1591</v>
      </c>
      <c r="AD164" t="s">
        <v>1336</v>
      </c>
      <c r="AE164" t="s">
        <v>1592</v>
      </c>
      <c r="AF164" t="s">
        <v>2445</v>
      </c>
    </row>
    <row r="165" spans="27:32">
      <c r="AA165" t="s">
        <v>1451</v>
      </c>
      <c r="AB165" t="s">
        <v>1452</v>
      </c>
      <c r="AC165" t="s">
        <v>1593</v>
      </c>
      <c r="AD165" t="s">
        <v>1336</v>
      </c>
      <c r="AE165" t="s">
        <v>1594</v>
      </c>
      <c r="AF165" t="s">
        <v>2446</v>
      </c>
    </row>
    <row r="166" spans="27:32">
      <c r="AA166" t="s">
        <v>1451</v>
      </c>
      <c r="AB166" t="s">
        <v>1452</v>
      </c>
      <c r="AC166" t="s">
        <v>1595</v>
      </c>
      <c r="AD166" t="s">
        <v>1336</v>
      </c>
      <c r="AE166" t="s">
        <v>1596</v>
      </c>
      <c r="AF166" t="s">
        <v>2447</v>
      </c>
    </row>
    <row r="167" spans="27:32">
      <c r="AA167" t="s">
        <v>1451</v>
      </c>
      <c r="AB167" t="s">
        <v>1452</v>
      </c>
      <c r="AC167" t="s">
        <v>1597</v>
      </c>
      <c r="AD167" t="s">
        <v>1336</v>
      </c>
      <c r="AE167" t="s">
        <v>1598</v>
      </c>
      <c r="AF167" t="s">
        <v>2448</v>
      </c>
    </row>
    <row r="168" spans="27:32">
      <c r="AA168" t="s">
        <v>1599</v>
      </c>
      <c r="AB168" t="s">
        <v>1089</v>
      </c>
      <c r="AC168" t="s">
        <v>613</v>
      </c>
      <c r="AD168" t="s">
        <v>1600</v>
      </c>
      <c r="AE168" t="s">
        <v>1601</v>
      </c>
      <c r="AF168" t="s">
        <v>2449</v>
      </c>
    </row>
    <row r="169" spans="27:32">
      <c r="AA169" t="s">
        <v>1599</v>
      </c>
      <c r="AB169" t="s">
        <v>1089</v>
      </c>
      <c r="AC169" t="s">
        <v>606</v>
      </c>
      <c r="AD169" t="s">
        <v>1602</v>
      </c>
      <c r="AE169" t="s">
        <v>1603</v>
      </c>
      <c r="AF169" t="s">
        <v>2450</v>
      </c>
    </row>
    <row r="170" spans="27:32">
      <c r="AA170" t="s">
        <v>1599</v>
      </c>
      <c r="AB170" t="s">
        <v>1089</v>
      </c>
      <c r="AC170" t="s">
        <v>607</v>
      </c>
      <c r="AD170" t="s">
        <v>1602</v>
      </c>
      <c r="AE170" t="s">
        <v>1604</v>
      </c>
      <c r="AF170" t="s">
        <v>2451</v>
      </c>
    </row>
    <row r="171" spans="27:32">
      <c r="AA171" t="s">
        <v>1599</v>
      </c>
      <c r="AB171" t="s">
        <v>1089</v>
      </c>
      <c r="AC171" t="s">
        <v>608</v>
      </c>
      <c r="AD171" t="s">
        <v>1605</v>
      </c>
      <c r="AE171" t="s">
        <v>1606</v>
      </c>
      <c r="AF171" t="s">
        <v>2452</v>
      </c>
    </row>
    <row r="172" spans="27:32">
      <c r="AA172" t="s">
        <v>1599</v>
      </c>
      <c r="AB172" t="s">
        <v>1089</v>
      </c>
      <c r="AC172" t="s">
        <v>609</v>
      </c>
      <c r="AD172" t="s">
        <v>1607</v>
      </c>
      <c r="AE172" t="s">
        <v>1608</v>
      </c>
      <c r="AF172" t="s">
        <v>2453</v>
      </c>
    </row>
    <row r="173" spans="27:32">
      <c r="AA173" t="s">
        <v>1599</v>
      </c>
      <c r="AB173" t="s">
        <v>1089</v>
      </c>
      <c r="AC173" t="s">
        <v>610</v>
      </c>
      <c r="AD173" t="s">
        <v>1609</v>
      </c>
      <c r="AE173" t="s">
        <v>1610</v>
      </c>
      <c r="AF173" t="s">
        <v>2454</v>
      </c>
    </row>
    <row r="174" spans="27:32">
      <c r="AA174" t="s">
        <v>1599</v>
      </c>
      <c r="AB174" t="s">
        <v>1089</v>
      </c>
      <c r="AC174" t="s">
        <v>611</v>
      </c>
      <c r="AD174" t="s">
        <v>1611</v>
      </c>
      <c r="AE174" t="s">
        <v>1612</v>
      </c>
      <c r="AF174" t="s">
        <v>2455</v>
      </c>
    </row>
    <row r="175" spans="27:32">
      <c r="AA175" t="s">
        <v>1599</v>
      </c>
      <c r="AB175" t="s">
        <v>1173</v>
      </c>
      <c r="AC175" t="s">
        <v>1613</v>
      </c>
      <c r="AD175" t="s">
        <v>1203</v>
      </c>
      <c r="AE175" t="s">
        <v>1614</v>
      </c>
      <c r="AF175" t="s">
        <v>2456</v>
      </c>
    </row>
    <row r="176" spans="27:32">
      <c r="AA176" t="s">
        <v>1599</v>
      </c>
      <c r="AB176" t="s">
        <v>1173</v>
      </c>
      <c r="AC176" t="s">
        <v>1615</v>
      </c>
      <c r="AD176" t="s">
        <v>1203</v>
      </c>
      <c r="AE176" t="s">
        <v>1616</v>
      </c>
      <c r="AF176" t="s">
        <v>2457</v>
      </c>
    </row>
    <row r="177" spans="27:32">
      <c r="AA177" t="s">
        <v>1599</v>
      </c>
      <c r="AB177" t="s">
        <v>1173</v>
      </c>
      <c r="AC177" t="s">
        <v>1617</v>
      </c>
      <c r="AD177" t="s">
        <v>1203</v>
      </c>
      <c r="AE177" t="s">
        <v>1618</v>
      </c>
      <c r="AF177" t="s">
        <v>2458</v>
      </c>
    </row>
    <row r="178" spans="27:32">
      <c r="AA178" t="s">
        <v>1599</v>
      </c>
      <c r="AB178" t="s">
        <v>1173</v>
      </c>
      <c r="AC178" t="s">
        <v>1619</v>
      </c>
      <c r="AD178" t="s">
        <v>1203</v>
      </c>
      <c r="AE178" t="s">
        <v>1620</v>
      </c>
      <c r="AF178" t="s">
        <v>2459</v>
      </c>
    </row>
    <row r="179" spans="27:32">
      <c r="AA179" t="s">
        <v>1599</v>
      </c>
      <c r="AB179" t="s">
        <v>1173</v>
      </c>
      <c r="AC179" t="s">
        <v>1621</v>
      </c>
      <c r="AD179" t="s">
        <v>1203</v>
      </c>
      <c r="AE179" t="s">
        <v>1622</v>
      </c>
      <c r="AF179" t="s">
        <v>2460</v>
      </c>
    </row>
    <row r="180" spans="27:32">
      <c r="AA180" t="s">
        <v>1599</v>
      </c>
      <c r="AB180" t="s">
        <v>1173</v>
      </c>
      <c r="AC180" t="s">
        <v>1623</v>
      </c>
      <c r="AD180" t="s">
        <v>1203</v>
      </c>
      <c r="AE180" t="s">
        <v>1624</v>
      </c>
      <c r="AF180" t="s">
        <v>2461</v>
      </c>
    </row>
    <row r="181" spans="27:32">
      <c r="AA181" t="s">
        <v>1599</v>
      </c>
      <c r="AB181" t="s">
        <v>1173</v>
      </c>
      <c r="AC181" t="s">
        <v>1625</v>
      </c>
      <c r="AD181" t="s">
        <v>1203</v>
      </c>
      <c r="AE181" t="s">
        <v>1626</v>
      </c>
      <c r="AF181" t="s">
        <v>2462</v>
      </c>
    </row>
    <row r="182" spans="27:32">
      <c r="AA182" t="s">
        <v>1599</v>
      </c>
      <c r="AB182" t="s">
        <v>1173</v>
      </c>
      <c r="AC182" t="s">
        <v>1627</v>
      </c>
      <c r="AD182" t="s">
        <v>1203</v>
      </c>
      <c r="AE182" t="s">
        <v>1628</v>
      </c>
      <c r="AF182" t="s">
        <v>2463</v>
      </c>
    </row>
    <row r="183" spans="27:32">
      <c r="AA183" t="s">
        <v>1599</v>
      </c>
      <c r="AB183" t="s">
        <v>1173</v>
      </c>
      <c r="AC183" t="s">
        <v>1629</v>
      </c>
      <c r="AD183" t="s">
        <v>1203</v>
      </c>
      <c r="AE183" t="s">
        <v>1630</v>
      </c>
      <c r="AF183" t="s">
        <v>2464</v>
      </c>
    </row>
    <row r="184" spans="27:32">
      <c r="AA184" t="s">
        <v>1599</v>
      </c>
      <c r="AB184" t="s">
        <v>1173</v>
      </c>
      <c r="AC184" t="s">
        <v>1631</v>
      </c>
      <c r="AD184" t="s">
        <v>1203</v>
      </c>
      <c r="AE184" t="s">
        <v>1632</v>
      </c>
      <c r="AF184" t="s">
        <v>2465</v>
      </c>
    </row>
    <row r="185" spans="27:32">
      <c r="AA185" t="s">
        <v>1599</v>
      </c>
      <c r="AB185" t="s">
        <v>1173</v>
      </c>
      <c r="AC185" t="s">
        <v>1633</v>
      </c>
      <c r="AD185" t="s">
        <v>1203</v>
      </c>
      <c r="AE185" t="s">
        <v>1634</v>
      </c>
      <c r="AF185" t="s">
        <v>2466</v>
      </c>
    </row>
    <row r="186" spans="27:32">
      <c r="AA186" t="s">
        <v>1599</v>
      </c>
      <c r="AB186" t="s">
        <v>1173</v>
      </c>
      <c r="AC186" t="s">
        <v>1635</v>
      </c>
      <c r="AD186" t="s">
        <v>1203</v>
      </c>
      <c r="AE186" t="s">
        <v>1636</v>
      </c>
      <c r="AF186" t="s">
        <v>2467</v>
      </c>
    </row>
    <row r="187" spans="27:32">
      <c r="AA187" t="s">
        <v>1599</v>
      </c>
      <c r="AB187" t="s">
        <v>1173</v>
      </c>
      <c r="AC187" t="s">
        <v>1637</v>
      </c>
      <c r="AD187" t="s">
        <v>1203</v>
      </c>
      <c r="AE187" t="s">
        <v>1638</v>
      </c>
      <c r="AF187" t="s">
        <v>2468</v>
      </c>
    </row>
    <row r="188" spans="27:32">
      <c r="AA188" t="s">
        <v>1599</v>
      </c>
      <c r="AB188" t="s">
        <v>1173</v>
      </c>
      <c r="AC188" t="s">
        <v>1639</v>
      </c>
      <c r="AD188" t="s">
        <v>1203</v>
      </c>
      <c r="AE188" t="s">
        <v>1640</v>
      </c>
      <c r="AF188" t="s">
        <v>2469</v>
      </c>
    </row>
    <row r="189" spans="27:32">
      <c r="AA189" t="s">
        <v>1599</v>
      </c>
      <c r="AB189" t="s">
        <v>1173</v>
      </c>
      <c r="AC189" t="s">
        <v>1641</v>
      </c>
      <c r="AD189" t="s">
        <v>1203</v>
      </c>
      <c r="AE189" t="s">
        <v>1642</v>
      </c>
      <c r="AF189" t="s">
        <v>2470</v>
      </c>
    </row>
    <row r="190" spans="27:32">
      <c r="AA190" t="s">
        <v>1599</v>
      </c>
      <c r="AB190" t="s">
        <v>1173</v>
      </c>
      <c r="AC190" t="s">
        <v>1643</v>
      </c>
      <c r="AD190" t="s">
        <v>1203</v>
      </c>
      <c r="AE190" t="s">
        <v>1644</v>
      </c>
      <c r="AF190" t="s">
        <v>2471</v>
      </c>
    </row>
    <row r="191" spans="27:32">
      <c r="AA191" t="s">
        <v>1599</v>
      </c>
      <c r="AB191" t="s">
        <v>1173</v>
      </c>
      <c r="AC191" t="s">
        <v>1645</v>
      </c>
      <c r="AD191" t="s">
        <v>1203</v>
      </c>
      <c r="AE191" t="s">
        <v>1646</v>
      </c>
      <c r="AF191" t="s">
        <v>2472</v>
      </c>
    </row>
    <row r="192" spans="27:32">
      <c r="AA192" t="s">
        <v>1599</v>
      </c>
      <c r="AB192" t="s">
        <v>1173</v>
      </c>
      <c r="AC192" t="s">
        <v>1647</v>
      </c>
      <c r="AD192" t="s">
        <v>1203</v>
      </c>
      <c r="AE192" t="s">
        <v>1648</v>
      </c>
      <c r="AF192" t="s">
        <v>2473</v>
      </c>
    </row>
    <row r="193" spans="27:32">
      <c r="AA193" t="s">
        <v>1599</v>
      </c>
      <c r="AB193" t="s">
        <v>1173</v>
      </c>
      <c r="AC193" t="s">
        <v>1649</v>
      </c>
      <c r="AD193" t="s">
        <v>1203</v>
      </c>
      <c r="AE193" t="s">
        <v>1650</v>
      </c>
      <c r="AF193" t="s">
        <v>2474</v>
      </c>
    </row>
    <row r="194" spans="27:32">
      <c r="AA194" t="s">
        <v>1599</v>
      </c>
      <c r="AB194" t="s">
        <v>1173</v>
      </c>
      <c r="AC194" t="s">
        <v>967</v>
      </c>
      <c r="AD194" t="s">
        <v>1651</v>
      </c>
      <c r="AE194" t="s">
        <v>1652</v>
      </c>
      <c r="AF194" t="s">
        <v>2475</v>
      </c>
    </row>
    <row r="195" spans="27:32">
      <c r="AA195" t="s">
        <v>1599</v>
      </c>
      <c r="AB195" t="s">
        <v>1653</v>
      </c>
      <c r="AC195" t="s">
        <v>1654</v>
      </c>
      <c r="AD195" t="s">
        <v>1655</v>
      </c>
      <c r="AE195" t="s">
        <v>1656</v>
      </c>
      <c r="AF195" t="s">
        <v>2476</v>
      </c>
    </row>
    <row r="196" spans="27:32">
      <c r="AA196" t="s">
        <v>1599</v>
      </c>
      <c r="AB196" t="s">
        <v>1653</v>
      </c>
      <c r="AC196" t="s">
        <v>1657</v>
      </c>
      <c r="AD196" t="s">
        <v>1655</v>
      </c>
      <c r="AE196" t="s">
        <v>1658</v>
      </c>
      <c r="AF196" t="s">
        <v>2477</v>
      </c>
    </row>
    <row r="197" spans="27:32">
      <c r="AA197" t="s">
        <v>1599</v>
      </c>
      <c r="AB197" t="s">
        <v>1653</v>
      </c>
      <c r="AC197" t="s">
        <v>1659</v>
      </c>
      <c r="AD197" t="s">
        <v>1655</v>
      </c>
      <c r="AE197" t="s">
        <v>1660</v>
      </c>
      <c r="AF197" t="s">
        <v>2478</v>
      </c>
    </row>
    <row r="198" spans="27:32">
      <c r="AA198" t="s">
        <v>1599</v>
      </c>
      <c r="AB198" t="s">
        <v>1653</v>
      </c>
      <c r="AC198" t="s">
        <v>1661</v>
      </c>
      <c r="AD198" t="s">
        <v>1655</v>
      </c>
      <c r="AE198" t="s">
        <v>1662</v>
      </c>
      <c r="AF198" t="s">
        <v>2479</v>
      </c>
    </row>
    <row r="199" spans="27:32">
      <c r="AA199" t="s">
        <v>1599</v>
      </c>
      <c r="AB199" t="s">
        <v>1653</v>
      </c>
      <c r="AC199" t="s">
        <v>1663</v>
      </c>
      <c r="AD199" t="s">
        <v>1664</v>
      </c>
      <c r="AE199" t="s">
        <v>1665</v>
      </c>
      <c r="AF199" t="s">
        <v>2480</v>
      </c>
    </row>
    <row r="200" spans="27:32">
      <c r="AA200" t="s">
        <v>1599</v>
      </c>
      <c r="AB200" t="s">
        <v>1653</v>
      </c>
      <c r="AC200" t="s">
        <v>1666</v>
      </c>
      <c r="AD200" t="s">
        <v>1664</v>
      </c>
      <c r="AE200" t="s">
        <v>1667</v>
      </c>
      <c r="AF200" t="s">
        <v>2481</v>
      </c>
    </row>
    <row r="201" spans="27:32">
      <c r="AA201" t="s">
        <v>1599</v>
      </c>
      <c r="AB201" t="s">
        <v>1653</v>
      </c>
      <c r="AC201" t="s">
        <v>1668</v>
      </c>
      <c r="AD201" t="s">
        <v>1669</v>
      </c>
      <c r="AE201" t="s">
        <v>1670</v>
      </c>
      <c r="AF201" t="s">
        <v>2482</v>
      </c>
    </row>
    <row r="202" spans="27:32">
      <c r="AA202" t="s">
        <v>1599</v>
      </c>
      <c r="AB202" t="s">
        <v>1653</v>
      </c>
      <c r="AC202" t="s">
        <v>1671</v>
      </c>
      <c r="AD202" t="s">
        <v>1672</v>
      </c>
      <c r="AE202" t="s">
        <v>1673</v>
      </c>
      <c r="AF202" t="s">
        <v>2483</v>
      </c>
    </row>
    <row r="203" spans="27:32">
      <c r="AA203" t="s">
        <v>1599</v>
      </c>
      <c r="AB203" t="s">
        <v>1653</v>
      </c>
      <c r="AC203" t="s">
        <v>1674</v>
      </c>
      <c r="AD203" t="s">
        <v>1672</v>
      </c>
      <c r="AE203" t="s">
        <v>1675</v>
      </c>
      <c r="AF203" t="s">
        <v>2484</v>
      </c>
    </row>
    <row r="204" spans="27:32">
      <c r="AA204" t="s">
        <v>1599</v>
      </c>
      <c r="AB204" t="s">
        <v>1653</v>
      </c>
      <c r="AC204" t="s">
        <v>1676</v>
      </c>
      <c r="AD204" t="s">
        <v>1672</v>
      </c>
      <c r="AE204" t="s">
        <v>1677</v>
      </c>
      <c r="AF204" t="s">
        <v>2485</v>
      </c>
    </row>
    <row r="205" spans="27:32">
      <c r="AA205" t="s">
        <v>1599</v>
      </c>
      <c r="AB205" t="s">
        <v>1653</v>
      </c>
      <c r="AC205" t="s">
        <v>1678</v>
      </c>
      <c r="AD205" t="s">
        <v>1679</v>
      </c>
      <c r="AE205" t="s">
        <v>1680</v>
      </c>
      <c r="AF205" t="s">
        <v>2486</v>
      </c>
    </row>
    <row r="206" spans="27:32">
      <c r="AA206" t="s">
        <v>1599</v>
      </c>
      <c r="AB206" t="s">
        <v>1653</v>
      </c>
      <c r="AC206" t="s">
        <v>1681</v>
      </c>
      <c r="AD206" t="s">
        <v>1679</v>
      </c>
      <c r="AE206" t="s">
        <v>1682</v>
      </c>
      <c r="AF206" t="s">
        <v>2487</v>
      </c>
    </row>
    <row r="207" spans="27:32">
      <c r="AA207" t="s">
        <v>1599</v>
      </c>
      <c r="AB207" t="s">
        <v>1653</v>
      </c>
      <c r="AC207" t="s">
        <v>1683</v>
      </c>
      <c r="AD207" t="s">
        <v>1684</v>
      </c>
      <c r="AE207" t="s">
        <v>1685</v>
      </c>
      <c r="AF207" t="s">
        <v>2488</v>
      </c>
    </row>
    <row r="208" spans="27:32">
      <c r="AA208" t="s">
        <v>1599</v>
      </c>
      <c r="AB208" t="s">
        <v>1653</v>
      </c>
      <c r="AC208" t="s">
        <v>1686</v>
      </c>
      <c r="AD208" t="s">
        <v>1672</v>
      </c>
      <c r="AE208" t="s">
        <v>1687</v>
      </c>
      <c r="AF208" t="s">
        <v>2489</v>
      </c>
    </row>
    <row r="209" spans="27:32">
      <c r="AA209" t="s">
        <v>1599</v>
      </c>
      <c r="AB209" t="s">
        <v>1653</v>
      </c>
      <c r="AC209" t="s">
        <v>1688</v>
      </c>
      <c r="AD209" t="s">
        <v>1672</v>
      </c>
      <c r="AE209" t="s">
        <v>1689</v>
      </c>
      <c r="AF209" t="s">
        <v>2490</v>
      </c>
    </row>
    <row r="210" spans="27:32">
      <c r="AA210" t="s">
        <v>1599</v>
      </c>
      <c r="AB210" t="s">
        <v>1653</v>
      </c>
      <c r="AC210" t="s">
        <v>1690</v>
      </c>
      <c r="AD210" t="s">
        <v>1672</v>
      </c>
      <c r="AE210" t="s">
        <v>1691</v>
      </c>
      <c r="AF210" t="s">
        <v>2491</v>
      </c>
    </row>
    <row r="211" spans="27:32">
      <c r="AA211" t="s">
        <v>1599</v>
      </c>
      <c r="AB211" t="s">
        <v>1653</v>
      </c>
      <c r="AC211" t="s">
        <v>1692</v>
      </c>
      <c r="AD211" t="s">
        <v>1679</v>
      </c>
      <c r="AE211" t="s">
        <v>1693</v>
      </c>
      <c r="AF211" t="s">
        <v>2492</v>
      </c>
    </row>
    <row r="212" spans="27:32">
      <c r="AA212" t="s">
        <v>1599</v>
      </c>
      <c r="AB212" t="s">
        <v>1653</v>
      </c>
      <c r="AC212" t="s">
        <v>1694</v>
      </c>
      <c r="AD212" t="s">
        <v>1679</v>
      </c>
      <c r="AE212" t="s">
        <v>1695</v>
      </c>
      <c r="AF212" t="s">
        <v>2493</v>
      </c>
    </row>
    <row r="213" spans="27:32">
      <c r="AA213" t="s">
        <v>1599</v>
      </c>
      <c r="AB213" t="s">
        <v>1653</v>
      </c>
      <c r="AC213" t="s">
        <v>1696</v>
      </c>
      <c r="AD213" t="s">
        <v>1684</v>
      </c>
      <c r="AE213" t="s">
        <v>1697</v>
      </c>
      <c r="AF213" t="s">
        <v>2494</v>
      </c>
    </row>
    <row r="214" spans="27:32">
      <c r="AA214" t="s">
        <v>1599</v>
      </c>
      <c r="AB214" t="s">
        <v>1698</v>
      </c>
      <c r="AC214" t="s">
        <v>1654</v>
      </c>
      <c r="AD214" t="s">
        <v>1699</v>
      </c>
      <c r="AE214" t="s">
        <v>1700</v>
      </c>
      <c r="AF214" t="s">
        <v>2495</v>
      </c>
    </row>
    <row r="215" spans="27:32">
      <c r="AA215" t="s">
        <v>1599</v>
      </c>
      <c r="AB215" t="s">
        <v>1698</v>
      </c>
      <c r="AC215" t="s">
        <v>1657</v>
      </c>
      <c r="AD215" t="s">
        <v>1699</v>
      </c>
      <c r="AE215" t="s">
        <v>1701</v>
      </c>
      <c r="AF215" t="s">
        <v>2496</v>
      </c>
    </row>
    <row r="216" spans="27:32">
      <c r="AA216" t="s">
        <v>1599</v>
      </c>
      <c r="AB216" t="s">
        <v>1698</v>
      </c>
      <c r="AC216" t="s">
        <v>1659</v>
      </c>
      <c r="AD216" t="s">
        <v>1699</v>
      </c>
      <c r="AE216" t="s">
        <v>1702</v>
      </c>
      <c r="AF216" t="s">
        <v>2497</v>
      </c>
    </row>
    <row r="217" spans="27:32">
      <c r="AA217" t="s">
        <v>1599</v>
      </c>
      <c r="AB217" t="s">
        <v>1698</v>
      </c>
      <c r="AC217" t="s">
        <v>1661</v>
      </c>
      <c r="AD217" t="s">
        <v>1699</v>
      </c>
      <c r="AE217" t="s">
        <v>1703</v>
      </c>
      <c r="AF217" t="s">
        <v>2498</v>
      </c>
    </row>
    <row r="218" spans="27:32">
      <c r="AA218" t="s">
        <v>1599</v>
      </c>
      <c r="AB218" t="s">
        <v>1698</v>
      </c>
      <c r="AC218" t="s">
        <v>1663</v>
      </c>
      <c r="AD218" t="s">
        <v>1699</v>
      </c>
      <c r="AE218" t="s">
        <v>1704</v>
      </c>
      <c r="AF218" t="s">
        <v>2499</v>
      </c>
    </row>
    <row r="219" spans="27:32">
      <c r="AA219" t="s">
        <v>1599</v>
      </c>
      <c r="AB219" t="s">
        <v>1698</v>
      </c>
      <c r="AC219" t="s">
        <v>1666</v>
      </c>
      <c r="AD219" t="s">
        <v>1699</v>
      </c>
      <c r="AE219" t="s">
        <v>1705</v>
      </c>
      <c r="AF219" t="s">
        <v>2500</v>
      </c>
    </row>
    <row r="220" spans="27:32">
      <c r="AA220" t="s">
        <v>1599</v>
      </c>
      <c r="AB220" t="s">
        <v>1698</v>
      </c>
      <c r="AC220" t="s">
        <v>1668</v>
      </c>
      <c r="AD220" t="s">
        <v>1699</v>
      </c>
      <c r="AE220" t="s">
        <v>1706</v>
      </c>
      <c r="AF220" t="s">
        <v>2501</v>
      </c>
    </row>
    <row r="221" spans="27:32">
      <c r="AA221" t="s">
        <v>1599</v>
      </c>
      <c r="AB221" t="s">
        <v>1698</v>
      </c>
      <c r="AC221" t="s">
        <v>1671</v>
      </c>
      <c r="AD221" t="s">
        <v>1707</v>
      </c>
      <c r="AE221" t="s">
        <v>1708</v>
      </c>
      <c r="AF221" t="s">
        <v>2502</v>
      </c>
    </row>
    <row r="222" spans="27:32">
      <c r="AA222" t="s">
        <v>1599</v>
      </c>
      <c r="AB222" t="s">
        <v>1698</v>
      </c>
      <c r="AC222" t="s">
        <v>1674</v>
      </c>
      <c r="AD222" t="s">
        <v>1707</v>
      </c>
      <c r="AE222" t="s">
        <v>1709</v>
      </c>
      <c r="AF222" t="s">
        <v>2503</v>
      </c>
    </row>
    <row r="223" spans="27:32">
      <c r="AA223" t="s">
        <v>1599</v>
      </c>
      <c r="AB223" t="s">
        <v>1698</v>
      </c>
      <c r="AC223" t="s">
        <v>1676</v>
      </c>
      <c r="AD223" t="s">
        <v>1707</v>
      </c>
      <c r="AE223" t="s">
        <v>1710</v>
      </c>
      <c r="AF223" t="s">
        <v>2504</v>
      </c>
    </row>
    <row r="224" spans="27:32">
      <c r="AA224" t="s">
        <v>1599</v>
      </c>
      <c r="AB224" t="s">
        <v>1698</v>
      </c>
      <c r="AC224" t="s">
        <v>1678</v>
      </c>
      <c r="AD224" t="s">
        <v>1707</v>
      </c>
      <c r="AE224" t="s">
        <v>1711</v>
      </c>
      <c r="AF224" t="s">
        <v>2505</v>
      </c>
    </row>
    <row r="225" spans="27:32">
      <c r="AA225" t="s">
        <v>1599</v>
      </c>
      <c r="AB225" t="s">
        <v>1698</v>
      </c>
      <c r="AC225" t="s">
        <v>1681</v>
      </c>
      <c r="AD225" t="s">
        <v>1707</v>
      </c>
      <c r="AE225" t="s">
        <v>1712</v>
      </c>
      <c r="AF225" t="s">
        <v>2506</v>
      </c>
    </row>
    <row r="226" spans="27:32">
      <c r="AA226" t="s">
        <v>1599</v>
      </c>
      <c r="AB226" t="s">
        <v>1698</v>
      </c>
      <c r="AC226" t="s">
        <v>1683</v>
      </c>
      <c r="AD226" t="s">
        <v>1707</v>
      </c>
      <c r="AE226" t="s">
        <v>1713</v>
      </c>
      <c r="AF226" t="s">
        <v>2507</v>
      </c>
    </row>
    <row r="227" spans="27:32">
      <c r="AA227" t="s">
        <v>1599</v>
      </c>
      <c r="AB227" t="s">
        <v>1698</v>
      </c>
      <c r="AC227" t="s">
        <v>1686</v>
      </c>
      <c r="AD227" t="s">
        <v>1707</v>
      </c>
      <c r="AE227" t="s">
        <v>1714</v>
      </c>
      <c r="AF227" t="s">
        <v>2508</v>
      </c>
    </row>
    <row r="228" spans="27:32">
      <c r="AA228" t="s">
        <v>1599</v>
      </c>
      <c r="AB228" t="s">
        <v>1698</v>
      </c>
      <c r="AC228" t="s">
        <v>1688</v>
      </c>
      <c r="AD228" t="s">
        <v>1707</v>
      </c>
      <c r="AE228" t="s">
        <v>1715</v>
      </c>
      <c r="AF228" t="s">
        <v>2509</v>
      </c>
    </row>
    <row r="229" spans="27:32">
      <c r="AA229" t="s">
        <v>1599</v>
      </c>
      <c r="AB229" t="s">
        <v>1698</v>
      </c>
      <c r="AC229" t="s">
        <v>1690</v>
      </c>
      <c r="AD229" t="s">
        <v>1707</v>
      </c>
      <c r="AE229" t="s">
        <v>1716</v>
      </c>
      <c r="AF229" t="s">
        <v>2510</v>
      </c>
    </row>
    <row r="230" spans="27:32">
      <c r="AA230" t="s">
        <v>1599</v>
      </c>
      <c r="AB230" t="s">
        <v>1698</v>
      </c>
      <c r="AC230" t="s">
        <v>1692</v>
      </c>
      <c r="AD230" t="s">
        <v>1707</v>
      </c>
      <c r="AE230" t="s">
        <v>1717</v>
      </c>
      <c r="AF230" t="s">
        <v>2511</v>
      </c>
    </row>
    <row r="231" spans="27:32">
      <c r="AA231" t="s">
        <v>1599</v>
      </c>
      <c r="AB231" t="s">
        <v>1698</v>
      </c>
      <c r="AC231" t="s">
        <v>1694</v>
      </c>
      <c r="AD231" t="s">
        <v>1707</v>
      </c>
      <c r="AE231" t="s">
        <v>1718</v>
      </c>
      <c r="AF231" t="s">
        <v>2512</v>
      </c>
    </row>
    <row r="232" spans="27:32">
      <c r="AA232" t="s">
        <v>1599</v>
      </c>
      <c r="AB232" t="s">
        <v>1698</v>
      </c>
      <c r="AC232" t="s">
        <v>1696</v>
      </c>
      <c r="AD232" t="s">
        <v>1707</v>
      </c>
      <c r="AE232" t="s">
        <v>1719</v>
      </c>
      <c r="AF232" t="s">
        <v>2513</v>
      </c>
    </row>
    <row r="233" spans="27:32">
      <c r="AA233" t="s">
        <v>1599</v>
      </c>
      <c r="AB233" t="s">
        <v>1720</v>
      </c>
      <c r="AC233" t="s">
        <v>1654</v>
      </c>
      <c r="AD233" t="s">
        <v>1721</v>
      </c>
      <c r="AE233" t="s">
        <v>1722</v>
      </c>
      <c r="AF233" t="s">
        <v>2514</v>
      </c>
    </row>
    <row r="234" spans="27:32">
      <c r="AA234" t="s">
        <v>1599</v>
      </c>
      <c r="AB234" t="s">
        <v>1720</v>
      </c>
      <c r="AC234" t="s">
        <v>1657</v>
      </c>
      <c r="AD234" t="s">
        <v>1721</v>
      </c>
      <c r="AE234" t="s">
        <v>1723</v>
      </c>
      <c r="AF234" t="s">
        <v>2515</v>
      </c>
    </row>
    <row r="235" spans="27:32">
      <c r="AA235" t="s">
        <v>1599</v>
      </c>
      <c r="AB235" t="s">
        <v>1720</v>
      </c>
      <c r="AC235" t="s">
        <v>1659</v>
      </c>
      <c r="AD235" t="s">
        <v>1721</v>
      </c>
      <c r="AE235" t="s">
        <v>1724</v>
      </c>
      <c r="AF235" t="s">
        <v>2516</v>
      </c>
    </row>
    <row r="236" spans="27:32">
      <c r="AA236" t="s">
        <v>1599</v>
      </c>
      <c r="AB236" t="s">
        <v>1720</v>
      </c>
      <c r="AC236" t="s">
        <v>1661</v>
      </c>
      <c r="AD236" t="s">
        <v>1721</v>
      </c>
      <c r="AE236" t="s">
        <v>1725</v>
      </c>
      <c r="AF236" t="s">
        <v>2517</v>
      </c>
    </row>
    <row r="237" spans="27:32">
      <c r="AA237" t="s">
        <v>1599</v>
      </c>
      <c r="AB237" t="s">
        <v>1720</v>
      </c>
      <c r="AC237" t="s">
        <v>1663</v>
      </c>
      <c r="AD237" t="s">
        <v>1721</v>
      </c>
      <c r="AE237" t="s">
        <v>1726</v>
      </c>
      <c r="AF237" t="s">
        <v>2518</v>
      </c>
    </row>
    <row r="238" spans="27:32">
      <c r="AA238" t="s">
        <v>1599</v>
      </c>
      <c r="AB238" t="s">
        <v>1720</v>
      </c>
      <c r="AC238" t="s">
        <v>1666</v>
      </c>
      <c r="AD238" t="s">
        <v>1721</v>
      </c>
      <c r="AE238" t="s">
        <v>1727</v>
      </c>
      <c r="AF238" t="s">
        <v>2519</v>
      </c>
    </row>
    <row r="239" spans="27:32">
      <c r="AA239" t="s">
        <v>1599</v>
      </c>
      <c r="AB239" t="s">
        <v>1720</v>
      </c>
      <c r="AC239" t="s">
        <v>1668</v>
      </c>
      <c r="AD239" t="s">
        <v>1721</v>
      </c>
      <c r="AE239" t="s">
        <v>1728</v>
      </c>
      <c r="AF239" t="s">
        <v>2520</v>
      </c>
    </row>
    <row r="240" spans="27:32">
      <c r="AA240" t="s">
        <v>1599</v>
      </c>
      <c r="AB240" t="s">
        <v>1720</v>
      </c>
      <c r="AC240" t="s">
        <v>1671</v>
      </c>
      <c r="AD240" t="s">
        <v>1729</v>
      </c>
      <c r="AE240" t="s">
        <v>1730</v>
      </c>
      <c r="AF240" t="s">
        <v>2521</v>
      </c>
    </row>
    <row r="241" spans="27:32">
      <c r="AA241" t="s">
        <v>1599</v>
      </c>
      <c r="AB241" t="s">
        <v>1720</v>
      </c>
      <c r="AC241" t="s">
        <v>1674</v>
      </c>
      <c r="AD241" t="s">
        <v>1729</v>
      </c>
      <c r="AE241" t="s">
        <v>1731</v>
      </c>
      <c r="AF241" t="s">
        <v>2522</v>
      </c>
    </row>
    <row r="242" spans="27:32">
      <c r="AA242" t="s">
        <v>1599</v>
      </c>
      <c r="AB242" t="s">
        <v>1720</v>
      </c>
      <c r="AC242" t="s">
        <v>1676</v>
      </c>
      <c r="AD242" t="s">
        <v>1729</v>
      </c>
      <c r="AE242" t="s">
        <v>1732</v>
      </c>
      <c r="AF242" t="s">
        <v>2523</v>
      </c>
    </row>
    <row r="243" spans="27:32">
      <c r="AA243" t="s">
        <v>1599</v>
      </c>
      <c r="AB243" t="s">
        <v>1720</v>
      </c>
      <c r="AC243" t="s">
        <v>1678</v>
      </c>
      <c r="AD243" t="s">
        <v>1729</v>
      </c>
      <c r="AE243" t="s">
        <v>1733</v>
      </c>
      <c r="AF243" t="s">
        <v>2524</v>
      </c>
    </row>
    <row r="244" spans="27:32">
      <c r="AA244" t="s">
        <v>1599</v>
      </c>
      <c r="AB244" t="s">
        <v>1720</v>
      </c>
      <c r="AC244" t="s">
        <v>1681</v>
      </c>
      <c r="AD244" t="s">
        <v>1729</v>
      </c>
      <c r="AE244" t="s">
        <v>1734</v>
      </c>
      <c r="AF244" t="s">
        <v>2525</v>
      </c>
    </row>
    <row r="245" spans="27:32">
      <c r="AA245" t="s">
        <v>1599</v>
      </c>
      <c r="AB245" t="s">
        <v>1720</v>
      </c>
      <c r="AC245" t="s">
        <v>1683</v>
      </c>
      <c r="AD245" t="s">
        <v>1729</v>
      </c>
      <c r="AE245" t="s">
        <v>1735</v>
      </c>
      <c r="AF245" t="s">
        <v>2526</v>
      </c>
    </row>
    <row r="246" spans="27:32">
      <c r="AA246" t="s">
        <v>1599</v>
      </c>
      <c r="AB246" t="s">
        <v>1720</v>
      </c>
      <c r="AC246" t="s">
        <v>1686</v>
      </c>
      <c r="AD246" t="s">
        <v>1729</v>
      </c>
      <c r="AE246" t="s">
        <v>1736</v>
      </c>
      <c r="AF246" t="s">
        <v>2527</v>
      </c>
    </row>
    <row r="247" spans="27:32">
      <c r="AA247" t="s">
        <v>1599</v>
      </c>
      <c r="AB247" t="s">
        <v>1720</v>
      </c>
      <c r="AC247" t="s">
        <v>1688</v>
      </c>
      <c r="AD247" t="s">
        <v>1729</v>
      </c>
      <c r="AE247" t="s">
        <v>1737</v>
      </c>
      <c r="AF247" t="s">
        <v>2528</v>
      </c>
    </row>
    <row r="248" spans="27:32">
      <c r="AA248" t="s">
        <v>1599</v>
      </c>
      <c r="AB248" t="s">
        <v>1720</v>
      </c>
      <c r="AC248" t="s">
        <v>1690</v>
      </c>
      <c r="AD248" t="s">
        <v>1729</v>
      </c>
      <c r="AE248" t="s">
        <v>1738</v>
      </c>
      <c r="AF248" t="s">
        <v>2529</v>
      </c>
    </row>
    <row r="249" spans="27:32">
      <c r="AA249" t="s">
        <v>1599</v>
      </c>
      <c r="AB249" t="s">
        <v>1720</v>
      </c>
      <c r="AC249" t="s">
        <v>1692</v>
      </c>
      <c r="AD249" t="s">
        <v>1729</v>
      </c>
      <c r="AE249" t="s">
        <v>1739</v>
      </c>
      <c r="AF249" t="s">
        <v>2530</v>
      </c>
    </row>
    <row r="250" spans="27:32">
      <c r="AA250" t="s">
        <v>1599</v>
      </c>
      <c r="AB250" t="s">
        <v>1720</v>
      </c>
      <c r="AC250" t="s">
        <v>1694</v>
      </c>
      <c r="AD250" t="s">
        <v>1729</v>
      </c>
      <c r="AE250" t="s">
        <v>1740</v>
      </c>
      <c r="AF250" t="s">
        <v>2531</v>
      </c>
    </row>
    <row r="251" spans="27:32">
      <c r="AA251" t="s">
        <v>1599</v>
      </c>
      <c r="AB251" t="s">
        <v>1720</v>
      </c>
      <c r="AC251" t="s">
        <v>1696</v>
      </c>
      <c r="AD251" t="s">
        <v>1729</v>
      </c>
      <c r="AE251" t="s">
        <v>1741</v>
      </c>
      <c r="AF251" t="s">
        <v>2532</v>
      </c>
    </row>
    <row r="252" spans="27:32">
      <c r="AA252" t="s">
        <v>1092</v>
      </c>
      <c r="AB252" t="s">
        <v>1742</v>
      </c>
      <c r="AC252" t="s">
        <v>1743</v>
      </c>
      <c r="AD252" t="s">
        <v>1744</v>
      </c>
      <c r="AE252" t="s">
        <v>1745</v>
      </c>
      <c r="AF252" t="s">
        <v>2533</v>
      </c>
    </row>
    <row r="253" spans="27:32">
      <c r="AA253" t="s">
        <v>1092</v>
      </c>
      <c r="AB253" t="s">
        <v>1742</v>
      </c>
      <c r="AC253" t="s">
        <v>644</v>
      </c>
      <c r="AD253" t="s">
        <v>1746</v>
      </c>
      <c r="AE253" t="s">
        <v>1747</v>
      </c>
      <c r="AF253" t="s">
        <v>2534</v>
      </c>
    </row>
    <row r="254" spans="27:32">
      <c r="AA254" t="s">
        <v>1092</v>
      </c>
      <c r="AB254" t="s">
        <v>1742</v>
      </c>
      <c r="AC254" t="s">
        <v>646</v>
      </c>
      <c r="AD254" t="s">
        <v>1748</v>
      </c>
      <c r="AE254" t="s">
        <v>1749</v>
      </c>
      <c r="AF254" t="s">
        <v>2535</v>
      </c>
    </row>
    <row r="255" spans="27:32">
      <c r="AA255" t="s">
        <v>1092</v>
      </c>
      <c r="AB255" t="s">
        <v>1742</v>
      </c>
      <c r="AC255" t="s">
        <v>648</v>
      </c>
      <c r="AD255" t="s">
        <v>1750</v>
      </c>
      <c r="AE255" t="s">
        <v>1751</v>
      </c>
      <c r="AF255" t="s">
        <v>2536</v>
      </c>
    </row>
    <row r="256" spans="27:32">
      <c r="AA256" t="s">
        <v>1092</v>
      </c>
      <c r="AB256" t="s">
        <v>1742</v>
      </c>
      <c r="AC256" t="s">
        <v>651</v>
      </c>
      <c r="AD256" t="s">
        <v>1752</v>
      </c>
      <c r="AE256" t="s">
        <v>1753</v>
      </c>
      <c r="AF256" t="s">
        <v>2537</v>
      </c>
    </row>
    <row r="257" spans="27:32">
      <c r="AA257" t="s">
        <v>1092</v>
      </c>
      <c r="AB257" t="s">
        <v>1742</v>
      </c>
      <c r="AC257" t="s">
        <v>652</v>
      </c>
      <c r="AD257" t="s">
        <v>1754</v>
      </c>
      <c r="AE257" t="s">
        <v>1755</v>
      </c>
      <c r="AF257" t="s">
        <v>2538</v>
      </c>
    </row>
    <row r="258" spans="27:32">
      <c r="AA258" t="s">
        <v>1092</v>
      </c>
      <c r="AB258" t="s">
        <v>1742</v>
      </c>
      <c r="AC258" t="s">
        <v>655</v>
      </c>
      <c r="AD258" t="s">
        <v>1756</v>
      </c>
      <c r="AE258" t="s">
        <v>1757</v>
      </c>
      <c r="AF258" t="s">
        <v>2539</v>
      </c>
    </row>
    <row r="259" spans="27:32">
      <c r="AA259" t="s">
        <v>1092</v>
      </c>
      <c r="AB259" t="s">
        <v>1742</v>
      </c>
      <c r="AC259" t="s">
        <v>657</v>
      </c>
      <c r="AD259" t="s">
        <v>1756</v>
      </c>
      <c r="AE259" t="s">
        <v>1758</v>
      </c>
      <c r="AF259" t="s">
        <v>2540</v>
      </c>
    </row>
    <row r="260" spans="27:32">
      <c r="AA260" t="s">
        <v>1092</v>
      </c>
      <c r="AB260" t="s">
        <v>1742</v>
      </c>
      <c r="AC260" t="s">
        <v>658</v>
      </c>
      <c r="AD260" t="s">
        <v>1756</v>
      </c>
      <c r="AE260" t="s">
        <v>1759</v>
      </c>
      <c r="AF260" t="s">
        <v>2541</v>
      </c>
    </row>
    <row r="261" spans="27:32">
      <c r="AA261" t="s">
        <v>1092</v>
      </c>
      <c r="AB261" t="s">
        <v>1742</v>
      </c>
      <c r="AC261" t="s">
        <v>659</v>
      </c>
      <c r="AD261" t="s">
        <v>1756</v>
      </c>
      <c r="AE261" t="s">
        <v>1760</v>
      </c>
      <c r="AF261" t="s">
        <v>2542</v>
      </c>
    </row>
    <row r="262" spans="27:32">
      <c r="AA262" t="s">
        <v>1092</v>
      </c>
      <c r="AB262" t="s">
        <v>1742</v>
      </c>
      <c r="AC262" t="s">
        <v>660</v>
      </c>
      <c r="AD262" t="s">
        <v>1756</v>
      </c>
      <c r="AE262" t="s">
        <v>1761</v>
      </c>
      <c r="AF262" t="s">
        <v>2543</v>
      </c>
    </row>
    <row r="263" spans="27:32">
      <c r="AA263" t="s">
        <v>1092</v>
      </c>
      <c r="AB263" t="s">
        <v>1742</v>
      </c>
      <c r="AC263" t="s">
        <v>661</v>
      </c>
      <c r="AD263" t="s">
        <v>1762</v>
      </c>
      <c r="AE263" t="s">
        <v>1763</v>
      </c>
      <c r="AF263" t="s">
        <v>2544</v>
      </c>
    </row>
    <row r="264" spans="27:32">
      <c r="AA264" t="s">
        <v>1092</v>
      </c>
      <c r="AB264" t="s">
        <v>1742</v>
      </c>
      <c r="AC264" t="s">
        <v>662</v>
      </c>
      <c r="AD264" t="s">
        <v>1762</v>
      </c>
      <c r="AE264" t="s">
        <v>1764</v>
      </c>
      <c r="AF264" t="s">
        <v>2545</v>
      </c>
    </row>
    <row r="265" spans="27:32">
      <c r="AA265" t="s">
        <v>1092</v>
      </c>
      <c r="AB265" t="s">
        <v>1742</v>
      </c>
      <c r="AC265" t="s">
        <v>663</v>
      </c>
      <c r="AD265" t="s">
        <v>1765</v>
      </c>
      <c r="AE265" t="s">
        <v>1766</v>
      </c>
      <c r="AF265" t="s">
        <v>2546</v>
      </c>
    </row>
    <row r="266" spans="27:32">
      <c r="AA266" t="s">
        <v>1092</v>
      </c>
      <c r="AB266" t="s">
        <v>1742</v>
      </c>
      <c r="AC266" t="s">
        <v>664</v>
      </c>
      <c r="AD266" t="s">
        <v>1752</v>
      </c>
      <c r="AE266" t="s">
        <v>1767</v>
      </c>
      <c r="AF266" t="s">
        <v>2547</v>
      </c>
    </row>
    <row r="267" spans="27:32">
      <c r="AA267" t="s">
        <v>1092</v>
      </c>
      <c r="AB267" t="s">
        <v>1742</v>
      </c>
      <c r="AC267" t="s">
        <v>665</v>
      </c>
      <c r="AD267" t="s">
        <v>1768</v>
      </c>
      <c r="AE267" t="s">
        <v>1769</v>
      </c>
      <c r="AF267" t="s">
        <v>1076</v>
      </c>
    </row>
    <row r="268" spans="27:32">
      <c r="AA268" t="s">
        <v>1092</v>
      </c>
      <c r="AB268" t="s">
        <v>1742</v>
      </c>
      <c r="AC268" t="s">
        <v>666</v>
      </c>
      <c r="AD268" t="s">
        <v>1770</v>
      </c>
      <c r="AE268" t="s">
        <v>1771</v>
      </c>
      <c r="AF268" t="s">
        <v>2548</v>
      </c>
    </row>
    <row r="269" spans="27:32">
      <c r="AA269" t="s">
        <v>1092</v>
      </c>
      <c r="AB269" t="s">
        <v>1742</v>
      </c>
      <c r="AC269" t="s">
        <v>667</v>
      </c>
      <c r="AD269" t="s">
        <v>1772</v>
      </c>
      <c r="AE269" t="s">
        <v>1773</v>
      </c>
      <c r="AF269" t="s">
        <v>1075</v>
      </c>
    </row>
    <row r="270" spans="27:32">
      <c r="AA270" t="s">
        <v>1092</v>
      </c>
      <c r="AB270" t="s">
        <v>1742</v>
      </c>
      <c r="AC270" t="s">
        <v>668</v>
      </c>
      <c r="AD270" t="s">
        <v>1765</v>
      </c>
      <c r="AE270" t="s">
        <v>1774</v>
      </c>
      <c r="AF270" t="s">
        <v>1073</v>
      </c>
    </row>
    <row r="271" spans="27:32">
      <c r="AA271" t="s">
        <v>1092</v>
      </c>
      <c r="AB271" t="s">
        <v>1742</v>
      </c>
      <c r="AC271" t="s">
        <v>669</v>
      </c>
      <c r="AD271" t="s">
        <v>1775</v>
      </c>
      <c r="AE271" t="s">
        <v>1776</v>
      </c>
      <c r="AF271" t="s">
        <v>1074</v>
      </c>
    </row>
    <row r="272" spans="27:32">
      <c r="AA272" t="s">
        <v>1092</v>
      </c>
      <c r="AB272" t="s">
        <v>1742</v>
      </c>
      <c r="AC272" t="s">
        <v>671</v>
      </c>
      <c r="AD272" t="s">
        <v>1756</v>
      </c>
      <c r="AE272" t="s">
        <v>1777</v>
      </c>
      <c r="AF272" t="s">
        <v>2549</v>
      </c>
    </row>
    <row r="273" spans="27:32">
      <c r="AA273" t="s">
        <v>1092</v>
      </c>
      <c r="AB273" t="s">
        <v>1742</v>
      </c>
      <c r="AC273" t="s">
        <v>672</v>
      </c>
      <c r="AD273" t="s">
        <v>1756</v>
      </c>
      <c r="AE273" t="s">
        <v>1778</v>
      </c>
      <c r="AF273" t="s">
        <v>2550</v>
      </c>
    </row>
    <row r="274" spans="27:32">
      <c r="AA274" t="s">
        <v>1092</v>
      </c>
      <c r="AB274" t="s">
        <v>1742</v>
      </c>
      <c r="AC274" t="s">
        <v>674</v>
      </c>
      <c r="AD274" t="s">
        <v>1779</v>
      </c>
      <c r="AE274" t="s">
        <v>1780</v>
      </c>
      <c r="AF274" t="s">
        <v>2551</v>
      </c>
    </row>
    <row r="275" spans="27:32">
      <c r="AA275" t="s">
        <v>1092</v>
      </c>
      <c r="AB275" t="s">
        <v>1742</v>
      </c>
      <c r="AC275" t="s">
        <v>677</v>
      </c>
      <c r="AD275" t="s">
        <v>1781</v>
      </c>
      <c r="AE275" t="s">
        <v>1782</v>
      </c>
      <c r="AF275" t="s">
        <v>2552</v>
      </c>
    </row>
    <row r="276" spans="27:32">
      <c r="AA276" t="s">
        <v>1092</v>
      </c>
      <c r="AB276" t="s">
        <v>1742</v>
      </c>
      <c r="AC276" t="s">
        <v>678</v>
      </c>
      <c r="AD276" t="s">
        <v>1756</v>
      </c>
      <c r="AE276" t="s">
        <v>1783</v>
      </c>
      <c r="AF276" t="s">
        <v>2553</v>
      </c>
    </row>
    <row r="277" spans="27:32">
      <c r="AA277" t="s">
        <v>1092</v>
      </c>
      <c r="AB277" t="s">
        <v>1742</v>
      </c>
      <c r="AC277" t="s">
        <v>679</v>
      </c>
      <c r="AD277" t="s">
        <v>1756</v>
      </c>
      <c r="AE277" t="s">
        <v>1784</v>
      </c>
      <c r="AF277" t="s">
        <v>2554</v>
      </c>
    </row>
    <row r="278" spans="27:32">
      <c r="AA278" t="s">
        <v>1092</v>
      </c>
      <c r="AB278" t="s">
        <v>1742</v>
      </c>
      <c r="AC278" t="s">
        <v>680</v>
      </c>
      <c r="AD278" t="s">
        <v>1785</v>
      </c>
      <c r="AE278" t="s">
        <v>1786</v>
      </c>
      <c r="AF278" t="s">
        <v>1070</v>
      </c>
    </row>
    <row r="279" spans="27:32">
      <c r="AA279" t="s">
        <v>1092</v>
      </c>
      <c r="AB279" t="s">
        <v>1742</v>
      </c>
      <c r="AC279" t="s">
        <v>682</v>
      </c>
      <c r="AD279" t="s">
        <v>1787</v>
      </c>
      <c r="AE279" t="s">
        <v>1788</v>
      </c>
      <c r="AF279" t="s">
        <v>1077</v>
      </c>
    </row>
    <row r="280" spans="27:32">
      <c r="AA280" t="s">
        <v>1092</v>
      </c>
      <c r="AB280" t="s">
        <v>1742</v>
      </c>
      <c r="AC280" t="s">
        <v>684</v>
      </c>
      <c r="AD280" t="s">
        <v>1789</v>
      </c>
      <c r="AE280" t="s">
        <v>1790</v>
      </c>
      <c r="AF280" t="s">
        <v>2555</v>
      </c>
    </row>
    <row r="281" spans="27:32">
      <c r="AA281" t="s">
        <v>1092</v>
      </c>
      <c r="AB281" t="s">
        <v>1742</v>
      </c>
      <c r="AC281" t="s">
        <v>686</v>
      </c>
      <c r="AD281" t="s">
        <v>1791</v>
      </c>
      <c r="AE281" t="s">
        <v>1792</v>
      </c>
      <c r="AF281" t="s">
        <v>2556</v>
      </c>
    </row>
    <row r="282" spans="27:32">
      <c r="AA282" t="s">
        <v>1092</v>
      </c>
      <c r="AB282" t="s">
        <v>1742</v>
      </c>
      <c r="AC282" t="s">
        <v>688</v>
      </c>
      <c r="AD282" t="s">
        <v>1781</v>
      </c>
      <c r="AE282" t="s">
        <v>1793</v>
      </c>
      <c r="AF282" t="s">
        <v>2557</v>
      </c>
    </row>
    <row r="283" spans="27:32">
      <c r="AA283" t="s">
        <v>1092</v>
      </c>
      <c r="AB283" t="s">
        <v>1742</v>
      </c>
      <c r="AC283" t="s">
        <v>689</v>
      </c>
      <c r="AD283" t="s">
        <v>1794</v>
      </c>
      <c r="AE283" t="s">
        <v>1795</v>
      </c>
      <c r="AF283" t="s">
        <v>2558</v>
      </c>
    </row>
    <row r="284" spans="27:32">
      <c r="AA284" t="s">
        <v>1092</v>
      </c>
      <c r="AB284" t="s">
        <v>1742</v>
      </c>
      <c r="AC284" t="s">
        <v>197</v>
      </c>
      <c r="AD284" t="s">
        <v>1796</v>
      </c>
      <c r="AE284" t="s">
        <v>1797</v>
      </c>
      <c r="AF284" t="s">
        <v>2559</v>
      </c>
    </row>
    <row r="285" spans="27:32">
      <c r="AA285" t="s">
        <v>1092</v>
      </c>
      <c r="AB285" t="s">
        <v>1742</v>
      </c>
      <c r="AC285" t="s">
        <v>690</v>
      </c>
      <c r="AD285" t="s">
        <v>1798</v>
      </c>
      <c r="AE285" t="s">
        <v>1799</v>
      </c>
      <c r="AF285" t="s">
        <v>2560</v>
      </c>
    </row>
    <row r="286" spans="27:32">
      <c r="AA286" t="s">
        <v>1092</v>
      </c>
      <c r="AB286" t="s">
        <v>1742</v>
      </c>
      <c r="AC286" t="s">
        <v>691</v>
      </c>
      <c r="AD286" t="s">
        <v>1800</v>
      </c>
      <c r="AE286" t="s">
        <v>1801</v>
      </c>
      <c r="AF286" t="s">
        <v>2561</v>
      </c>
    </row>
    <row r="287" spans="27:32">
      <c r="AA287" t="s">
        <v>1092</v>
      </c>
      <c r="AB287" t="s">
        <v>1742</v>
      </c>
      <c r="AC287" t="s">
        <v>693</v>
      </c>
      <c r="AD287" t="s">
        <v>1802</v>
      </c>
      <c r="AE287" t="s">
        <v>1803</v>
      </c>
      <c r="AF287" t="s">
        <v>2562</v>
      </c>
    </row>
    <row r="288" spans="27:32">
      <c r="AA288" t="s">
        <v>1092</v>
      </c>
      <c r="AB288" t="s">
        <v>1742</v>
      </c>
      <c r="AC288" t="s">
        <v>694</v>
      </c>
      <c r="AD288" t="s">
        <v>1804</v>
      </c>
      <c r="AE288" t="s">
        <v>1805</v>
      </c>
      <c r="AF288" t="s">
        <v>2563</v>
      </c>
    </row>
    <row r="289" spans="27:32">
      <c r="AA289" t="s">
        <v>1092</v>
      </c>
      <c r="AB289" t="s">
        <v>1742</v>
      </c>
      <c r="AC289" t="s">
        <v>695</v>
      </c>
      <c r="AD289" t="s">
        <v>1781</v>
      </c>
      <c r="AE289" t="s">
        <v>1806</v>
      </c>
      <c r="AF289" t="s">
        <v>2564</v>
      </c>
    </row>
    <row r="290" spans="27:32">
      <c r="AA290" t="s">
        <v>1092</v>
      </c>
      <c r="AB290" t="s">
        <v>1742</v>
      </c>
      <c r="AC290" t="s">
        <v>696</v>
      </c>
      <c r="AD290" t="s">
        <v>1781</v>
      </c>
      <c r="AE290" t="s">
        <v>1807</v>
      </c>
      <c r="AF290" t="s">
        <v>2565</v>
      </c>
    </row>
    <row r="291" spans="27:32">
      <c r="AA291" t="s">
        <v>1092</v>
      </c>
      <c r="AB291" t="s">
        <v>1742</v>
      </c>
      <c r="AC291" t="s">
        <v>697</v>
      </c>
      <c r="AD291" t="s">
        <v>1808</v>
      </c>
      <c r="AE291" t="s">
        <v>1809</v>
      </c>
      <c r="AF291" t="s">
        <v>2566</v>
      </c>
    </row>
    <row r="292" spans="27:32">
      <c r="AA292" t="s">
        <v>1092</v>
      </c>
      <c r="AB292" t="s">
        <v>1742</v>
      </c>
      <c r="AC292" t="s">
        <v>180</v>
      </c>
      <c r="AD292" t="s">
        <v>1810</v>
      </c>
      <c r="AE292" t="s">
        <v>1811</v>
      </c>
      <c r="AF292" t="s">
        <v>2567</v>
      </c>
    </row>
    <row r="293" spans="27:32">
      <c r="AA293" t="s">
        <v>1092</v>
      </c>
      <c r="AB293" t="s">
        <v>1742</v>
      </c>
      <c r="AC293" t="s">
        <v>698</v>
      </c>
      <c r="AD293" t="s">
        <v>1812</v>
      </c>
      <c r="AE293" t="s">
        <v>1813</v>
      </c>
      <c r="AF293" t="s">
        <v>1072</v>
      </c>
    </row>
    <row r="294" spans="27:32">
      <c r="AA294" t="s">
        <v>1092</v>
      </c>
      <c r="AB294" t="s">
        <v>1742</v>
      </c>
      <c r="AC294" t="s">
        <v>699</v>
      </c>
      <c r="AD294" t="s">
        <v>1814</v>
      </c>
      <c r="AE294" t="s">
        <v>1815</v>
      </c>
      <c r="AF294" t="s">
        <v>2568</v>
      </c>
    </row>
    <row r="295" spans="27:32">
      <c r="AA295" t="s">
        <v>1092</v>
      </c>
      <c r="AB295" t="s">
        <v>1742</v>
      </c>
      <c r="AC295" t="s">
        <v>701</v>
      </c>
      <c r="AD295" t="s">
        <v>1816</v>
      </c>
      <c r="AE295" t="s">
        <v>1817</v>
      </c>
      <c r="AF295" t="s">
        <v>2569</v>
      </c>
    </row>
    <row r="296" spans="27:32">
      <c r="AA296" t="s">
        <v>1092</v>
      </c>
      <c r="AB296" t="s">
        <v>1173</v>
      </c>
      <c r="AC296" t="s">
        <v>703</v>
      </c>
      <c r="AD296" t="s">
        <v>1818</v>
      </c>
      <c r="AE296" t="s">
        <v>1819</v>
      </c>
      <c r="AF296" t="s">
        <v>2570</v>
      </c>
    </row>
    <row r="297" spans="27:32">
      <c r="AA297" t="s">
        <v>1092</v>
      </c>
      <c r="AB297" t="s">
        <v>1173</v>
      </c>
      <c r="AC297" t="s">
        <v>704</v>
      </c>
      <c r="AD297" t="s">
        <v>1787</v>
      </c>
      <c r="AE297" t="s">
        <v>1820</v>
      </c>
      <c r="AF297" t="s">
        <v>2571</v>
      </c>
    </row>
    <row r="298" spans="27:32">
      <c r="AA298" t="s">
        <v>1092</v>
      </c>
      <c r="AB298" t="s">
        <v>1173</v>
      </c>
      <c r="AC298" t="s">
        <v>705</v>
      </c>
      <c r="AD298" t="s">
        <v>1796</v>
      </c>
      <c r="AE298" t="s">
        <v>1821</v>
      </c>
      <c r="AF298" t="s">
        <v>2572</v>
      </c>
    </row>
    <row r="299" spans="27:32">
      <c r="AA299" t="s">
        <v>1092</v>
      </c>
      <c r="AB299" t="s">
        <v>1173</v>
      </c>
      <c r="AC299" t="s">
        <v>706</v>
      </c>
      <c r="AD299" t="s">
        <v>1818</v>
      </c>
      <c r="AE299" t="s">
        <v>1822</v>
      </c>
      <c r="AF299" t="s">
        <v>2573</v>
      </c>
    </row>
    <row r="300" spans="27:32">
      <c r="AA300" t="s">
        <v>1092</v>
      </c>
      <c r="AB300" t="s">
        <v>1173</v>
      </c>
      <c r="AC300" t="s">
        <v>707</v>
      </c>
      <c r="AD300" t="s">
        <v>1823</v>
      </c>
      <c r="AE300" t="s">
        <v>1824</v>
      </c>
      <c r="AF300" t="s">
        <v>2574</v>
      </c>
    </row>
    <row r="301" spans="27:32">
      <c r="AA301" t="s">
        <v>1092</v>
      </c>
      <c r="AB301" t="s">
        <v>1173</v>
      </c>
      <c r="AC301" t="s">
        <v>1067</v>
      </c>
      <c r="AD301" t="s">
        <v>1789</v>
      </c>
      <c r="AE301" t="s">
        <v>1825</v>
      </c>
      <c r="AF301" t="s">
        <v>2575</v>
      </c>
    </row>
    <row r="302" spans="27:32">
      <c r="AA302" t="s">
        <v>1092</v>
      </c>
      <c r="AB302" t="s">
        <v>1173</v>
      </c>
      <c r="AC302" t="s">
        <v>1068</v>
      </c>
      <c r="AD302" t="s">
        <v>1789</v>
      </c>
      <c r="AE302" t="s">
        <v>1826</v>
      </c>
      <c r="AF302" t="s">
        <v>2576</v>
      </c>
    </row>
    <row r="303" spans="27:32">
      <c r="AA303" t="s">
        <v>1092</v>
      </c>
      <c r="AB303" t="s">
        <v>1173</v>
      </c>
      <c r="AC303" t="s">
        <v>709</v>
      </c>
      <c r="AD303" t="s">
        <v>1827</v>
      </c>
      <c r="AE303" t="s">
        <v>1828</v>
      </c>
      <c r="AF303" t="s">
        <v>2577</v>
      </c>
    </row>
    <row r="304" spans="27:32">
      <c r="AA304" t="s">
        <v>1092</v>
      </c>
      <c r="AB304" t="s">
        <v>1173</v>
      </c>
      <c r="AC304" t="s">
        <v>710</v>
      </c>
      <c r="AD304" t="s">
        <v>1787</v>
      </c>
      <c r="AE304" t="s">
        <v>1829</v>
      </c>
      <c r="AF304" t="s">
        <v>2578</v>
      </c>
    </row>
    <row r="305" spans="27:32">
      <c r="AA305" t="s">
        <v>1092</v>
      </c>
      <c r="AB305" t="s">
        <v>1173</v>
      </c>
      <c r="AC305" t="s">
        <v>674</v>
      </c>
      <c r="AD305" t="s">
        <v>1789</v>
      </c>
      <c r="AE305" t="s">
        <v>1830</v>
      </c>
      <c r="AF305" t="s">
        <v>2579</v>
      </c>
    </row>
    <row r="306" spans="27:32">
      <c r="AA306" t="s">
        <v>1092</v>
      </c>
      <c r="AB306" t="s">
        <v>1173</v>
      </c>
      <c r="AC306" t="s">
        <v>712</v>
      </c>
      <c r="AD306" t="s">
        <v>1756</v>
      </c>
      <c r="AE306" t="s">
        <v>1831</v>
      </c>
      <c r="AF306" t="s">
        <v>2580</v>
      </c>
    </row>
    <row r="307" spans="27:32">
      <c r="AA307" t="s">
        <v>1092</v>
      </c>
      <c r="AB307" t="s">
        <v>1173</v>
      </c>
      <c r="AC307" t="s">
        <v>713</v>
      </c>
      <c r="AD307" t="s">
        <v>1832</v>
      </c>
      <c r="AE307" t="s">
        <v>1833</v>
      </c>
      <c r="AF307" t="s">
        <v>2581</v>
      </c>
    </row>
    <row r="308" spans="27:32">
      <c r="AA308" t="s">
        <v>1092</v>
      </c>
      <c r="AB308" t="s">
        <v>1173</v>
      </c>
      <c r="AC308" t="s">
        <v>714</v>
      </c>
      <c r="AD308" t="s">
        <v>1834</v>
      </c>
      <c r="AE308" t="s">
        <v>1835</v>
      </c>
      <c r="AF308" t="s">
        <v>2582</v>
      </c>
    </row>
    <row r="309" spans="27:32">
      <c r="AA309" t="s">
        <v>1092</v>
      </c>
      <c r="AB309" t="s">
        <v>1173</v>
      </c>
      <c r="AC309" t="s">
        <v>715</v>
      </c>
      <c r="AD309" t="s">
        <v>1836</v>
      </c>
      <c r="AE309" t="s">
        <v>1837</v>
      </c>
      <c r="AF309" t="s">
        <v>2583</v>
      </c>
    </row>
    <row r="310" spans="27:32">
      <c r="AA310" t="s">
        <v>1092</v>
      </c>
      <c r="AB310" t="s">
        <v>1173</v>
      </c>
      <c r="AC310" t="s">
        <v>716</v>
      </c>
      <c r="AD310" t="s">
        <v>1756</v>
      </c>
      <c r="AE310" t="s">
        <v>1838</v>
      </c>
      <c r="AF310" t="s">
        <v>2584</v>
      </c>
    </row>
    <row r="311" spans="27:32">
      <c r="AA311" t="s">
        <v>1092</v>
      </c>
      <c r="AB311" t="s">
        <v>1173</v>
      </c>
      <c r="AC311" t="s">
        <v>717</v>
      </c>
      <c r="AD311" t="s">
        <v>1839</v>
      </c>
      <c r="AE311" t="s">
        <v>1840</v>
      </c>
      <c r="AF311" t="s">
        <v>2585</v>
      </c>
    </row>
    <row r="312" spans="27:32">
      <c r="AA312" t="s">
        <v>1092</v>
      </c>
      <c r="AB312" t="s">
        <v>1841</v>
      </c>
      <c r="AC312" t="s">
        <v>719</v>
      </c>
      <c r="AD312" t="s">
        <v>1827</v>
      </c>
      <c r="AE312" t="s">
        <v>1183</v>
      </c>
      <c r="AF312" t="s">
        <v>2586</v>
      </c>
    </row>
    <row r="313" spans="27:32">
      <c r="AA313" t="s">
        <v>1092</v>
      </c>
      <c r="AB313" t="s">
        <v>1841</v>
      </c>
      <c r="AC313" t="s">
        <v>720</v>
      </c>
      <c r="AD313" t="s">
        <v>1827</v>
      </c>
      <c r="AE313" t="s">
        <v>1186</v>
      </c>
      <c r="AF313" t="s">
        <v>2587</v>
      </c>
    </row>
    <row r="314" spans="27:32">
      <c r="AA314" t="s">
        <v>1092</v>
      </c>
      <c r="AB314" t="s">
        <v>1841</v>
      </c>
      <c r="AC314" t="s">
        <v>721</v>
      </c>
      <c r="AD314" t="s">
        <v>1827</v>
      </c>
      <c r="AE314" t="s">
        <v>1189</v>
      </c>
      <c r="AF314" t="s">
        <v>2588</v>
      </c>
    </row>
    <row r="315" spans="27:32">
      <c r="AA315" t="s">
        <v>1092</v>
      </c>
      <c r="AB315" t="s">
        <v>1841</v>
      </c>
      <c r="AC315" t="s">
        <v>722</v>
      </c>
      <c r="AD315" t="s">
        <v>1827</v>
      </c>
      <c r="AE315" t="s">
        <v>1193</v>
      </c>
      <c r="AF315" t="s">
        <v>2589</v>
      </c>
    </row>
    <row r="316" spans="27:32">
      <c r="AA316" t="s">
        <v>1092</v>
      </c>
      <c r="AB316" t="s">
        <v>1841</v>
      </c>
      <c r="AC316" t="s">
        <v>723</v>
      </c>
      <c r="AD316" t="s">
        <v>1827</v>
      </c>
      <c r="AE316" t="s">
        <v>1197</v>
      </c>
      <c r="AF316" t="s">
        <v>2590</v>
      </c>
    </row>
    <row r="317" spans="27:32">
      <c r="AA317" t="s">
        <v>1092</v>
      </c>
      <c r="AB317" t="s">
        <v>1841</v>
      </c>
      <c r="AC317" t="s">
        <v>724</v>
      </c>
      <c r="AD317" t="s">
        <v>1827</v>
      </c>
      <c r="AE317" t="s">
        <v>1201</v>
      </c>
      <c r="AF317" t="s">
        <v>2591</v>
      </c>
    </row>
    <row r="318" spans="27:32">
      <c r="AA318" t="s">
        <v>1092</v>
      </c>
      <c r="AB318" t="s">
        <v>1841</v>
      </c>
      <c r="AC318" t="s">
        <v>725</v>
      </c>
      <c r="AD318" t="s">
        <v>1827</v>
      </c>
      <c r="AE318" t="s">
        <v>1205</v>
      </c>
      <c r="AF318" t="s">
        <v>2592</v>
      </c>
    </row>
    <row r="319" spans="27:32">
      <c r="AA319" t="s">
        <v>1092</v>
      </c>
      <c r="AB319" t="s">
        <v>1841</v>
      </c>
      <c r="AC319" t="s">
        <v>726</v>
      </c>
      <c r="AD319" t="s">
        <v>1827</v>
      </c>
      <c r="AE319" t="s">
        <v>1209</v>
      </c>
      <c r="AF319" t="s">
        <v>2593</v>
      </c>
    </row>
    <row r="320" spans="27:32">
      <c r="AA320" t="s">
        <v>1092</v>
      </c>
      <c r="AB320" t="s">
        <v>1841</v>
      </c>
      <c r="AC320" t="s">
        <v>727</v>
      </c>
      <c r="AD320" t="s">
        <v>1827</v>
      </c>
      <c r="AE320" t="s">
        <v>1213</v>
      </c>
      <c r="AF320" t="s">
        <v>2594</v>
      </c>
    </row>
    <row r="321" spans="27:32">
      <c r="AA321" t="s">
        <v>1092</v>
      </c>
      <c r="AB321" t="s">
        <v>1841</v>
      </c>
      <c r="AC321" t="s">
        <v>728</v>
      </c>
      <c r="AD321" t="s">
        <v>1827</v>
      </c>
      <c r="AE321" t="s">
        <v>1217</v>
      </c>
      <c r="AF321" t="s">
        <v>2595</v>
      </c>
    </row>
    <row r="322" spans="27:32">
      <c r="AA322" t="s">
        <v>1092</v>
      </c>
      <c r="AB322" t="s">
        <v>1841</v>
      </c>
      <c r="AC322" t="s">
        <v>729</v>
      </c>
      <c r="AD322" t="s">
        <v>1827</v>
      </c>
      <c r="AE322" t="s">
        <v>1220</v>
      </c>
      <c r="AF322" t="s">
        <v>2596</v>
      </c>
    </row>
    <row r="323" spans="27:32">
      <c r="AA323" t="s">
        <v>1092</v>
      </c>
      <c r="AB323" t="s">
        <v>1841</v>
      </c>
      <c r="AC323" t="s">
        <v>1842</v>
      </c>
      <c r="AD323" t="s">
        <v>1827</v>
      </c>
      <c r="AE323" t="s">
        <v>1225</v>
      </c>
      <c r="AF323" t="s">
        <v>2597</v>
      </c>
    </row>
    <row r="324" spans="27:32">
      <c r="AA324" t="s">
        <v>1092</v>
      </c>
      <c r="AB324" t="s">
        <v>1841</v>
      </c>
      <c r="AC324" t="s">
        <v>1843</v>
      </c>
      <c r="AD324" t="s">
        <v>1827</v>
      </c>
      <c r="AE324" t="s">
        <v>1229</v>
      </c>
      <c r="AF324" t="s">
        <v>2598</v>
      </c>
    </row>
    <row r="325" spans="27:32">
      <c r="AA325" t="s">
        <v>1092</v>
      </c>
      <c r="AB325" t="s">
        <v>1844</v>
      </c>
      <c r="AC325" t="s">
        <v>719</v>
      </c>
      <c r="AD325" t="s">
        <v>1827</v>
      </c>
      <c r="AE325" t="s">
        <v>1233</v>
      </c>
      <c r="AF325" t="s">
        <v>2599</v>
      </c>
    </row>
    <row r="326" spans="27:32">
      <c r="AA326" t="s">
        <v>1092</v>
      </c>
      <c r="AB326" t="s">
        <v>1844</v>
      </c>
      <c r="AC326" t="s">
        <v>720</v>
      </c>
      <c r="AD326" t="s">
        <v>1827</v>
      </c>
      <c r="AE326" t="s">
        <v>1237</v>
      </c>
      <c r="AF326" t="s">
        <v>2600</v>
      </c>
    </row>
    <row r="327" spans="27:32">
      <c r="AA327" t="s">
        <v>1092</v>
      </c>
      <c r="AB327" t="s">
        <v>1844</v>
      </c>
      <c r="AC327" t="s">
        <v>721</v>
      </c>
      <c r="AD327" t="s">
        <v>1827</v>
      </c>
      <c r="AE327" t="s">
        <v>1240</v>
      </c>
      <c r="AF327" t="s">
        <v>2601</v>
      </c>
    </row>
    <row r="328" spans="27:32">
      <c r="AA328" t="s">
        <v>1092</v>
      </c>
      <c r="AB328" t="s">
        <v>1844</v>
      </c>
      <c r="AC328" t="s">
        <v>722</v>
      </c>
      <c r="AD328" t="s">
        <v>1827</v>
      </c>
      <c r="AE328" t="s">
        <v>1244</v>
      </c>
      <c r="AF328" t="s">
        <v>2602</v>
      </c>
    </row>
    <row r="329" spans="27:32">
      <c r="AA329" t="s">
        <v>1092</v>
      </c>
      <c r="AB329" t="s">
        <v>1844</v>
      </c>
      <c r="AC329" t="s">
        <v>723</v>
      </c>
      <c r="AD329" t="s">
        <v>1827</v>
      </c>
      <c r="AE329" t="s">
        <v>1247</v>
      </c>
      <c r="AF329" t="s">
        <v>2603</v>
      </c>
    </row>
    <row r="330" spans="27:32">
      <c r="AA330" t="s">
        <v>1092</v>
      </c>
      <c r="AB330" t="s">
        <v>1844</v>
      </c>
      <c r="AC330" t="s">
        <v>724</v>
      </c>
      <c r="AD330" t="s">
        <v>1827</v>
      </c>
      <c r="AE330" t="s">
        <v>1250</v>
      </c>
      <c r="AF330" t="s">
        <v>2604</v>
      </c>
    </row>
    <row r="331" spans="27:32">
      <c r="AA331" t="s">
        <v>1092</v>
      </c>
      <c r="AB331" t="s">
        <v>1844</v>
      </c>
      <c r="AC331" t="s">
        <v>725</v>
      </c>
      <c r="AD331" t="s">
        <v>1827</v>
      </c>
      <c r="AE331" t="s">
        <v>1253</v>
      </c>
      <c r="AF331" t="s">
        <v>2605</v>
      </c>
    </row>
    <row r="332" spans="27:32">
      <c r="AA332" t="s">
        <v>1092</v>
      </c>
      <c r="AB332" t="s">
        <v>1844</v>
      </c>
      <c r="AC332" t="s">
        <v>726</v>
      </c>
      <c r="AD332" t="s">
        <v>1827</v>
      </c>
      <c r="AE332" t="s">
        <v>1256</v>
      </c>
      <c r="AF332" t="s">
        <v>2606</v>
      </c>
    </row>
    <row r="333" spans="27:32">
      <c r="AA333" t="s">
        <v>1092</v>
      </c>
      <c r="AB333" t="s">
        <v>1844</v>
      </c>
      <c r="AC333" t="s">
        <v>727</v>
      </c>
      <c r="AD333" t="s">
        <v>1827</v>
      </c>
      <c r="AE333" t="s">
        <v>1260</v>
      </c>
      <c r="AF333" t="s">
        <v>2607</v>
      </c>
    </row>
    <row r="334" spans="27:32">
      <c r="AA334" t="s">
        <v>1092</v>
      </c>
      <c r="AB334" t="s">
        <v>1844</v>
      </c>
      <c r="AC334" t="s">
        <v>728</v>
      </c>
      <c r="AD334" t="s">
        <v>1827</v>
      </c>
      <c r="AE334" t="s">
        <v>1264</v>
      </c>
      <c r="AF334" t="s">
        <v>2608</v>
      </c>
    </row>
    <row r="335" spans="27:32">
      <c r="AA335" t="s">
        <v>1092</v>
      </c>
      <c r="AB335" t="s">
        <v>1844</v>
      </c>
      <c r="AC335" t="s">
        <v>733</v>
      </c>
      <c r="AD335" t="s">
        <v>1827</v>
      </c>
      <c r="AE335" t="s">
        <v>1268</v>
      </c>
      <c r="AF335" t="s">
        <v>2609</v>
      </c>
    </row>
    <row r="336" spans="27:32">
      <c r="AA336" t="s">
        <v>1092</v>
      </c>
      <c r="AB336" t="s">
        <v>1844</v>
      </c>
      <c r="AC336" t="s">
        <v>734</v>
      </c>
      <c r="AD336" t="s">
        <v>1827</v>
      </c>
      <c r="AE336" t="s">
        <v>1272</v>
      </c>
      <c r="AF336" t="s">
        <v>2610</v>
      </c>
    </row>
    <row r="337" spans="27:32">
      <c r="AA337" t="s">
        <v>1092</v>
      </c>
      <c r="AB337" t="s">
        <v>1844</v>
      </c>
      <c r="AC337" t="s">
        <v>735</v>
      </c>
      <c r="AD337" t="s">
        <v>1827</v>
      </c>
      <c r="AE337" t="s">
        <v>1276</v>
      </c>
      <c r="AF337" t="s">
        <v>2611</v>
      </c>
    </row>
    <row r="338" spans="27:32">
      <c r="AA338" t="s">
        <v>1092</v>
      </c>
      <c r="AB338" t="s">
        <v>1845</v>
      </c>
      <c r="AC338" t="s">
        <v>640</v>
      </c>
      <c r="AD338" t="s">
        <v>1669</v>
      </c>
      <c r="AE338" t="s">
        <v>1846</v>
      </c>
      <c r="AF338" t="s">
        <v>2612</v>
      </c>
    </row>
    <row r="339" spans="27:32">
      <c r="AA339" t="s">
        <v>1092</v>
      </c>
      <c r="AB339" t="s">
        <v>1845</v>
      </c>
      <c r="AC339" t="s">
        <v>643</v>
      </c>
      <c r="AD339" t="s">
        <v>1655</v>
      </c>
      <c r="AE339" t="s">
        <v>1847</v>
      </c>
      <c r="AF339" t="s">
        <v>2613</v>
      </c>
    </row>
    <row r="340" spans="27:32">
      <c r="AA340" t="s">
        <v>1092</v>
      </c>
      <c r="AB340" t="s">
        <v>1845</v>
      </c>
      <c r="AC340" t="s">
        <v>645</v>
      </c>
      <c r="AD340" t="s">
        <v>1848</v>
      </c>
      <c r="AE340" t="s">
        <v>1849</v>
      </c>
      <c r="AF340" t="s">
        <v>2614</v>
      </c>
    </row>
    <row r="341" spans="27:32">
      <c r="AA341" t="s">
        <v>1092</v>
      </c>
      <c r="AB341" t="s">
        <v>1845</v>
      </c>
      <c r="AC341" t="s">
        <v>647</v>
      </c>
      <c r="AD341" t="s">
        <v>1850</v>
      </c>
      <c r="AE341" t="s">
        <v>1851</v>
      </c>
      <c r="AF341" t="s">
        <v>2615</v>
      </c>
    </row>
    <row r="342" spans="27:32">
      <c r="AA342" t="s">
        <v>1092</v>
      </c>
      <c r="AB342" t="s">
        <v>1845</v>
      </c>
      <c r="AC342" t="s">
        <v>650</v>
      </c>
      <c r="AD342" t="s">
        <v>1852</v>
      </c>
      <c r="AE342" t="s">
        <v>1853</v>
      </c>
      <c r="AF342" t="s">
        <v>2616</v>
      </c>
    </row>
    <row r="343" spans="27:32">
      <c r="AA343" t="s">
        <v>1092</v>
      </c>
      <c r="AB343" t="s">
        <v>1845</v>
      </c>
      <c r="AC343" t="s">
        <v>799</v>
      </c>
      <c r="AD343" t="s">
        <v>1834</v>
      </c>
      <c r="AE343" t="s">
        <v>1854</v>
      </c>
      <c r="AF343" t="s">
        <v>2617</v>
      </c>
    </row>
    <row r="344" spans="27:32">
      <c r="AA344" t="s">
        <v>1092</v>
      </c>
      <c r="AB344" t="s">
        <v>1845</v>
      </c>
      <c r="AC344" t="s">
        <v>796</v>
      </c>
      <c r="AD344" t="s">
        <v>1818</v>
      </c>
      <c r="AE344" t="s">
        <v>1855</v>
      </c>
      <c r="AF344" t="s">
        <v>2618</v>
      </c>
    </row>
    <row r="345" spans="27:32">
      <c r="AA345" t="s">
        <v>1092</v>
      </c>
      <c r="AB345" t="s">
        <v>1845</v>
      </c>
      <c r="AC345" t="s">
        <v>653</v>
      </c>
      <c r="AD345" t="s">
        <v>1765</v>
      </c>
      <c r="AE345" t="s">
        <v>1856</v>
      </c>
      <c r="AF345" t="s">
        <v>2619</v>
      </c>
    </row>
    <row r="346" spans="27:32">
      <c r="AA346" t="s">
        <v>1092</v>
      </c>
      <c r="AB346" t="s">
        <v>1845</v>
      </c>
      <c r="AC346" t="s">
        <v>656</v>
      </c>
      <c r="AD346" t="s">
        <v>1816</v>
      </c>
      <c r="AE346" t="s">
        <v>1857</v>
      </c>
      <c r="AF346" t="s">
        <v>2620</v>
      </c>
    </row>
    <row r="347" spans="27:32">
      <c r="AA347" t="s">
        <v>1092</v>
      </c>
      <c r="AB347" t="s">
        <v>1858</v>
      </c>
      <c r="AC347" t="s">
        <v>673</v>
      </c>
      <c r="AD347" t="s">
        <v>1302</v>
      </c>
      <c r="AE347" t="s">
        <v>1859</v>
      </c>
      <c r="AF347" t="s">
        <v>2621</v>
      </c>
    </row>
    <row r="348" spans="27:32">
      <c r="AA348" t="s">
        <v>1092</v>
      </c>
      <c r="AB348" t="s">
        <v>1858</v>
      </c>
      <c r="AC348" t="s">
        <v>676</v>
      </c>
      <c r="AD348" t="s">
        <v>1746</v>
      </c>
      <c r="AE348" t="s">
        <v>1860</v>
      </c>
      <c r="AF348" t="s">
        <v>2622</v>
      </c>
    </row>
    <row r="349" spans="27:32">
      <c r="AA349" t="s">
        <v>1092</v>
      </c>
      <c r="AB349" t="s">
        <v>1858</v>
      </c>
      <c r="AC349" t="s">
        <v>655</v>
      </c>
      <c r="AD349" t="s">
        <v>1748</v>
      </c>
      <c r="AE349" t="s">
        <v>1861</v>
      </c>
      <c r="AF349" t="s">
        <v>2623</v>
      </c>
    </row>
    <row r="350" spans="27:32">
      <c r="AA350" t="s">
        <v>1092</v>
      </c>
      <c r="AB350" t="s">
        <v>1858</v>
      </c>
      <c r="AC350" t="s">
        <v>683</v>
      </c>
      <c r="AD350" t="s">
        <v>1756</v>
      </c>
      <c r="AE350" t="s">
        <v>1862</v>
      </c>
      <c r="AF350" t="s">
        <v>2624</v>
      </c>
    </row>
    <row r="351" spans="27:32">
      <c r="AA351" t="s">
        <v>1092</v>
      </c>
      <c r="AB351" t="s">
        <v>1858</v>
      </c>
      <c r="AC351" t="s">
        <v>685</v>
      </c>
      <c r="AD351" t="s">
        <v>1756</v>
      </c>
      <c r="AE351" t="s">
        <v>1863</v>
      </c>
      <c r="AF351" t="s">
        <v>2625</v>
      </c>
    </row>
    <row r="352" spans="27:32">
      <c r="AA352" t="s">
        <v>1092</v>
      </c>
      <c r="AB352" t="s">
        <v>1858</v>
      </c>
      <c r="AC352" t="s">
        <v>663</v>
      </c>
      <c r="AD352" t="s">
        <v>1756</v>
      </c>
      <c r="AE352" t="s">
        <v>1864</v>
      </c>
      <c r="AF352" t="s">
        <v>2626</v>
      </c>
    </row>
    <row r="353" spans="27:32">
      <c r="AA353" t="s">
        <v>1092</v>
      </c>
      <c r="AB353" t="s">
        <v>1858</v>
      </c>
      <c r="AC353" t="s">
        <v>671</v>
      </c>
      <c r="AD353" t="s">
        <v>1772</v>
      </c>
      <c r="AE353" t="s">
        <v>1865</v>
      </c>
      <c r="AF353" t="s">
        <v>2627</v>
      </c>
    </row>
    <row r="354" spans="27:32">
      <c r="AA354" t="s">
        <v>1092</v>
      </c>
      <c r="AB354" t="s">
        <v>1858</v>
      </c>
      <c r="AC354" t="s">
        <v>672</v>
      </c>
      <c r="AD354" t="s">
        <v>1765</v>
      </c>
      <c r="AE354" t="s">
        <v>1866</v>
      </c>
      <c r="AF354" t="s">
        <v>2628</v>
      </c>
    </row>
    <row r="355" spans="27:32">
      <c r="AA355" t="s">
        <v>1092</v>
      </c>
      <c r="AB355" t="s">
        <v>1858</v>
      </c>
      <c r="AC355" t="s">
        <v>699</v>
      </c>
      <c r="AD355" t="s">
        <v>1816</v>
      </c>
      <c r="AE355" t="s">
        <v>1867</v>
      </c>
      <c r="AF355" t="s">
        <v>2629</v>
      </c>
    </row>
    <row r="356" spans="27:32">
      <c r="AA356" t="s">
        <v>1092</v>
      </c>
      <c r="AB356" t="s">
        <v>1858</v>
      </c>
      <c r="AC356" t="s">
        <v>1868</v>
      </c>
      <c r="AD356" t="s">
        <v>1816</v>
      </c>
      <c r="AE356" t="s">
        <v>1869</v>
      </c>
      <c r="AF356" t="s">
        <v>2630</v>
      </c>
    </row>
    <row r="357" spans="27:32">
      <c r="AA357" t="s">
        <v>1092</v>
      </c>
      <c r="AB357" t="s">
        <v>1858</v>
      </c>
      <c r="AC357" t="s">
        <v>712</v>
      </c>
      <c r="AD357" t="s">
        <v>1756</v>
      </c>
      <c r="AE357" t="s">
        <v>1870</v>
      </c>
      <c r="AF357" t="s">
        <v>2631</v>
      </c>
    </row>
    <row r="358" spans="27:32">
      <c r="AA358" t="s">
        <v>1092</v>
      </c>
      <c r="AB358" t="s">
        <v>1858</v>
      </c>
      <c r="AC358" t="s">
        <v>717</v>
      </c>
      <c r="AD358" t="s">
        <v>1871</v>
      </c>
      <c r="AE358" t="s">
        <v>1872</v>
      </c>
      <c r="AF358" t="s">
        <v>2632</v>
      </c>
    </row>
    <row r="359" spans="27:32">
      <c r="AA359" t="s">
        <v>1873</v>
      </c>
      <c r="AB359" t="s">
        <v>1089</v>
      </c>
      <c r="AC359" t="s">
        <v>969</v>
      </c>
      <c r="AD359" t="s">
        <v>1874</v>
      </c>
      <c r="AE359" t="s">
        <v>1875</v>
      </c>
      <c r="AF359" t="s">
        <v>2633</v>
      </c>
    </row>
    <row r="360" spans="27:32">
      <c r="AA360" t="s">
        <v>1873</v>
      </c>
      <c r="AB360" t="s">
        <v>1089</v>
      </c>
      <c r="AC360" t="s">
        <v>970</v>
      </c>
      <c r="AD360" t="s">
        <v>1876</v>
      </c>
      <c r="AE360" t="s">
        <v>1877</v>
      </c>
      <c r="AF360" t="s">
        <v>2634</v>
      </c>
    </row>
    <row r="361" spans="27:32">
      <c r="AA361" t="s">
        <v>1873</v>
      </c>
      <c r="AB361" t="s">
        <v>1089</v>
      </c>
      <c r="AC361" t="s">
        <v>971</v>
      </c>
      <c r="AD361" t="s">
        <v>1878</v>
      </c>
      <c r="AE361" t="s">
        <v>1879</v>
      </c>
      <c r="AF361" t="s">
        <v>2635</v>
      </c>
    </row>
    <row r="362" spans="27:32">
      <c r="AA362" t="s">
        <v>1873</v>
      </c>
      <c r="AB362" t="s">
        <v>1089</v>
      </c>
      <c r="AC362" t="s">
        <v>972</v>
      </c>
      <c r="AD362" t="s">
        <v>1880</v>
      </c>
      <c r="AE362" t="s">
        <v>1881</v>
      </c>
      <c r="AF362" t="s">
        <v>2636</v>
      </c>
    </row>
    <row r="363" spans="27:32">
      <c r="AA363" t="s">
        <v>1873</v>
      </c>
      <c r="AB363" t="s">
        <v>1089</v>
      </c>
      <c r="AC363" t="s">
        <v>973</v>
      </c>
      <c r="AD363" t="s">
        <v>1882</v>
      </c>
      <c r="AE363" t="s">
        <v>1883</v>
      </c>
      <c r="AF363" t="s">
        <v>2637</v>
      </c>
    </row>
    <row r="364" spans="27:32">
      <c r="AA364" t="s">
        <v>1873</v>
      </c>
      <c r="AB364" t="s">
        <v>1884</v>
      </c>
      <c r="AC364" t="s">
        <v>1885</v>
      </c>
      <c r="AD364" t="s">
        <v>1203</v>
      </c>
      <c r="AE364" t="s">
        <v>1886</v>
      </c>
      <c r="AF364" t="s">
        <v>2638</v>
      </c>
    </row>
    <row r="365" spans="27:32">
      <c r="AA365" t="s">
        <v>1873</v>
      </c>
      <c r="AB365" t="s">
        <v>1884</v>
      </c>
      <c r="AC365" t="s">
        <v>1887</v>
      </c>
      <c r="AD365" t="s">
        <v>1203</v>
      </c>
      <c r="AE365" t="s">
        <v>1888</v>
      </c>
      <c r="AF365" t="s">
        <v>2639</v>
      </c>
    </row>
    <row r="366" spans="27:32">
      <c r="AA366" t="s">
        <v>1873</v>
      </c>
      <c r="AB366" t="s">
        <v>1884</v>
      </c>
      <c r="AC366" t="s">
        <v>1889</v>
      </c>
      <c r="AD366" t="s">
        <v>1203</v>
      </c>
      <c r="AE366" t="s">
        <v>1890</v>
      </c>
      <c r="AF366" t="s">
        <v>2640</v>
      </c>
    </row>
    <row r="367" spans="27:32">
      <c r="AA367" t="s">
        <v>1873</v>
      </c>
      <c r="AB367" t="s">
        <v>1884</v>
      </c>
      <c r="AC367" t="s">
        <v>1891</v>
      </c>
      <c r="AD367" t="s">
        <v>1203</v>
      </c>
      <c r="AE367" t="s">
        <v>1892</v>
      </c>
      <c r="AF367" t="s">
        <v>2641</v>
      </c>
    </row>
    <row r="368" spans="27:32">
      <c r="AA368" t="s">
        <v>1873</v>
      </c>
      <c r="AB368" t="s">
        <v>1884</v>
      </c>
      <c r="AC368" t="s">
        <v>1893</v>
      </c>
      <c r="AD368" t="s">
        <v>1203</v>
      </c>
      <c r="AE368" t="s">
        <v>1894</v>
      </c>
      <c r="AF368" t="s">
        <v>2642</v>
      </c>
    </row>
    <row r="369" spans="27:32">
      <c r="AA369" t="s">
        <v>1873</v>
      </c>
      <c r="AB369" t="s">
        <v>1884</v>
      </c>
      <c r="AC369" t="s">
        <v>1895</v>
      </c>
      <c r="AD369" t="s">
        <v>1203</v>
      </c>
      <c r="AE369" t="s">
        <v>1896</v>
      </c>
      <c r="AF369" t="s">
        <v>2643</v>
      </c>
    </row>
    <row r="370" spans="27:32">
      <c r="AA370" t="s">
        <v>1873</v>
      </c>
      <c r="AB370" t="s">
        <v>1884</v>
      </c>
      <c r="AC370" t="s">
        <v>1897</v>
      </c>
      <c r="AD370" t="s">
        <v>1203</v>
      </c>
      <c r="AE370" t="s">
        <v>1898</v>
      </c>
      <c r="AF370" t="s">
        <v>2644</v>
      </c>
    </row>
    <row r="371" spans="27:32">
      <c r="AA371" t="s">
        <v>1873</v>
      </c>
      <c r="AB371" t="s">
        <v>1884</v>
      </c>
      <c r="AC371" t="s">
        <v>1899</v>
      </c>
      <c r="AD371" t="s">
        <v>1203</v>
      </c>
      <c r="AE371" t="s">
        <v>1900</v>
      </c>
      <c r="AF371" t="s">
        <v>2645</v>
      </c>
    </row>
    <row r="372" spans="27:32">
      <c r="AA372" t="s">
        <v>1873</v>
      </c>
      <c r="AB372" t="s">
        <v>1884</v>
      </c>
      <c r="AC372" t="s">
        <v>1901</v>
      </c>
      <c r="AD372" t="s">
        <v>1203</v>
      </c>
      <c r="AE372" t="s">
        <v>1902</v>
      </c>
      <c r="AF372" t="s">
        <v>2646</v>
      </c>
    </row>
    <row r="373" spans="27:32">
      <c r="AA373" t="s">
        <v>1873</v>
      </c>
      <c r="AB373" t="s">
        <v>1884</v>
      </c>
      <c r="AC373" t="s">
        <v>1903</v>
      </c>
      <c r="AD373" t="s">
        <v>1203</v>
      </c>
      <c r="AE373" t="s">
        <v>1904</v>
      </c>
      <c r="AF373" t="s">
        <v>2647</v>
      </c>
    </row>
    <row r="374" spans="27:32">
      <c r="AA374" t="s">
        <v>1873</v>
      </c>
      <c r="AB374" t="s">
        <v>1884</v>
      </c>
      <c r="AC374" t="s">
        <v>1905</v>
      </c>
      <c r="AD374" t="s">
        <v>1203</v>
      </c>
      <c r="AE374" t="s">
        <v>1906</v>
      </c>
      <c r="AF374" t="s">
        <v>2648</v>
      </c>
    </row>
    <row r="375" spans="27:32">
      <c r="AA375" t="s">
        <v>1873</v>
      </c>
      <c r="AB375" t="s">
        <v>1884</v>
      </c>
      <c r="AC375" t="s">
        <v>1907</v>
      </c>
      <c r="AD375" t="s">
        <v>1203</v>
      </c>
      <c r="AE375" t="s">
        <v>1908</v>
      </c>
      <c r="AF375" t="s">
        <v>2649</v>
      </c>
    </row>
    <row r="376" spans="27:32">
      <c r="AA376" t="s">
        <v>1873</v>
      </c>
      <c r="AB376" t="s">
        <v>1884</v>
      </c>
      <c r="AC376" t="s">
        <v>1909</v>
      </c>
      <c r="AD376" t="s">
        <v>1203</v>
      </c>
      <c r="AE376" t="s">
        <v>1910</v>
      </c>
      <c r="AF376" t="s">
        <v>2650</v>
      </c>
    </row>
    <row r="377" spans="27:32">
      <c r="AA377" t="s">
        <v>1873</v>
      </c>
      <c r="AB377" t="s">
        <v>1884</v>
      </c>
      <c r="AC377" t="s">
        <v>1911</v>
      </c>
      <c r="AD377" t="s">
        <v>1203</v>
      </c>
      <c r="AE377" t="s">
        <v>1912</v>
      </c>
      <c r="AF377" t="s">
        <v>2651</v>
      </c>
    </row>
    <row r="378" spans="27:32">
      <c r="AA378" t="s">
        <v>1873</v>
      </c>
      <c r="AB378" t="s">
        <v>1884</v>
      </c>
      <c r="AC378" t="s">
        <v>1913</v>
      </c>
      <c r="AD378" t="s">
        <v>1203</v>
      </c>
      <c r="AE378" t="s">
        <v>1914</v>
      </c>
      <c r="AF378" t="s">
        <v>2652</v>
      </c>
    </row>
    <row r="379" spans="27:32">
      <c r="AA379" t="s">
        <v>1873</v>
      </c>
      <c r="AB379" t="s">
        <v>1884</v>
      </c>
      <c r="AC379" t="s">
        <v>1915</v>
      </c>
      <c r="AD379" t="s">
        <v>1203</v>
      </c>
      <c r="AE379" t="s">
        <v>1916</v>
      </c>
      <c r="AF379" t="s">
        <v>2653</v>
      </c>
    </row>
    <row r="380" spans="27:32">
      <c r="AA380" t="s">
        <v>1873</v>
      </c>
      <c r="AB380" t="s">
        <v>1884</v>
      </c>
      <c r="AC380" t="s">
        <v>1917</v>
      </c>
      <c r="AD380" t="s">
        <v>1203</v>
      </c>
      <c r="AE380" t="s">
        <v>1918</v>
      </c>
      <c r="AF380" t="s">
        <v>2654</v>
      </c>
    </row>
    <row r="381" spans="27:32">
      <c r="AA381" t="s">
        <v>1873</v>
      </c>
      <c r="AB381" t="s">
        <v>1884</v>
      </c>
      <c r="AC381" t="s">
        <v>1919</v>
      </c>
      <c r="AD381" t="s">
        <v>1203</v>
      </c>
      <c r="AE381" t="s">
        <v>1920</v>
      </c>
      <c r="AF381" t="s">
        <v>2655</v>
      </c>
    </row>
    <row r="382" spans="27:32">
      <c r="AA382" t="s">
        <v>1873</v>
      </c>
      <c r="AB382" t="s">
        <v>1884</v>
      </c>
      <c r="AC382" t="s">
        <v>1921</v>
      </c>
      <c r="AD382" t="s">
        <v>1203</v>
      </c>
      <c r="AE382" t="s">
        <v>1922</v>
      </c>
      <c r="AF382" t="s">
        <v>2656</v>
      </c>
    </row>
    <row r="383" spans="27:32">
      <c r="AA383" t="s">
        <v>1873</v>
      </c>
      <c r="AB383" t="s">
        <v>1884</v>
      </c>
      <c r="AC383" t="s">
        <v>1923</v>
      </c>
      <c r="AD383" t="s">
        <v>1203</v>
      </c>
      <c r="AE383" t="s">
        <v>1924</v>
      </c>
      <c r="AF383" t="s">
        <v>2657</v>
      </c>
    </row>
    <row r="384" spans="27:32">
      <c r="AA384" t="s">
        <v>1873</v>
      </c>
      <c r="AB384" t="s">
        <v>1884</v>
      </c>
      <c r="AC384" t="s">
        <v>1925</v>
      </c>
      <c r="AD384" t="s">
        <v>1203</v>
      </c>
      <c r="AE384" t="s">
        <v>1926</v>
      </c>
      <c r="AF384" t="s">
        <v>2658</v>
      </c>
    </row>
    <row r="385" spans="27:32">
      <c r="AA385" t="s">
        <v>1873</v>
      </c>
      <c r="AB385" t="s">
        <v>1884</v>
      </c>
      <c r="AC385" t="s">
        <v>1927</v>
      </c>
      <c r="AD385" t="s">
        <v>1203</v>
      </c>
      <c r="AE385" t="s">
        <v>1928</v>
      </c>
      <c r="AF385" t="s">
        <v>2659</v>
      </c>
    </row>
    <row r="386" spans="27:32">
      <c r="AA386" t="s">
        <v>1873</v>
      </c>
      <c r="AB386" t="s">
        <v>1884</v>
      </c>
      <c r="AC386" t="s">
        <v>1929</v>
      </c>
      <c r="AD386" t="s">
        <v>1203</v>
      </c>
      <c r="AE386" t="s">
        <v>1930</v>
      </c>
      <c r="AF386" t="s">
        <v>2660</v>
      </c>
    </row>
    <row r="387" spans="27:32">
      <c r="AA387" t="s">
        <v>1873</v>
      </c>
      <c r="AB387" t="s">
        <v>1884</v>
      </c>
      <c r="AC387" t="s">
        <v>1639</v>
      </c>
      <c r="AD387" t="s">
        <v>1203</v>
      </c>
      <c r="AE387" t="s">
        <v>1931</v>
      </c>
      <c r="AF387" t="s">
        <v>2661</v>
      </c>
    </row>
    <row r="388" spans="27:32">
      <c r="AA388" t="s">
        <v>1873</v>
      </c>
      <c r="AB388" t="s">
        <v>1884</v>
      </c>
      <c r="AC388" t="s">
        <v>1641</v>
      </c>
      <c r="AD388" t="s">
        <v>1203</v>
      </c>
      <c r="AE388" t="s">
        <v>1932</v>
      </c>
      <c r="AF388" t="s">
        <v>2662</v>
      </c>
    </row>
    <row r="389" spans="27:32">
      <c r="AA389" t="s">
        <v>1873</v>
      </c>
      <c r="AB389" t="s">
        <v>1884</v>
      </c>
      <c r="AC389" t="s">
        <v>1643</v>
      </c>
      <c r="AD389" t="s">
        <v>1203</v>
      </c>
      <c r="AE389" t="s">
        <v>1933</v>
      </c>
      <c r="AF389" t="s">
        <v>2663</v>
      </c>
    </row>
    <row r="390" spans="27:32">
      <c r="AA390" t="s">
        <v>1873</v>
      </c>
      <c r="AB390" t="s">
        <v>1884</v>
      </c>
      <c r="AC390" t="s">
        <v>1645</v>
      </c>
      <c r="AD390" t="s">
        <v>1203</v>
      </c>
      <c r="AE390" t="s">
        <v>1934</v>
      </c>
      <c r="AF390" t="s">
        <v>2664</v>
      </c>
    </row>
    <row r="391" spans="27:32">
      <c r="AA391" t="s">
        <v>1873</v>
      </c>
      <c r="AB391" t="s">
        <v>1884</v>
      </c>
      <c r="AC391" t="s">
        <v>1647</v>
      </c>
      <c r="AD391" t="s">
        <v>1203</v>
      </c>
      <c r="AE391" t="s">
        <v>1935</v>
      </c>
      <c r="AF391" t="s">
        <v>2665</v>
      </c>
    </row>
    <row r="392" spans="27:32">
      <c r="AA392" t="s">
        <v>1873</v>
      </c>
      <c r="AB392" t="s">
        <v>1884</v>
      </c>
      <c r="AC392" t="s">
        <v>1649</v>
      </c>
      <c r="AD392" t="s">
        <v>1203</v>
      </c>
      <c r="AE392" t="s">
        <v>1936</v>
      </c>
      <c r="AF392" t="s">
        <v>2666</v>
      </c>
    </row>
    <row r="393" spans="27:32">
      <c r="AA393" t="s">
        <v>1873</v>
      </c>
      <c r="AB393" t="s">
        <v>1884</v>
      </c>
      <c r="AC393" t="s">
        <v>1937</v>
      </c>
      <c r="AD393" t="s">
        <v>1203</v>
      </c>
      <c r="AE393" t="s">
        <v>1938</v>
      </c>
      <c r="AF393" t="s">
        <v>2667</v>
      </c>
    </row>
    <row r="394" spans="27:32">
      <c r="AA394" t="s">
        <v>1873</v>
      </c>
      <c r="AB394" t="s">
        <v>1884</v>
      </c>
      <c r="AC394" t="s">
        <v>1939</v>
      </c>
      <c r="AD394" t="s">
        <v>1203</v>
      </c>
      <c r="AE394" t="s">
        <v>1940</v>
      </c>
      <c r="AF394" t="s">
        <v>2668</v>
      </c>
    </row>
    <row r="395" spans="27:32">
      <c r="AA395" t="s">
        <v>1873</v>
      </c>
      <c r="AB395" t="s">
        <v>1884</v>
      </c>
      <c r="AC395" t="s">
        <v>1941</v>
      </c>
      <c r="AD395" t="s">
        <v>1203</v>
      </c>
      <c r="AE395" t="s">
        <v>1942</v>
      </c>
      <c r="AF395" t="s">
        <v>2669</v>
      </c>
    </row>
    <row r="396" spans="27:32">
      <c r="AA396" t="s">
        <v>1873</v>
      </c>
      <c r="AB396" t="s">
        <v>1884</v>
      </c>
      <c r="AC396" t="s">
        <v>1943</v>
      </c>
      <c r="AD396" t="s">
        <v>1203</v>
      </c>
      <c r="AE396" t="s">
        <v>1944</v>
      </c>
      <c r="AF396" t="s">
        <v>2670</v>
      </c>
    </row>
    <row r="397" spans="27:32">
      <c r="AA397" t="s">
        <v>1873</v>
      </c>
      <c r="AB397" t="s">
        <v>1945</v>
      </c>
      <c r="AC397" t="s">
        <v>1885</v>
      </c>
      <c r="AD397" t="s">
        <v>1203</v>
      </c>
      <c r="AE397" t="s">
        <v>1946</v>
      </c>
      <c r="AF397" t="s">
        <v>2671</v>
      </c>
    </row>
    <row r="398" spans="27:32">
      <c r="AA398" t="s">
        <v>1873</v>
      </c>
      <c r="AB398" t="s">
        <v>1945</v>
      </c>
      <c r="AC398" t="s">
        <v>1887</v>
      </c>
      <c r="AD398" t="s">
        <v>1203</v>
      </c>
      <c r="AE398" t="s">
        <v>1947</v>
      </c>
      <c r="AF398" t="s">
        <v>2672</v>
      </c>
    </row>
    <row r="399" spans="27:32">
      <c r="AA399" t="s">
        <v>1873</v>
      </c>
      <c r="AB399" t="s">
        <v>1945</v>
      </c>
      <c r="AC399" t="s">
        <v>1889</v>
      </c>
      <c r="AD399" t="s">
        <v>1203</v>
      </c>
      <c r="AE399" t="s">
        <v>1948</v>
      </c>
      <c r="AF399" t="s">
        <v>2673</v>
      </c>
    </row>
    <row r="400" spans="27:32">
      <c r="AA400" t="s">
        <v>1873</v>
      </c>
      <c r="AB400" t="s">
        <v>1945</v>
      </c>
      <c r="AC400" t="s">
        <v>1891</v>
      </c>
      <c r="AD400" t="s">
        <v>1203</v>
      </c>
      <c r="AE400" t="s">
        <v>1949</v>
      </c>
      <c r="AF400" t="s">
        <v>2674</v>
      </c>
    </row>
    <row r="401" spans="27:32">
      <c r="AA401" t="s">
        <v>1873</v>
      </c>
      <c r="AB401" t="s">
        <v>1945</v>
      </c>
      <c r="AC401" t="s">
        <v>1893</v>
      </c>
      <c r="AD401" t="s">
        <v>1203</v>
      </c>
      <c r="AE401" t="s">
        <v>1950</v>
      </c>
      <c r="AF401" t="s">
        <v>2675</v>
      </c>
    </row>
    <row r="402" spans="27:32">
      <c r="AA402" t="s">
        <v>1873</v>
      </c>
      <c r="AB402" t="s">
        <v>1945</v>
      </c>
      <c r="AC402" t="s">
        <v>1895</v>
      </c>
      <c r="AD402" t="s">
        <v>1203</v>
      </c>
      <c r="AE402" t="s">
        <v>1951</v>
      </c>
      <c r="AF402" t="s">
        <v>2676</v>
      </c>
    </row>
    <row r="403" spans="27:32">
      <c r="AA403" t="s">
        <v>1873</v>
      </c>
      <c r="AB403" t="s">
        <v>1945</v>
      </c>
      <c r="AC403" t="s">
        <v>1897</v>
      </c>
      <c r="AD403" t="s">
        <v>1203</v>
      </c>
      <c r="AE403" t="s">
        <v>1952</v>
      </c>
      <c r="AF403" t="s">
        <v>2677</v>
      </c>
    </row>
    <row r="404" spans="27:32">
      <c r="AA404" t="s">
        <v>1873</v>
      </c>
      <c r="AB404" t="s">
        <v>1945</v>
      </c>
      <c r="AC404" t="s">
        <v>1899</v>
      </c>
      <c r="AD404" t="s">
        <v>1203</v>
      </c>
      <c r="AE404" t="s">
        <v>1953</v>
      </c>
      <c r="AF404" t="s">
        <v>2678</v>
      </c>
    </row>
    <row r="405" spans="27:32">
      <c r="AA405" t="s">
        <v>1873</v>
      </c>
      <c r="AB405" t="s">
        <v>1945</v>
      </c>
      <c r="AC405" t="s">
        <v>1901</v>
      </c>
      <c r="AD405" t="s">
        <v>1203</v>
      </c>
      <c r="AE405" t="s">
        <v>1954</v>
      </c>
      <c r="AF405" t="s">
        <v>2679</v>
      </c>
    </row>
    <row r="406" spans="27:32">
      <c r="AA406" t="s">
        <v>1873</v>
      </c>
      <c r="AB406" t="s">
        <v>1945</v>
      </c>
      <c r="AC406" t="s">
        <v>1903</v>
      </c>
      <c r="AD406" t="s">
        <v>1203</v>
      </c>
      <c r="AE406" t="s">
        <v>1955</v>
      </c>
      <c r="AF406" t="s">
        <v>2680</v>
      </c>
    </row>
    <row r="407" spans="27:32">
      <c r="AA407" t="s">
        <v>1873</v>
      </c>
      <c r="AB407" t="s">
        <v>1945</v>
      </c>
      <c r="AC407" t="s">
        <v>1905</v>
      </c>
      <c r="AD407" t="s">
        <v>1203</v>
      </c>
      <c r="AE407" t="s">
        <v>1956</v>
      </c>
      <c r="AF407" t="s">
        <v>2681</v>
      </c>
    </row>
    <row r="408" spans="27:32">
      <c r="AA408" t="s">
        <v>1873</v>
      </c>
      <c r="AB408" t="s">
        <v>1945</v>
      </c>
      <c r="AC408" t="s">
        <v>1907</v>
      </c>
      <c r="AD408" t="s">
        <v>1203</v>
      </c>
      <c r="AE408" t="s">
        <v>1957</v>
      </c>
      <c r="AF408" t="s">
        <v>2682</v>
      </c>
    </row>
    <row r="409" spans="27:32">
      <c r="AA409" t="s">
        <v>1873</v>
      </c>
      <c r="AB409" t="s">
        <v>1945</v>
      </c>
      <c r="AC409" t="s">
        <v>1909</v>
      </c>
      <c r="AD409" t="s">
        <v>1203</v>
      </c>
      <c r="AE409" t="s">
        <v>1958</v>
      </c>
      <c r="AF409" t="s">
        <v>2683</v>
      </c>
    </row>
    <row r="410" spans="27:32">
      <c r="AA410" t="s">
        <v>1873</v>
      </c>
      <c r="AB410" t="s">
        <v>1945</v>
      </c>
      <c r="AC410" t="s">
        <v>1911</v>
      </c>
      <c r="AD410" t="s">
        <v>1203</v>
      </c>
      <c r="AE410" t="s">
        <v>1959</v>
      </c>
      <c r="AF410" t="s">
        <v>2684</v>
      </c>
    </row>
    <row r="411" spans="27:32">
      <c r="AA411" t="s">
        <v>1873</v>
      </c>
      <c r="AB411" t="s">
        <v>1945</v>
      </c>
      <c r="AC411" t="s">
        <v>1913</v>
      </c>
      <c r="AD411" t="s">
        <v>1203</v>
      </c>
      <c r="AE411" t="s">
        <v>1960</v>
      </c>
      <c r="AF411" t="s">
        <v>2685</v>
      </c>
    </row>
    <row r="412" spans="27:32">
      <c r="AA412" t="s">
        <v>1873</v>
      </c>
      <c r="AB412" t="s">
        <v>1945</v>
      </c>
      <c r="AC412" t="s">
        <v>1915</v>
      </c>
      <c r="AD412" t="s">
        <v>1203</v>
      </c>
      <c r="AE412" t="s">
        <v>1961</v>
      </c>
      <c r="AF412" t="s">
        <v>2686</v>
      </c>
    </row>
    <row r="413" spans="27:32">
      <c r="AA413" t="s">
        <v>1873</v>
      </c>
      <c r="AB413" t="s">
        <v>1945</v>
      </c>
      <c r="AC413" t="s">
        <v>1917</v>
      </c>
      <c r="AD413" t="s">
        <v>1203</v>
      </c>
      <c r="AE413" t="s">
        <v>1962</v>
      </c>
      <c r="AF413" t="s">
        <v>2687</v>
      </c>
    </row>
    <row r="414" spans="27:32">
      <c r="AA414" t="s">
        <v>1873</v>
      </c>
      <c r="AB414" t="s">
        <v>1945</v>
      </c>
      <c r="AC414" t="s">
        <v>1919</v>
      </c>
      <c r="AD414" t="s">
        <v>1203</v>
      </c>
      <c r="AE414" t="s">
        <v>1963</v>
      </c>
      <c r="AF414" t="s">
        <v>2688</v>
      </c>
    </row>
    <row r="415" spans="27:32">
      <c r="AA415" t="s">
        <v>1873</v>
      </c>
      <c r="AB415" t="s">
        <v>1945</v>
      </c>
      <c r="AC415" t="s">
        <v>1921</v>
      </c>
      <c r="AD415" t="s">
        <v>1203</v>
      </c>
      <c r="AE415" t="s">
        <v>1964</v>
      </c>
      <c r="AF415" t="s">
        <v>2689</v>
      </c>
    </row>
    <row r="416" spans="27:32">
      <c r="AA416" t="s">
        <v>1873</v>
      </c>
      <c r="AB416" t="s">
        <v>1945</v>
      </c>
      <c r="AC416" t="s">
        <v>1923</v>
      </c>
      <c r="AD416" t="s">
        <v>1203</v>
      </c>
      <c r="AE416" t="s">
        <v>1965</v>
      </c>
      <c r="AF416" t="s">
        <v>2690</v>
      </c>
    </row>
    <row r="417" spans="27:32">
      <c r="AA417" t="s">
        <v>1873</v>
      </c>
      <c r="AB417" t="s">
        <v>1945</v>
      </c>
      <c r="AC417" t="s">
        <v>1925</v>
      </c>
      <c r="AD417" t="s">
        <v>1203</v>
      </c>
      <c r="AE417" t="s">
        <v>1966</v>
      </c>
      <c r="AF417" t="s">
        <v>2691</v>
      </c>
    </row>
    <row r="418" spans="27:32">
      <c r="AA418" t="s">
        <v>1873</v>
      </c>
      <c r="AB418" t="s">
        <v>1945</v>
      </c>
      <c r="AC418" t="s">
        <v>1927</v>
      </c>
      <c r="AD418" t="s">
        <v>1203</v>
      </c>
      <c r="AE418" t="s">
        <v>1967</v>
      </c>
      <c r="AF418" t="s">
        <v>2692</v>
      </c>
    </row>
    <row r="419" spans="27:32">
      <c r="AA419" t="s">
        <v>1873</v>
      </c>
      <c r="AB419" t="s">
        <v>1945</v>
      </c>
      <c r="AC419" t="s">
        <v>1929</v>
      </c>
      <c r="AD419" t="s">
        <v>1203</v>
      </c>
      <c r="AE419" t="s">
        <v>1968</v>
      </c>
      <c r="AF419" t="s">
        <v>2693</v>
      </c>
    </row>
    <row r="420" spans="27:32">
      <c r="AA420" t="s">
        <v>1873</v>
      </c>
      <c r="AB420" t="s">
        <v>1945</v>
      </c>
      <c r="AC420" t="s">
        <v>1639</v>
      </c>
      <c r="AD420" t="s">
        <v>1203</v>
      </c>
      <c r="AE420" t="s">
        <v>1969</v>
      </c>
      <c r="AF420" t="s">
        <v>2694</v>
      </c>
    </row>
    <row r="421" spans="27:32">
      <c r="AA421" t="s">
        <v>1873</v>
      </c>
      <c r="AB421" t="s">
        <v>1945</v>
      </c>
      <c r="AC421" t="s">
        <v>1641</v>
      </c>
      <c r="AD421" t="s">
        <v>1203</v>
      </c>
      <c r="AE421" t="s">
        <v>1970</v>
      </c>
      <c r="AF421" t="s">
        <v>2695</v>
      </c>
    </row>
    <row r="422" spans="27:32">
      <c r="AA422" t="s">
        <v>1873</v>
      </c>
      <c r="AB422" t="s">
        <v>1945</v>
      </c>
      <c r="AC422" t="s">
        <v>1643</v>
      </c>
      <c r="AD422" t="s">
        <v>1203</v>
      </c>
      <c r="AE422" t="s">
        <v>1971</v>
      </c>
      <c r="AF422" t="s">
        <v>2696</v>
      </c>
    </row>
    <row r="423" spans="27:32">
      <c r="AA423" t="s">
        <v>1873</v>
      </c>
      <c r="AB423" t="s">
        <v>1945</v>
      </c>
      <c r="AC423" t="s">
        <v>1645</v>
      </c>
      <c r="AD423" t="s">
        <v>1203</v>
      </c>
      <c r="AE423" t="s">
        <v>1972</v>
      </c>
      <c r="AF423" t="s">
        <v>2697</v>
      </c>
    </row>
    <row r="424" spans="27:32">
      <c r="AA424" t="s">
        <v>1873</v>
      </c>
      <c r="AB424" t="s">
        <v>1945</v>
      </c>
      <c r="AC424" t="s">
        <v>1647</v>
      </c>
      <c r="AD424" t="s">
        <v>1203</v>
      </c>
      <c r="AE424" t="s">
        <v>1973</v>
      </c>
      <c r="AF424" t="s">
        <v>2698</v>
      </c>
    </row>
    <row r="425" spans="27:32">
      <c r="AA425" t="s">
        <v>1873</v>
      </c>
      <c r="AB425" t="s">
        <v>1945</v>
      </c>
      <c r="AC425" t="s">
        <v>1649</v>
      </c>
      <c r="AD425" t="s">
        <v>1203</v>
      </c>
      <c r="AE425" t="s">
        <v>1974</v>
      </c>
      <c r="AF425" t="s">
        <v>2699</v>
      </c>
    </row>
    <row r="426" spans="27:32">
      <c r="AA426" t="s">
        <v>1873</v>
      </c>
      <c r="AB426" t="s">
        <v>1945</v>
      </c>
      <c r="AC426" t="s">
        <v>1937</v>
      </c>
      <c r="AD426" t="s">
        <v>1203</v>
      </c>
      <c r="AE426" t="s">
        <v>1975</v>
      </c>
      <c r="AF426" t="s">
        <v>2700</v>
      </c>
    </row>
    <row r="427" spans="27:32">
      <c r="AA427" t="s">
        <v>1873</v>
      </c>
      <c r="AB427" t="s">
        <v>1945</v>
      </c>
      <c r="AC427" t="s">
        <v>1939</v>
      </c>
      <c r="AD427" t="s">
        <v>1203</v>
      </c>
      <c r="AE427" t="s">
        <v>1976</v>
      </c>
      <c r="AF427" t="s">
        <v>2701</v>
      </c>
    </row>
    <row r="428" spans="27:32">
      <c r="AA428" t="s">
        <v>1873</v>
      </c>
      <c r="AB428" t="s">
        <v>1945</v>
      </c>
      <c r="AC428" t="s">
        <v>1941</v>
      </c>
      <c r="AD428" t="s">
        <v>1203</v>
      </c>
      <c r="AE428" t="s">
        <v>1977</v>
      </c>
      <c r="AF428" t="s">
        <v>2702</v>
      </c>
    </row>
    <row r="429" spans="27:32">
      <c r="AA429" t="s">
        <v>1873</v>
      </c>
      <c r="AB429" t="s">
        <v>1945</v>
      </c>
      <c r="AC429" t="s">
        <v>1943</v>
      </c>
      <c r="AD429" t="s">
        <v>1203</v>
      </c>
      <c r="AE429" t="s">
        <v>1978</v>
      </c>
      <c r="AF429" t="s">
        <v>2703</v>
      </c>
    </row>
    <row r="430" spans="27:32">
      <c r="AA430" t="s">
        <v>1873</v>
      </c>
      <c r="AB430" t="s">
        <v>1979</v>
      </c>
      <c r="AC430" t="s">
        <v>1654</v>
      </c>
      <c r="AD430" t="s">
        <v>1442</v>
      </c>
      <c r="AE430" t="s">
        <v>1980</v>
      </c>
      <c r="AF430" t="s">
        <v>2704</v>
      </c>
    </row>
    <row r="431" spans="27:32">
      <c r="AA431" t="s">
        <v>1873</v>
      </c>
      <c r="AB431" t="s">
        <v>1979</v>
      </c>
      <c r="AC431" t="s">
        <v>1657</v>
      </c>
      <c r="AD431" t="s">
        <v>1442</v>
      </c>
      <c r="AE431" t="s">
        <v>1981</v>
      </c>
      <c r="AF431" t="s">
        <v>2705</v>
      </c>
    </row>
    <row r="432" spans="27:32">
      <c r="AA432" t="s">
        <v>1873</v>
      </c>
      <c r="AB432" t="s">
        <v>1979</v>
      </c>
      <c r="AC432" t="s">
        <v>1659</v>
      </c>
      <c r="AD432" t="s">
        <v>1442</v>
      </c>
      <c r="AE432" t="s">
        <v>1982</v>
      </c>
      <c r="AF432" t="s">
        <v>2706</v>
      </c>
    </row>
    <row r="433" spans="27:32">
      <c r="AA433" t="s">
        <v>1873</v>
      </c>
      <c r="AB433" t="s">
        <v>1979</v>
      </c>
      <c r="AC433" t="s">
        <v>1661</v>
      </c>
      <c r="AD433" t="s">
        <v>1442</v>
      </c>
      <c r="AE433" t="s">
        <v>1983</v>
      </c>
      <c r="AF433" t="s">
        <v>2707</v>
      </c>
    </row>
    <row r="434" spans="27:32">
      <c r="AA434" t="s">
        <v>1873</v>
      </c>
      <c r="AB434" t="s">
        <v>1979</v>
      </c>
      <c r="AC434" t="s">
        <v>1663</v>
      </c>
      <c r="AD434" t="s">
        <v>1442</v>
      </c>
      <c r="AE434" t="s">
        <v>1984</v>
      </c>
      <c r="AF434" t="s">
        <v>2708</v>
      </c>
    </row>
    <row r="435" spans="27:32">
      <c r="AA435" t="s">
        <v>1873</v>
      </c>
      <c r="AB435" t="s">
        <v>1979</v>
      </c>
      <c r="AC435" t="s">
        <v>1666</v>
      </c>
      <c r="AD435" t="s">
        <v>1442</v>
      </c>
      <c r="AE435" t="s">
        <v>1985</v>
      </c>
      <c r="AF435" t="s">
        <v>2709</v>
      </c>
    </row>
    <row r="436" spans="27:32">
      <c r="AA436" t="s">
        <v>1873</v>
      </c>
      <c r="AB436" t="s">
        <v>1979</v>
      </c>
      <c r="AC436" t="s">
        <v>1668</v>
      </c>
      <c r="AD436" t="s">
        <v>1442</v>
      </c>
      <c r="AE436" t="s">
        <v>1986</v>
      </c>
      <c r="AF436" t="s">
        <v>2710</v>
      </c>
    </row>
    <row r="437" spans="27:32">
      <c r="AA437" t="s">
        <v>1873</v>
      </c>
      <c r="AB437" t="s">
        <v>1979</v>
      </c>
      <c r="AC437" t="s">
        <v>1987</v>
      </c>
      <c r="AD437" t="s">
        <v>1442</v>
      </c>
      <c r="AE437" t="s">
        <v>1988</v>
      </c>
      <c r="AF437" t="s">
        <v>2711</v>
      </c>
    </row>
    <row r="438" spans="27:32">
      <c r="AA438" t="s">
        <v>1873</v>
      </c>
      <c r="AB438" t="s">
        <v>1979</v>
      </c>
      <c r="AC438" t="s">
        <v>1989</v>
      </c>
      <c r="AD438" t="s">
        <v>1442</v>
      </c>
      <c r="AE438" t="s">
        <v>1990</v>
      </c>
      <c r="AF438" t="s">
        <v>2712</v>
      </c>
    </row>
    <row r="439" spans="27:32">
      <c r="AA439" t="s">
        <v>1873</v>
      </c>
      <c r="AB439" t="s">
        <v>1979</v>
      </c>
      <c r="AC439" t="s">
        <v>1991</v>
      </c>
      <c r="AD439" t="s">
        <v>1442</v>
      </c>
      <c r="AE439" t="s">
        <v>1992</v>
      </c>
      <c r="AF439" t="s">
        <v>2713</v>
      </c>
    </row>
    <row r="440" spans="27:32">
      <c r="AA440" t="s">
        <v>1873</v>
      </c>
      <c r="AB440" t="s">
        <v>1979</v>
      </c>
      <c r="AC440" t="s">
        <v>1993</v>
      </c>
      <c r="AD440" t="s">
        <v>1442</v>
      </c>
      <c r="AE440" t="s">
        <v>1994</v>
      </c>
      <c r="AF440" t="s">
        <v>2714</v>
      </c>
    </row>
    <row r="441" spans="27:32">
      <c r="AA441" t="s">
        <v>1873</v>
      </c>
      <c r="AB441" t="s">
        <v>1979</v>
      </c>
      <c r="AC441" t="s">
        <v>1995</v>
      </c>
      <c r="AD441" t="s">
        <v>1442</v>
      </c>
      <c r="AE441" t="s">
        <v>1996</v>
      </c>
      <c r="AF441" t="s">
        <v>2715</v>
      </c>
    </row>
    <row r="442" spans="27:32">
      <c r="AA442" t="s">
        <v>1873</v>
      </c>
      <c r="AB442" t="s">
        <v>1979</v>
      </c>
      <c r="AC442" t="s">
        <v>1671</v>
      </c>
      <c r="AD442" t="s">
        <v>1997</v>
      </c>
      <c r="AE442" t="s">
        <v>1998</v>
      </c>
      <c r="AF442" t="s">
        <v>2716</v>
      </c>
    </row>
    <row r="443" spans="27:32">
      <c r="AA443" t="s">
        <v>1873</v>
      </c>
      <c r="AB443" t="s">
        <v>1979</v>
      </c>
      <c r="AC443" t="s">
        <v>1674</v>
      </c>
      <c r="AD443" t="s">
        <v>1997</v>
      </c>
      <c r="AE443" t="s">
        <v>1999</v>
      </c>
      <c r="AF443" t="s">
        <v>2717</v>
      </c>
    </row>
    <row r="444" spans="27:32">
      <c r="AA444" t="s">
        <v>1873</v>
      </c>
      <c r="AB444" t="s">
        <v>1979</v>
      </c>
      <c r="AC444" t="s">
        <v>1676</v>
      </c>
      <c r="AD444" t="s">
        <v>1997</v>
      </c>
      <c r="AE444" t="s">
        <v>2000</v>
      </c>
      <c r="AF444" t="s">
        <v>2718</v>
      </c>
    </row>
    <row r="445" spans="27:32">
      <c r="AA445" t="s">
        <v>1873</v>
      </c>
      <c r="AB445" t="s">
        <v>1979</v>
      </c>
      <c r="AC445" t="s">
        <v>1678</v>
      </c>
      <c r="AD445" t="s">
        <v>2001</v>
      </c>
      <c r="AE445" t="s">
        <v>2002</v>
      </c>
      <c r="AF445" t="s">
        <v>2719</v>
      </c>
    </row>
    <row r="446" spans="27:32">
      <c r="AA446" t="s">
        <v>1873</v>
      </c>
      <c r="AB446" t="s">
        <v>1979</v>
      </c>
      <c r="AC446" t="s">
        <v>1681</v>
      </c>
      <c r="AD446" t="s">
        <v>2001</v>
      </c>
      <c r="AE446" t="s">
        <v>2003</v>
      </c>
      <c r="AF446" t="s">
        <v>2720</v>
      </c>
    </row>
    <row r="447" spans="27:32">
      <c r="AA447" t="s">
        <v>1873</v>
      </c>
      <c r="AB447" t="s">
        <v>1979</v>
      </c>
      <c r="AC447" t="s">
        <v>1683</v>
      </c>
      <c r="AD447" t="s">
        <v>1414</v>
      </c>
      <c r="AE447" t="s">
        <v>2004</v>
      </c>
      <c r="AF447" t="s">
        <v>2721</v>
      </c>
    </row>
    <row r="448" spans="27:32">
      <c r="AA448" t="s">
        <v>1873</v>
      </c>
      <c r="AB448" t="s">
        <v>1979</v>
      </c>
      <c r="AC448" t="s">
        <v>2005</v>
      </c>
      <c r="AD448" t="s">
        <v>1414</v>
      </c>
      <c r="AE448" t="s">
        <v>2006</v>
      </c>
      <c r="AF448" t="s">
        <v>2722</v>
      </c>
    </row>
    <row r="449" spans="27:32">
      <c r="AA449" t="s">
        <v>1873</v>
      </c>
      <c r="AB449" t="s">
        <v>1979</v>
      </c>
      <c r="AC449" t="s">
        <v>2007</v>
      </c>
      <c r="AD449" t="s">
        <v>1414</v>
      </c>
      <c r="AE449" t="s">
        <v>2008</v>
      </c>
      <c r="AF449" t="s">
        <v>2723</v>
      </c>
    </row>
    <row r="450" spans="27:32">
      <c r="AA450" t="s">
        <v>1873</v>
      </c>
      <c r="AB450" t="s">
        <v>1979</v>
      </c>
      <c r="AC450" t="s">
        <v>2009</v>
      </c>
      <c r="AD450" t="s">
        <v>1414</v>
      </c>
      <c r="AE450" t="s">
        <v>2010</v>
      </c>
      <c r="AF450" t="s">
        <v>2724</v>
      </c>
    </row>
    <row r="451" spans="27:32">
      <c r="AA451" t="s">
        <v>1873</v>
      </c>
      <c r="AB451" t="s">
        <v>1979</v>
      </c>
      <c r="AC451" t="s">
        <v>2011</v>
      </c>
      <c r="AD451" t="s">
        <v>1414</v>
      </c>
      <c r="AE451" t="s">
        <v>2012</v>
      </c>
      <c r="AF451" t="s">
        <v>2725</v>
      </c>
    </row>
    <row r="452" spans="27:32">
      <c r="AA452" t="s">
        <v>1873</v>
      </c>
      <c r="AB452" t="s">
        <v>1979</v>
      </c>
      <c r="AC452" t="s">
        <v>2013</v>
      </c>
      <c r="AD452" t="s">
        <v>1414</v>
      </c>
      <c r="AE452" t="s">
        <v>2014</v>
      </c>
      <c r="AF452" t="s">
        <v>2726</v>
      </c>
    </row>
    <row r="453" spans="27:32">
      <c r="AA453" t="s">
        <v>1873</v>
      </c>
      <c r="AB453" t="s">
        <v>1979</v>
      </c>
      <c r="AC453" t="s">
        <v>1686</v>
      </c>
      <c r="AD453" t="s">
        <v>2015</v>
      </c>
      <c r="AE453" t="s">
        <v>2016</v>
      </c>
      <c r="AF453" t="s">
        <v>2727</v>
      </c>
    </row>
    <row r="454" spans="27:32">
      <c r="AA454" t="s">
        <v>1873</v>
      </c>
      <c r="AB454" t="s">
        <v>1979</v>
      </c>
      <c r="AC454" t="s">
        <v>1688</v>
      </c>
      <c r="AD454" t="s">
        <v>2015</v>
      </c>
      <c r="AE454" t="s">
        <v>2017</v>
      </c>
      <c r="AF454" t="s">
        <v>2728</v>
      </c>
    </row>
    <row r="455" spans="27:32">
      <c r="AA455" t="s">
        <v>1873</v>
      </c>
      <c r="AB455" t="s">
        <v>1979</v>
      </c>
      <c r="AC455" t="s">
        <v>1690</v>
      </c>
      <c r="AD455" t="s">
        <v>2015</v>
      </c>
      <c r="AE455" t="s">
        <v>2018</v>
      </c>
      <c r="AF455" t="s">
        <v>2729</v>
      </c>
    </row>
    <row r="456" spans="27:32">
      <c r="AA456" t="s">
        <v>1873</v>
      </c>
      <c r="AB456" t="s">
        <v>1979</v>
      </c>
      <c r="AC456" t="s">
        <v>1692</v>
      </c>
      <c r="AD456" t="s">
        <v>2015</v>
      </c>
      <c r="AE456" t="s">
        <v>2019</v>
      </c>
      <c r="AF456" t="s">
        <v>2730</v>
      </c>
    </row>
    <row r="457" spans="27:32">
      <c r="AA457" t="s">
        <v>1873</v>
      </c>
      <c r="AB457" t="s">
        <v>1979</v>
      </c>
      <c r="AC457" t="s">
        <v>1694</v>
      </c>
      <c r="AD457" t="s">
        <v>2015</v>
      </c>
      <c r="AE457" t="s">
        <v>2020</v>
      </c>
      <c r="AF457" t="s">
        <v>2731</v>
      </c>
    </row>
    <row r="458" spans="27:32">
      <c r="AA458" t="s">
        <v>1873</v>
      </c>
      <c r="AB458" t="s">
        <v>1979</v>
      </c>
      <c r="AC458" t="s">
        <v>1696</v>
      </c>
      <c r="AD458" t="s">
        <v>2015</v>
      </c>
      <c r="AE458" t="s">
        <v>2021</v>
      </c>
      <c r="AF458" t="s">
        <v>2732</v>
      </c>
    </row>
    <row r="459" spans="27:32">
      <c r="AA459" t="s">
        <v>1873</v>
      </c>
      <c r="AB459" t="s">
        <v>1979</v>
      </c>
      <c r="AC459" t="s">
        <v>2022</v>
      </c>
      <c r="AD459" t="s">
        <v>2015</v>
      </c>
      <c r="AE459" t="s">
        <v>2023</v>
      </c>
      <c r="AF459" t="s">
        <v>2733</v>
      </c>
    </row>
    <row r="460" spans="27:32">
      <c r="AA460" t="s">
        <v>1873</v>
      </c>
      <c r="AB460" t="s">
        <v>1979</v>
      </c>
      <c r="AC460" t="s">
        <v>2024</v>
      </c>
      <c r="AD460" t="s">
        <v>2015</v>
      </c>
      <c r="AE460" t="s">
        <v>2025</v>
      </c>
      <c r="AF460" t="s">
        <v>2734</v>
      </c>
    </row>
    <row r="461" spans="27:32">
      <c r="AA461" t="s">
        <v>1873</v>
      </c>
      <c r="AB461" t="s">
        <v>1979</v>
      </c>
      <c r="AC461" t="s">
        <v>2026</v>
      </c>
      <c r="AD461" t="s">
        <v>2015</v>
      </c>
      <c r="AE461" t="s">
        <v>2027</v>
      </c>
      <c r="AF461" t="s">
        <v>2735</v>
      </c>
    </row>
    <row r="462" spans="27:32">
      <c r="AA462" t="s">
        <v>1873</v>
      </c>
      <c r="AB462" t="s">
        <v>1979</v>
      </c>
      <c r="AC462" t="s">
        <v>2028</v>
      </c>
      <c r="AD462" t="s">
        <v>2015</v>
      </c>
      <c r="AE462" t="s">
        <v>2029</v>
      </c>
      <c r="AF462" t="s">
        <v>2736</v>
      </c>
    </row>
    <row r="463" spans="27:32">
      <c r="AA463" t="s">
        <v>1873</v>
      </c>
      <c r="AB463" t="s">
        <v>1979</v>
      </c>
      <c r="AC463" t="s">
        <v>2030</v>
      </c>
      <c r="AD463" t="s">
        <v>2015</v>
      </c>
      <c r="AE463" t="s">
        <v>2031</v>
      </c>
      <c r="AF463" t="s">
        <v>2737</v>
      </c>
    </row>
    <row r="464" spans="27:32">
      <c r="AA464" t="s">
        <v>1873</v>
      </c>
      <c r="AB464" t="s">
        <v>2032</v>
      </c>
      <c r="AC464" t="s">
        <v>1654</v>
      </c>
      <c r="AD464" t="s">
        <v>1531</v>
      </c>
      <c r="AE464" t="s">
        <v>2033</v>
      </c>
      <c r="AF464" t="s">
        <v>2738</v>
      </c>
    </row>
    <row r="465" spans="27:32">
      <c r="AA465" t="s">
        <v>1873</v>
      </c>
      <c r="AB465" t="s">
        <v>2032</v>
      </c>
      <c r="AC465" t="s">
        <v>1657</v>
      </c>
      <c r="AD465" t="s">
        <v>1531</v>
      </c>
      <c r="AE465" t="s">
        <v>2034</v>
      </c>
      <c r="AF465" t="s">
        <v>2739</v>
      </c>
    </row>
    <row r="466" spans="27:32">
      <c r="AA466" t="s">
        <v>1873</v>
      </c>
      <c r="AB466" t="s">
        <v>2032</v>
      </c>
      <c r="AC466" t="s">
        <v>1659</v>
      </c>
      <c r="AD466" t="s">
        <v>1531</v>
      </c>
      <c r="AE466" t="s">
        <v>2035</v>
      </c>
      <c r="AF466" t="s">
        <v>2740</v>
      </c>
    </row>
    <row r="467" spans="27:32">
      <c r="AA467" t="s">
        <v>1873</v>
      </c>
      <c r="AB467" t="s">
        <v>2032</v>
      </c>
      <c r="AC467" t="s">
        <v>1661</v>
      </c>
      <c r="AD467" t="s">
        <v>1531</v>
      </c>
      <c r="AE467" t="s">
        <v>2036</v>
      </c>
      <c r="AF467" t="s">
        <v>2741</v>
      </c>
    </row>
    <row r="468" spans="27:32">
      <c r="AA468" t="s">
        <v>1873</v>
      </c>
      <c r="AB468" t="s">
        <v>2032</v>
      </c>
      <c r="AC468" t="s">
        <v>1663</v>
      </c>
      <c r="AD468" t="s">
        <v>1531</v>
      </c>
      <c r="AE468" t="s">
        <v>2037</v>
      </c>
      <c r="AF468" t="s">
        <v>2742</v>
      </c>
    </row>
    <row r="469" spans="27:32">
      <c r="AA469" t="s">
        <v>1873</v>
      </c>
      <c r="AB469" t="s">
        <v>2032</v>
      </c>
      <c r="AC469" t="s">
        <v>1666</v>
      </c>
      <c r="AD469" t="s">
        <v>1531</v>
      </c>
      <c r="AE469" t="s">
        <v>2038</v>
      </c>
      <c r="AF469" t="s">
        <v>2743</v>
      </c>
    </row>
    <row r="470" spans="27:32">
      <c r="AA470" t="s">
        <v>1873</v>
      </c>
      <c r="AB470" t="s">
        <v>2032</v>
      </c>
      <c r="AC470" t="s">
        <v>1668</v>
      </c>
      <c r="AD470" t="s">
        <v>1531</v>
      </c>
      <c r="AE470" t="s">
        <v>2039</v>
      </c>
      <c r="AF470" t="s">
        <v>2744</v>
      </c>
    </row>
    <row r="471" spans="27:32">
      <c r="AA471" t="s">
        <v>1873</v>
      </c>
      <c r="AB471" t="s">
        <v>2032</v>
      </c>
      <c r="AC471" t="s">
        <v>1987</v>
      </c>
      <c r="AD471" t="s">
        <v>1531</v>
      </c>
      <c r="AE471" t="s">
        <v>2040</v>
      </c>
      <c r="AF471" t="s">
        <v>2745</v>
      </c>
    </row>
    <row r="472" spans="27:32">
      <c r="AA472" t="s">
        <v>1873</v>
      </c>
      <c r="AB472" t="s">
        <v>2032</v>
      </c>
      <c r="AC472" t="s">
        <v>1989</v>
      </c>
      <c r="AD472" t="s">
        <v>1531</v>
      </c>
      <c r="AE472" t="s">
        <v>2041</v>
      </c>
      <c r="AF472" t="s">
        <v>2746</v>
      </c>
    </row>
    <row r="473" spans="27:32">
      <c r="AA473" t="s">
        <v>1873</v>
      </c>
      <c r="AB473" t="s">
        <v>2032</v>
      </c>
      <c r="AC473" t="s">
        <v>1991</v>
      </c>
      <c r="AD473" t="s">
        <v>1531</v>
      </c>
      <c r="AE473" t="s">
        <v>2042</v>
      </c>
      <c r="AF473" t="s">
        <v>2747</v>
      </c>
    </row>
    <row r="474" spans="27:32">
      <c r="AA474" t="s">
        <v>1873</v>
      </c>
      <c r="AB474" t="s">
        <v>2032</v>
      </c>
      <c r="AC474" t="s">
        <v>1993</v>
      </c>
      <c r="AD474" t="s">
        <v>1531</v>
      </c>
      <c r="AE474" t="s">
        <v>2043</v>
      </c>
      <c r="AF474" t="s">
        <v>2748</v>
      </c>
    </row>
    <row r="475" spans="27:32">
      <c r="AA475" t="s">
        <v>1873</v>
      </c>
      <c r="AB475" t="s">
        <v>2032</v>
      </c>
      <c r="AC475" t="s">
        <v>1995</v>
      </c>
      <c r="AD475" t="s">
        <v>1531</v>
      </c>
      <c r="AE475" t="s">
        <v>2044</v>
      </c>
      <c r="AF475" t="s">
        <v>2749</v>
      </c>
    </row>
    <row r="476" spans="27:32">
      <c r="AA476" t="s">
        <v>1873</v>
      </c>
      <c r="AB476" t="s">
        <v>2032</v>
      </c>
      <c r="AC476" t="s">
        <v>1671</v>
      </c>
      <c r="AD476" t="s">
        <v>1521</v>
      </c>
      <c r="AE476" t="s">
        <v>2045</v>
      </c>
      <c r="AF476" t="s">
        <v>2750</v>
      </c>
    </row>
    <row r="477" spans="27:32">
      <c r="AA477" t="s">
        <v>1873</v>
      </c>
      <c r="AB477" t="s">
        <v>2032</v>
      </c>
      <c r="AC477" t="s">
        <v>1674</v>
      </c>
      <c r="AD477" t="s">
        <v>1521</v>
      </c>
      <c r="AE477" t="s">
        <v>2046</v>
      </c>
      <c r="AF477" t="s">
        <v>2751</v>
      </c>
    </row>
    <row r="478" spans="27:32">
      <c r="AA478" t="s">
        <v>1873</v>
      </c>
      <c r="AB478" t="s">
        <v>2032</v>
      </c>
      <c r="AC478" t="s">
        <v>1676</v>
      </c>
      <c r="AD478" t="s">
        <v>1521</v>
      </c>
      <c r="AE478" t="s">
        <v>2047</v>
      </c>
      <c r="AF478" t="s">
        <v>2752</v>
      </c>
    </row>
    <row r="479" spans="27:32">
      <c r="AA479" t="s">
        <v>1873</v>
      </c>
      <c r="AB479" t="s">
        <v>2032</v>
      </c>
      <c r="AC479" t="s">
        <v>1678</v>
      </c>
      <c r="AD479" t="s">
        <v>1521</v>
      </c>
      <c r="AE479" t="s">
        <v>2048</v>
      </c>
      <c r="AF479" t="s">
        <v>2753</v>
      </c>
    </row>
    <row r="480" spans="27:32">
      <c r="AA480" t="s">
        <v>1873</v>
      </c>
      <c r="AB480" t="s">
        <v>2032</v>
      </c>
      <c r="AC480" t="s">
        <v>1681</v>
      </c>
      <c r="AD480" t="s">
        <v>1521</v>
      </c>
      <c r="AE480" t="s">
        <v>2049</v>
      </c>
      <c r="AF480" t="s">
        <v>2754</v>
      </c>
    </row>
    <row r="481" spans="27:32">
      <c r="AA481" t="s">
        <v>1873</v>
      </c>
      <c r="AB481" t="s">
        <v>2032</v>
      </c>
      <c r="AC481" t="s">
        <v>1683</v>
      </c>
      <c r="AD481" t="s">
        <v>1521</v>
      </c>
      <c r="AE481" t="s">
        <v>2050</v>
      </c>
      <c r="AF481" t="s">
        <v>2755</v>
      </c>
    </row>
    <row r="482" spans="27:32">
      <c r="AA482" t="s">
        <v>1873</v>
      </c>
      <c r="AB482" t="s">
        <v>2032</v>
      </c>
      <c r="AC482" t="s">
        <v>2005</v>
      </c>
      <c r="AD482" t="s">
        <v>1521</v>
      </c>
      <c r="AE482" t="s">
        <v>2051</v>
      </c>
      <c r="AF482" t="s">
        <v>2756</v>
      </c>
    </row>
    <row r="483" spans="27:32">
      <c r="AA483" t="s">
        <v>1873</v>
      </c>
      <c r="AB483" t="s">
        <v>2032</v>
      </c>
      <c r="AC483" t="s">
        <v>2007</v>
      </c>
      <c r="AD483" t="s">
        <v>1521</v>
      </c>
      <c r="AE483" t="s">
        <v>2052</v>
      </c>
      <c r="AF483" t="s">
        <v>2757</v>
      </c>
    </row>
    <row r="484" spans="27:32">
      <c r="AA484" t="s">
        <v>1873</v>
      </c>
      <c r="AB484" t="s">
        <v>2032</v>
      </c>
      <c r="AC484" t="s">
        <v>2009</v>
      </c>
      <c r="AD484" t="s">
        <v>1521</v>
      </c>
      <c r="AE484" t="s">
        <v>2053</v>
      </c>
      <c r="AF484" t="s">
        <v>2758</v>
      </c>
    </row>
    <row r="485" spans="27:32">
      <c r="AA485" t="s">
        <v>1873</v>
      </c>
      <c r="AB485" t="s">
        <v>2032</v>
      </c>
      <c r="AC485" t="s">
        <v>2011</v>
      </c>
      <c r="AD485" t="s">
        <v>1521</v>
      </c>
      <c r="AE485" t="s">
        <v>2054</v>
      </c>
      <c r="AF485" t="s">
        <v>2759</v>
      </c>
    </row>
    <row r="486" spans="27:32">
      <c r="AA486" t="s">
        <v>1873</v>
      </c>
      <c r="AB486" t="s">
        <v>2032</v>
      </c>
      <c r="AC486" t="s">
        <v>2013</v>
      </c>
      <c r="AD486" t="s">
        <v>1521</v>
      </c>
      <c r="AE486" t="s">
        <v>2055</v>
      </c>
      <c r="AF486" t="s">
        <v>2760</v>
      </c>
    </row>
    <row r="487" spans="27:32">
      <c r="AA487" t="s">
        <v>1873</v>
      </c>
      <c r="AB487" t="s">
        <v>2032</v>
      </c>
      <c r="AC487" t="s">
        <v>1686</v>
      </c>
      <c r="AD487" t="s">
        <v>1521</v>
      </c>
      <c r="AE487" t="s">
        <v>2056</v>
      </c>
      <c r="AF487" t="s">
        <v>2761</v>
      </c>
    </row>
    <row r="488" spans="27:32">
      <c r="AA488" t="s">
        <v>1873</v>
      </c>
      <c r="AB488" t="s">
        <v>2032</v>
      </c>
      <c r="AC488" t="s">
        <v>1688</v>
      </c>
      <c r="AD488" t="s">
        <v>1521</v>
      </c>
      <c r="AE488" t="s">
        <v>2057</v>
      </c>
      <c r="AF488" t="s">
        <v>2762</v>
      </c>
    </row>
    <row r="489" spans="27:32">
      <c r="AA489" t="s">
        <v>1873</v>
      </c>
      <c r="AB489" t="s">
        <v>2032</v>
      </c>
      <c r="AC489" t="s">
        <v>1690</v>
      </c>
      <c r="AD489" t="s">
        <v>1521</v>
      </c>
      <c r="AE489" t="s">
        <v>2058</v>
      </c>
      <c r="AF489" t="s">
        <v>2763</v>
      </c>
    </row>
    <row r="490" spans="27:32">
      <c r="AA490" t="s">
        <v>1873</v>
      </c>
      <c r="AB490" t="s">
        <v>2032</v>
      </c>
      <c r="AC490" t="s">
        <v>1692</v>
      </c>
      <c r="AD490" t="s">
        <v>1521</v>
      </c>
      <c r="AE490" t="s">
        <v>2059</v>
      </c>
      <c r="AF490" t="s">
        <v>2764</v>
      </c>
    </row>
    <row r="491" spans="27:32">
      <c r="AA491" t="s">
        <v>1873</v>
      </c>
      <c r="AB491" t="s">
        <v>2032</v>
      </c>
      <c r="AC491" t="s">
        <v>1694</v>
      </c>
      <c r="AD491" t="s">
        <v>1521</v>
      </c>
      <c r="AE491" t="s">
        <v>2060</v>
      </c>
      <c r="AF491" t="s">
        <v>2765</v>
      </c>
    </row>
    <row r="492" spans="27:32">
      <c r="AA492" t="s">
        <v>1873</v>
      </c>
      <c r="AB492" t="s">
        <v>2032</v>
      </c>
      <c r="AC492" t="s">
        <v>1696</v>
      </c>
      <c r="AD492" t="s">
        <v>1521</v>
      </c>
      <c r="AE492" t="s">
        <v>2061</v>
      </c>
      <c r="AF492" t="s">
        <v>2766</v>
      </c>
    </row>
    <row r="493" spans="27:32">
      <c r="AA493" t="s">
        <v>1873</v>
      </c>
      <c r="AB493" t="s">
        <v>2032</v>
      </c>
      <c r="AC493" t="s">
        <v>2022</v>
      </c>
      <c r="AD493" t="s">
        <v>1521</v>
      </c>
      <c r="AE493" t="s">
        <v>2062</v>
      </c>
      <c r="AF493" t="s">
        <v>2767</v>
      </c>
    </row>
    <row r="494" spans="27:32">
      <c r="AA494" t="s">
        <v>1873</v>
      </c>
      <c r="AB494" t="s">
        <v>2032</v>
      </c>
      <c r="AC494" t="s">
        <v>2024</v>
      </c>
      <c r="AD494" t="s">
        <v>1521</v>
      </c>
      <c r="AE494" t="s">
        <v>2063</v>
      </c>
      <c r="AF494" t="s">
        <v>2768</v>
      </c>
    </row>
    <row r="495" spans="27:32">
      <c r="AA495" t="s">
        <v>1873</v>
      </c>
      <c r="AB495" t="s">
        <v>2032</v>
      </c>
      <c r="AC495" t="s">
        <v>2026</v>
      </c>
      <c r="AD495" t="s">
        <v>1521</v>
      </c>
      <c r="AE495" t="s">
        <v>2064</v>
      </c>
      <c r="AF495" t="s">
        <v>2769</v>
      </c>
    </row>
    <row r="496" spans="27:32">
      <c r="AA496" t="s">
        <v>1873</v>
      </c>
      <c r="AB496" t="s">
        <v>2032</v>
      </c>
      <c r="AC496" t="s">
        <v>2028</v>
      </c>
      <c r="AD496" t="s">
        <v>1521</v>
      </c>
      <c r="AE496" t="s">
        <v>2065</v>
      </c>
      <c r="AF496" t="s">
        <v>2770</v>
      </c>
    </row>
    <row r="497" spans="27:32">
      <c r="AA497" t="s">
        <v>1873</v>
      </c>
      <c r="AB497" t="s">
        <v>2032</v>
      </c>
      <c r="AC497" t="s">
        <v>2030</v>
      </c>
      <c r="AD497" t="s">
        <v>1521</v>
      </c>
      <c r="AE497" t="s">
        <v>2066</v>
      </c>
      <c r="AF497" t="s">
        <v>2771</v>
      </c>
    </row>
    <row r="498" spans="27:32">
      <c r="AA498" t="s">
        <v>1873</v>
      </c>
      <c r="AB498" t="s">
        <v>2067</v>
      </c>
      <c r="AC498" t="s">
        <v>1654</v>
      </c>
      <c r="AD498" t="s">
        <v>1534</v>
      </c>
      <c r="AE498" t="s">
        <v>2068</v>
      </c>
      <c r="AF498" t="s">
        <v>2772</v>
      </c>
    </row>
    <row r="499" spans="27:32">
      <c r="AA499" t="s">
        <v>1873</v>
      </c>
      <c r="AB499" t="s">
        <v>2067</v>
      </c>
      <c r="AC499" t="s">
        <v>1657</v>
      </c>
      <c r="AD499" t="s">
        <v>1534</v>
      </c>
      <c r="AE499" t="s">
        <v>2069</v>
      </c>
      <c r="AF499" t="s">
        <v>2773</v>
      </c>
    </row>
    <row r="500" spans="27:32">
      <c r="AA500" t="s">
        <v>1873</v>
      </c>
      <c r="AB500" t="s">
        <v>2067</v>
      </c>
      <c r="AC500" t="s">
        <v>1659</v>
      </c>
      <c r="AD500" t="s">
        <v>1534</v>
      </c>
      <c r="AE500" t="s">
        <v>2070</v>
      </c>
      <c r="AF500" t="s">
        <v>2774</v>
      </c>
    </row>
    <row r="501" spans="27:32">
      <c r="AA501" t="s">
        <v>1873</v>
      </c>
      <c r="AB501" t="s">
        <v>2067</v>
      </c>
      <c r="AC501" t="s">
        <v>1661</v>
      </c>
      <c r="AD501" t="s">
        <v>1534</v>
      </c>
      <c r="AE501" t="s">
        <v>2071</v>
      </c>
      <c r="AF501" t="s">
        <v>2775</v>
      </c>
    </row>
    <row r="502" spans="27:32">
      <c r="AA502" t="s">
        <v>1873</v>
      </c>
      <c r="AB502" t="s">
        <v>2067</v>
      </c>
      <c r="AC502" t="s">
        <v>1663</v>
      </c>
      <c r="AD502" t="s">
        <v>1534</v>
      </c>
      <c r="AE502" t="s">
        <v>2072</v>
      </c>
      <c r="AF502" t="s">
        <v>2776</v>
      </c>
    </row>
    <row r="503" spans="27:32">
      <c r="AA503" t="s">
        <v>1873</v>
      </c>
      <c r="AB503" t="s">
        <v>2067</v>
      </c>
      <c r="AC503" t="s">
        <v>1666</v>
      </c>
      <c r="AD503" t="s">
        <v>1534</v>
      </c>
      <c r="AE503" t="s">
        <v>2073</v>
      </c>
      <c r="AF503" t="s">
        <v>2777</v>
      </c>
    </row>
    <row r="504" spans="27:32">
      <c r="AA504" t="s">
        <v>1873</v>
      </c>
      <c r="AB504" t="s">
        <v>2067</v>
      </c>
      <c r="AC504" t="s">
        <v>1668</v>
      </c>
      <c r="AD504" t="s">
        <v>1534</v>
      </c>
      <c r="AE504" t="s">
        <v>2074</v>
      </c>
      <c r="AF504" t="s">
        <v>2778</v>
      </c>
    </row>
    <row r="505" spans="27:32">
      <c r="AA505" t="s">
        <v>1873</v>
      </c>
      <c r="AB505" t="s">
        <v>2067</v>
      </c>
      <c r="AC505" t="s">
        <v>1987</v>
      </c>
      <c r="AD505" t="s">
        <v>1534</v>
      </c>
      <c r="AE505" t="s">
        <v>2075</v>
      </c>
      <c r="AF505" t="s">
        <v>2779</v>
      </c>
    </row>
    <row r="506" spans="27:32">
      <c r="AA506" t="s">
        <v>1873</v>
      </c>
      <c r="AB506" t="s">
        <v>2067</v>
      </c>
      <c r="AC506" t="s">
        <v>1989</v>
      </c>
      <c r="AD506" t="s">
        <v>1534</v>
      </c>
      <c r="AE506" t="s">
        <v>2076</v>
      </c>
      <c r="AF506" t="s">
        <v>2780</v>
      </c>
    </row>
    <row r="507" spans="27:32">
      <c r="AA507" t="s">
        <v>1873</v>
      </c>
      <c r="AB507" t="s">
        <v>2067</v>
      </c>
      <c r="AC507" t="s">
        <v>1991</v>
      </c>
      <c r="AD507" t="s">
        <v>1534</v>
      </c>
      <c r="AE507" t="s">
        <v>2077</v>
      </c>
      <c r="AF507" t="s">
        <v>2781</v>
      </c>
    </row>
    <row r="508" spans="27:32">
      <c r="AA508" t="s">
        <v>1873</v>
      </c>
      <c r="AB508" t="s">
        <v>2067</v>
      </c>
      <c r="AC508" t="s">
        <v>1993</v>
      </c>
      <c r="AD508" t="s">
        <v>1534</v>
      </c>
      <c r="AE508" t="s">
        <v>2078</v>
      </c>
      <c r="AF508" t="s">
        <v>2782</v>
      </c>
    </row>
    <row r="509" spans="27:32">
      <c r="AA509" t="s">
        <v>1873</v>
      </c>
      <c r="AB509" t="s">
        <v>2067</v>
      </c>
      <c r="AC509" t="s">
        <v>1995</v>
      </c>
      <c r="AD509" t="s">
        <v>1534</v>
      </c>
      <c r="AE509" t="s">
        <v>2079</v>
      </c>
      <c r="AF509" t="s">
        <v>2783</v>
      </c>
    </row>
    <row r="510" spans="27:32">
      <c r="AA510" t="s">
        <v>1873</v>
      </c>
      <c r="AB510" t="s">
        <v>2067</v>
      </c>
      <c r="AC510" t="s">
        <v>1671</v>
      </c>
      <c r="AD510" t="s">
        <v>1524</v>
      </c>
      <c r="AE510" t="s">
        <v>2080</v>
      </c>
      <c r="AF510" t="s">
        <v>2784</v>
      </c>
    </row>
    <row r="511" spans="27:32">
      <c r="AA511" t="s">
        <v>1873</v>
      </c>
      <c r="AB511" t="s">
        <v>2067</v>
      </c>
      <c r="AC511" t="s">
        <v>1674</v>
      </c>
      <c r="AD511" t="s">
        <v>1524</v>
      </c>
      <c r="AE511" t="s">
        <v>2081</v>
      </c>
      <c r="AF511" t="s">
        <v>2785</v>
      </c>
    </row>
    <row r="512" spans="27:32">
      <c r="AA512" t="s">
        <v>1873</v>
      </c>
      <c r="AB512" t="s">
        <v>2067</v>
      </c>
      <c r="AC512" t="s">
        <v>1676</v>
      </c>
      <c r="AD512" t="s">
        <v>1524</v>
      </c>
      <c r="AE512" t="s">
        <v>2082</v>
      </c>
      <c r="AF512" t="s">
        <v>2786</v>
      </c>
    </row>
    <row r="513" spans="27:32">
      <c r="AA513" t="s">
        <v>1873</v>
      </c>
      <c r="AB513" t="s">
        <v>2067</v>
      </c>
      <c r="AC513" t="s">
        <v>1678</v>
      </c>
      <c r="AD513" t="s">
        <v>1524</v>
      </c>
      <c r="AE513" t="s">
        <v>2083</v>
      </c>
      <c r="AF513" t="s">
        <v>2787</v>
      </c>
    </row>
    <row r="514" spans="27:32">
      <c r="AA514" t="s">
        <v>1873</v>
      </c>
      <c r="AB514" t="s">
        <v>2067</v>
      </c>
      <c r="AC514" t="s">
        <v>1681</v>
      </c>
      <c r="AD514" t="s">
        <v>1524</v>
      </c>
      <c r="AE514" t="s">
        <v>2084</v>
      </c>
      <c r="AF514" t="s">
        <v>2788</v>
      </c>
    </row>
    <row r="515" spans="27:32">
      <c r="AA515" t="s">
        <v>1873</v>
      </c>
      <c r="AB515" t="s">
        <v>2067</v>
      </c>
      <c r="AC515" t="s">
        <v>1683</v>
      </c>
      <c r="AD515" t="s">
        <v>1524</v>
      </c>
      <c r="AE515" t="s">
        <v>2085</v>
      </c>
      <c r="AF515" t="s">
        <v>2789</v>
      </c>
    </row>
    <row r="516" spans="27:32">
      <c r="AA516" t="s">
        <v>1873</v>
      </c>
      <c r="AB516" t="s">
        <v>2067</v>
      </c>
      <c r="AC516" t="s">
        <v>2005</v>
      </c>
      <c r="AD516" t="s">
        <v>1524</v>
      </c>
      <c r="AE516" t="s">
        <v>2086</v>
      </c>
      <c r="AF516" t="s">
        <v>2790</v>
      </c>
    </row>
    <row r="517" spans="27:32">
      <c r="AA517" t="s">
        <v>1873</v>
      </c>
      <c r="AB517" t="s">
        <v>2067</v>
      </c>
      <c r="AC517" t="s">
        <v>2007</v>
      </c>
      <c r="AD517" t="s">
        <v>1524</v>
      </c>
      <c r="AE517" t="s">
        <v>2087</v>
      </c>
      <c r="AF517" t="s">
        <v>2791</v>
      </c>
    </row>
    <row r="518" spans="27:32">
      <c r="AA518" t="s">
        <v>1873</v>
      </c>
      <c r="AB518" t="s">
        <v>2067</v>
      </c>
      <c r="AC518" t="s">
        <v>2009</v>
      </c>
      <c r="AD518" t="s">
        <v>1524</v>
      </c>
      <c r="AE518" t="s">
        <v>2088</v>
      </c>
      <c r="AF518" t="s">
        <v>2792</v>
      </c>
    </row>
    <row r="519" spans="27:32">
      <c r="AA519" t="s">
        <v>1873</v>
      </c>
      <c r="AB519" t="s">
        <v>2067</v>
      </c>
      <c r="AC519" t="s">
        <v>2011</v>
      </c>
      <c r="AD519" t="s">
        <v>1524</v>
      </c>
      <c r="AE519" t="s">
        <v>2089</v>
      </c>
      <c r="AF519" t="s">
        <v>2793</v>
      </c>
    </row>
    <row r="520" spans="27:32">
      <c r="AA520" t="s">
        <v>1873</v>
      </c>
      <c r="AB520" t="s">
        <v>2067</v>
      </c>
      <c r="AC520" t="s">
        <v>2013</v>
      </c>
      <c r="AD520" t="s">
        <v>1524</v>
      </c>
      <c r="AE520" t="s">
        <v>2090</v>
      </c>
      <c r="AF520" t="s">
        <v>2794</v>
      </c>
    </row>
    <row r="521" spans="27:32">
      <c r="AA521" t="s">
        <v>1873</v>
      </c>
      <c r="AB521" t="s">
        <v>2067</v>
      </c>
      <c r="AC521" t="s">
        <v>1686</v>
      </c>
      <c r="AD521" t="s">
        <v>1524</v>
      </c>
      <c r="AE521" t="s">
        <v>2091</v>
      </c>
      <c r="AF521" t="s">
        <v>2795</v>
      </c>
    </row>
    <row r="522" spans="27:32">
      <c r="AA522" t="s">
        <v>1873</v>
      </c>
      <c r="AB522" t="s">
        <v>2067</v>
      </c>
      <c r="AC522" t="s">
        <v>1688</v>
      </c>
      <c r="AD522" t="s">
        <v>1524</v>
      </c>
      <c r="AE522" t="s">
        <v>2092</v>
      </c>
      <c r="AF522" t="s">
        <v>2796</v>
      </c>
    </row>
    <row r="523" spans="27:32">
      <c r="AA523" t="s">
        <v>1873</v>
      </c>
      <c r="AB523" t="s">
        <v>2067</v>
      </c>
      <c r="AC523" t="s">
        <v>1690</v>
      </c>
      <c r="AD523" t="s">
        <v>1524</v>
      </c>
      <c r="AE523" t="s">
        <v>2093</v>
      </c>
      <c r="AF523" t="s">
        <v>2797</v>
      </c>
    </row>
    <row r="524" spans="27:32">
      <c r="AA524" t="s">
        <v>1873</v>
      </c>
      <c r="AB524" t="s">
        <v>2067</v>
      </c>
      <c r="AC524" t="s">
        <v>1692</v>
      </c>
      <c r="AD524" t="s">
        <v>1524</v>
      </c>
      <c r="AE524" t="s">
        <v>2094</v>
      </c>
      <c r="AF524" t="s">
        <v>2798</v>
      </c>
    </row>
    <row r="525" spans="27:32">
      <c r="AA525" t="s">
        <v>1873</v>
      </c>
      <c r="AB525" t="s">
        <v>2067</v>
      </c>
      <c r="AC525" t="s">
        <v>1694</v>
      </c>
      <c r="AD525" t="s">
        <v>1524</v>
      </c>
      <c r="AE525" t="s">
        <v>2095</v>
      </c>
      <c r="AF525" t="s">
        <v>2799</v>
      </c>
    </row>
    <row r="526" spans="27:32">
      <c r="AA526" t="s">
        <v>1873</v>
      </c>
      <c r="AB526" t="s">
        <v>2067</v>
      </c>
      <c r="AC526" t="s">
        <v>1696</v>
      </c>
      <c r="AD526" t="s">
        <v>1524</v>
      </c>
      <c r="AE526" t="s">
        <v>2096</v>
      </c>
      <c r="AF526" t="s">
        <v>2800</v>
      </c>
    </row>
    <row r="527" spans="27:32">
      <c r="AA527" t="s">
        <v>1873</v>
      </c>
      <c r="AB527" t="s">
        <v>2067</v>
      </c>
      <c r="AC527" t="s">
        <v>2022</v>
      </c>
      <c r="AD527" t="s">
        <v>1524</v>
      </c>
      <c r="AE527" t="s">
        <v>2097</v>
      </c>
      <c r="AF527" t="s">
        <v>2801</v>
      </c>
    </row>
    <row r="528" spans="27:32">
      <c r="AA528" t="s">
        <v>1873</v>
      </c>
      <c r="AB528" t="s">
        <v>2067</v>
      </c>
      <c r="AC528" t="s">
        <v>2024</v>
      </c>
      <c r="AD528" t="s">
        <v>1524</v>
      </c>
      <c r="AE528" t="s">
        <v>2098</v>
      </c>
      <c r="AF528" t="s">
        <v>2802</v>
      </c>
    </row>
    <row r="529" spans="27:32">
      <c r="AA529" t="s">
        <v>1873</v>
      </c>
      <c r="AB529" t="s">
        <v>2067</v>
      </c>
      <c r="AC529" t="s">
        <v>2026</v>
      </c>
      <c r="AD529" t="s">
        <v>1524</v>
      </c>
      <c r="AE529" t="s">
        <v>2099</v>
      </c>
      <c r="AF529" t="s">
        <v>2803</v>
      </c>
    </row>
    <row r="530" spans="27:32">
      <c r="AA530" t="s">
        <v>1873</v>
      </c>
      <c r="AB530" t="s">
        <v>2067</v>
      </c>
      <c r="AC530" t="s">
        <v>2028</v>
      </c>
      <c r="AD530" t="s">
        <v>1524</v>
      </c>
      <c r="AE530" t="s">
        <v>2100</v>
      </c>
      <c r="AF530" t="s">
        <v>2804</v>
      </c>
    </row>
    <row r="531" spans="27:32">
      <c r="AA531" t="s">
        <v>1873</v>
      </c>
      <c r="AB531" t="s">
        <v>2067</v>
      </c>
      <c r="AC531" t="s">
        <v>2030</v>
      </c>
      <c r="AD531" t="s">
        <v>1524</v>
      </c>
      <c r="AE531" t="s">
        <v>2101</v>
      </c>
      <c r="AF531" t="s">
        <v>2805</v>
      </c>
    </row>
    <row r="532" spans="27:32">
      <c r="AA532" t="s">
        <v>2102</v>
      </c>
      <c r="AB532" t="s">
        <v>1089</v>
      </c>
      <c r="AC532" t="s">
        <v>465</v>
      </c>
      <c r="AD532" t="s">
        <v>2103</v>
      </c>
      <c r="AE532" t="s">
        <v>2104</v>
      </c>
      <c r="AF532" t="s">
        <v>2806</v>
      </c>
    </row>
    <row r="533" spans="27:32">
      <c r="AA533" t="s">
        <v>2102</v>
      </c>
      <c r="AB533" t="s">
        <v>1089</v>
      </c>
      <c r="AC533" t="s">
        <v>466</v>
      </c>
      <c r="AD533" t="s">
        <v>1436</v>
      </c>
      <c r="AE533" t="s">
        <v>2105</v>
      </c>
      <c r="AF533" t="s">
        <v>2807</v>
      </c>
    </row>
    <row r="534" spans="27:32">
      <c r="AA534" t="s">
        <v>2102</v>
      </c>
      <c r="AB534" t="s">
        <v>1089</v>
      </c>
      <c r="AC534" t="s">
        <v>466</v>
      </c>
      <c r="AD534" t="s">
        <v>1436</v>
      </c>
      <c r="AE534" t="s">
        <v>2106</v>
      </c>
      <c r="AF534" t="s">
        <v>2808</v>
      </c>
    </row>
    <row r="535" spans="27:32">
      <c r="AA535" t="s">
        <v>2102</v>
      </c>
      <c r="AB535" t="s">
        <v>1089</v>
      </c>
      <c r="AC535" t="s">
        <v>467</v>
      </c>
      <c r="AD535" t="s">
        <v>2107</v>
      </c>
      <c r="AE535" t="s">
        <v>2108</v>
      </c>
      <c r="AF535" t="s">
        <v>2809</v>
      </c>
    </row>
    <row r="536" spans="27:32">
      <c r="AA536" t="s">
        <v>2102</v>
      </c>
      <c r="AB536" t="s">
        <v>1089</v>
      </c>
      <c r="AC536" t="s">
        <v>816</v>
      </c>
      <c r="AD536" t="s">
        <v>2109</v>
      </c>
      <c r="AE536" t="s">
        <v>2110</v>
      </c>
      <c r="AF536" t="s">
        <v>2810</v>
      </c>
    </row>
    <row r="537" spans="27:32">
      <c r="AA537" t="s">
        <v>2102</v>
      </c>
      <c r="AB537" t="s">
        <v>1089</v>
      </c>
      <c r="AC537" t="s">
        <v>468</v>
      </c>
      <c r="AD537" t="s">
        <v>2111</v>
      </c>
      <c r="AE537" t="s">
        <v>2112</v>
      </c>
      <c r="AF537" t="s">
        <v>2811</v>
      </c>
    </row>
    <row r="538" spans="27:32">
      <c r="AA538" t="s">
        <v>2102</v>
      </c>
      <c r="AB538" t="s">
        <v>1089</v>
      </c>
      <c r="AC538" t="s">
        <v>469</v>
      </c>
      <c r="AD538" t="s">
        <v>1378</v>
      </c>
      <c r="AE538" t="s">
        <v>2113</v>
      </c>
      <c r="AF538" t="s">
        <v>2812</v>
      </c>
    </row>
    <row r="539" spans="27:32">
      <c r="AA539" t="s">
        <v>2102</v>
      </c>
      <c r="AB539" t="s">
        <v>1089</v>
      </c>
      <c r="AC539" t="s">
        <v>470</v>
      </c>
      <c r="AD539" t="s">
        <v>2114</v>
      </c>
      <c r="AE539" t="s">
        <v>2115</v>
      </c>
      <c r="AF539" t="s">
        <v>2813</v>
      </c>
    </row>
    <row r="540" spans="27:32">
      <c r="AA540" t="s">
        <v>2102</v>
      </c>
      <c r="AB540" t="s">
        <v>1089</v>
      </c>
      <c r="AC540" t="s">
        <v>471</v>
      </c>
      <c r="AD540" t="s">
        <v>2114</v>
      </c>
      <c r="AE540" t="s">
        <v>2116</v>
      </c>
      <c r="AF540" t="s">
        <v>2814</v>
      </c>
    </row>
    <row r="541" spans="27:32">
      <c r="AA541" t="s">
        <v>2102</v>
      </c>
      <c r="AB541" t="s">
        <v>1089</v>
      </c>
      <c r="AC541" t="s">
        <v>472</v>
      </c>
      <c r="AD541" t="s">
        <v>1374</v>
      </c>
      <c r="AE541" t="s">
        <v>2117</v>
      </c>
      <c r="AF541" t="s">
        <v>2815</v>
      </c>
    </row>
    <row r="542" spans="27:32">
      <c r="AA542" t="s">
        <v>2102</v>
      </c>
      <c r="AB542" t="s">
        <v>1089</v>
      </c>
      <c r="AC542" t="s">
        <v>473</v>
      </c>
      <c r="AD542" t="s">
        <v>2118</v>
      </c>
      <c r="AE542" t="s">
        <v>1069</v>
      </c>
      <c r="AF542" t="s">
        <v>2816</v>
      </c>
    </row>
    <row r="543" spans="27:32">
      <c r="AA543" t="s">
        <v>2102</v>
      </c>
      <c r="AB543" t="s">
        <v>1089</v>
      </c>
      <c r="AC543" t="s">
        <v>474</v>
      </c>
      <c r="AD543" t="s">
        <v>1223</v>
      </c>
      <c r="AE543" t="s">
        <v>1071</v>
      </c>
      <c r="AF543" t="s">
        <v>2817</v>
      </c>
    </row>
    <row r="544" spans="27:32">
      <c r="AA544" t="s">
        <v>2102</v>
      </c>
      <c r="AB544" t="s">
        <v>1089</v>
      </c>
      <c r="AC544" t="s">
        <v>475</v>
      </c>
      <c r="AD544" t="s">
        <v>1174</v>
      </c>
      <c r="AE544" t="s">
        <v>2119</v>
      </c>
      <c r="AF544" t="s">
        <v>2818</v>
      </c>
    </row>
    <row r="545" spans="27:32">
      <c r="AA545" t="s">
        <v>2102</v>
      </c>
      <c r="AB545" t="s">
        <v>1089</v>
      </c>
      <c r="AC545" t="s">
        <v>476</v>
      </c>
      <c r="AD545" t="s">
        <v>2120</v>
      </c>
      <c r="AE545" t="s">
        <v>2121</v>
      </c>
      <c r="AF545" t="s">
        <v>2819</v>
      </c>
    </row>
    <row r="546" spans="27:32">
      <c r="AA546" t="s">
        <v>2102</v>
      </c>
      <c r="AB546" t="s">
        <v>1089</v>
      </c>
      <c r="AC546" t="s">
        <v>477</v>
      </c>
      <c r="AD546" t="s">
        <v>2122</v>
      </c>
      <c r="AE546" t="s">
        <v>2123</v>
      </c>
      <c r="AF546" t="s">
        <v>2820</v>
      </c>
    </row>
    <row r="547" spans="27:32">
      <c r="AA547" t="s">
        <v>2102</v>
      </c>
      <c r="AB547" t="s">
        <v>1089</v>
      </c>
      <c r="AC547" t="s">
        <v>478</v>
      </c>
      <c r="AD547" t="s">
        <v>1521</v>
      </c>
      <c r="AE547" t="s">
        <v>2124</v>
      </c>
      <c r="AF547" t="s">
        <v>2821</v>
      </c>
    </row>
    <row r="548" spans="27:32">
      <c r="AA548" t="s">
        <v>2102</v>
      </c>
      <c r="AB548" t="s">
        <v>1089</v>
      </c>
      <c r="AC548" t="s">
        <v>479</v>
      </c>
      <c r="AD548" t="s">
        <v>2125</v>
      </c>
      <c r="AE548" t="s">
        <v>2126</v>
      </c>
      <c r="AF548" t="s">
        <v>2822</v>
      </c>
    </row>
    <row r="549" spans="27:32">
      <c r="AA549" t="s">
        <v>2102</v>
      </c>
      <c r="AB549" t="s">
        <v>1089</v>
      </c>
      <c r="AC549" t="s">
        <v>480</v>
      </c>
      <c r="AD549" t="s">
        <v>2127</v>
      </c>
      <c r="AE549" t="s">
        <v>2128</v>
      </c>
      <c r="AF549" t="s">
        <v>2823</v>
      </c>
    </row>
    <row r="550" spans="27:32">
      <c r="AA550" t="s">
        <v>2102</v>
      </c>
      <c r="AB550" t="s">
        <v>1089</v>
      </c>
      <c r="AC550" t="s">
        <v>481</v>
      </c>
      <c r="AD550" t="s">
        <v>1178</v>
      </c>
      <c r="AE550" t="s">
        <v>2129</v>
      </c>
      <c r="AF550" t="s">
        <v>2824</v>
      </c>
    </row>
    <row r="551" spans="27:32">
      <c r="AA551" t="s">
        <v>2102</v>
      </c>
      <c r="AB551" t="s">
        <v>1089</v>
      </c>
      <c r="AC551" t="s">
        <v>482</v>
      </c>
      <c r="AD551" t="s">
        <v>2130</v>
      </c>
      <c r="AE551" t="s">
        <v>2131</v>
      </c>
      <c r="AF551" t="s">
        <v>2825</v>
      </c>
    </row>
    <row r="552" spans="27:32">
      <c r="AA552" t="s">
        <v>2102</v>
      </c>
      <c r="AB552" t="s">
        <v>1089</v>
      </c>
      <c r="AC552" t="s">
        <v>483</v>
      </c>
      <c r="AD552" t="s">
        <v>2132</v>
      </c>
      <c r="AE552" t="s">
        <v>2133</v>
      </c>
      <c r="AF552" t="s">
        <v>2826</v>
      </c>
    </row>
    <row r="553" spans="27:32">
      <c r="AA553" t="s">
        <v>2102</v>
      </c>
      <c r="AB553" t="s">
        <v>1089</v>
      </c>
      <c r="AC553" t="s">
        <v>486</v>
      </c>
      <c r="AD553" t="s">
        <v>2134</v>
      </c>
      <c r="AE553" t="s">
        <v>2135</v>
      </c>
      <c r="AF553" t="s">
        <v>2827</v>
      </c>
    </row>
    <row r="554" spans="27:32">
      <c r="AA554" t="s">
        <v>2102</v>
      </c>
      <c r="AB554" t="s">
        <v>1089</v>
      </c>
      <c r="AC554" t="s">
        <v>487</v>
      </c>
      <c r="AD554" t="s">
        <v>1429</v>
      </c>
      <c r="AE554" t="s">
        <v>2136</v>
      </c>
      <c r="AF554" t="s">
        <v>2828</v>
      </c>
    </row>
    <row r="555" spans="27:32">
      <c r="AA555" t="s">
        <v>2102</v>
      </c>
      <c r="AB555" t="s">
        <v>1089</v>
      </c>
      <c r="AC555" t="s">
        <v>489</v>
      </c>
      <c r="AD555" t="s">
        <v>2137</v>
      </c>
      <c r="AE555" t="s">
        <v>2138</v>
      </c>
      <c r="AF555" t="s">
        <v>2829</v>
      </c>
    </row>
    <row r="556" spans="27:32">
      <c r="AA556" t="s">
        <v>2102</v>
      </c>
      <c r="AB556" t="s">
        <v>1089</v>
      </c>
      <c r="AC556" t="s">
        <v>163</v>
      </c>
      <c r="AD556" t="s">
        <v>1448</v>
      </c>
      <c r="AE556" t="s">
        <v>2139</v>
      </c>
      <c r="AF556" t="s">
        <v>2830</v>
      </c>
    </row>
    <row r="557" spans="27:32">
      <c r="AA557" t="s">
        <v>2102</v>
      </c>
      <c r="AB557" t="s">
        <v>1089</v>
      </c>
      <c r="AC557" t="s">
        <v>491</v>
      </c>
      <c r="AD557" t="s">
        <v>1442</v>
      </c>
      <c r="AE557" t="s">
        <v>2140</v>
      </c>
      <c r="AF557" t="s">
        <v>2831</v>
      </c>
    </row>
    <row r="558" spans="27:32">
      <c r="AA558" t="s">
        <v>2102</v>
      </c>
      <c r="AB558" t="s">
        <v>1089</v>
      </c>
      <c r="AC558" t="s">
        <v>492</v>
      </c>
      <c r="AD558" t="s">
        <v>2141</v>
      </c>
      <c r="AE558" t="s">
        <v>2142</v>
      </c>
      <c r="AF558" t="s">
        <v>2832</v>
      </c>
    </row>
    <row r="559" spans="27:32">
      <c r="AA559" t="s">
        <v>2102</v>
      </c>
      <c r="AB559" t="s">
        <v>1089</v>
      </c>
      <c r="AC559" t="s">
        <v>493</v>
      </c>
      <c r="AD559" t="s">
        <v>2001</v>
      </c>
      <c r="AE559" t="s">
        <v>2143</v>
      </c>
      <c r="AF559" t="s">
        <v>2833</v>
      </c>
    </row>
    <row r="560" spans="27:32">
      <c r="AA560" t="s">
        <v>2102</v>
      </c>
      <c r="AB560" t="s">
        <v>1173</v>
      </c>
      <c r="AC560" t="s">
        <v>524</v>
      </c>
      <c r="AD560" t="s">
        <v>1207</v>
      </c>
      <c r="AE560" t="s">
        <v>2144</v>
      </c>
      <c r="AF560" t="s">
        <v>2834</v>
      </c>
    </row>
    <row r="561" spans="27:32">
      <c r="AA561" t="s">
        <v>2102</v>
      </c>
      <c r="AB561" t="s">
        <v>1173</v>
      </c>
      <c r="AC561" t="s">
        <v>495</v>
      </c>
      <c r="AD561" t="s">
        <v>2145</v>
      </c>
      <c r="AE561" t="s">
        <v>2146</v>
      </c>
      <c r="AF561" t="s">
        <v>2835</v>
      </c>
    </row>
    <row r="562" spans="27:32">
      <c r="AA562" t="s">
        <v>2102</v>
      </c>
      <c r="AB562" t="s">
        <v>1173</v>
      </c>
      <c r="AC562" t="s">
        <v>496</v>
      </c>
      <c r="AD562" t="s">
        <v>1297</v>
      </c>
      <c r="AE562" t="s">
        <v>2147</v>
      </c>
      <c r="AF562" t="s">
        <v>2836</v>
      </c>
    </row>
    <row r="563" spans="27:32">
      <c r="AA563" t="s">
        <v>2102</v>
      </c>
      <c r="AB563" t="s">
        <v>1173</v>
      </c>
      <c r="AC563" t="s">
        <v>497</v>
      </c>
      <c r="AD563" t="s">
        <v>1106</v>
      </c>
      <c r="AE563" t="s">
        <v>2148</v>
      </c>
      <c r="AF563" t="s">
        <v>2837</v>
      </c>
    </row>
    <row r="564" spans="27:32">
      <c r="AA564" t="s">
        <v>2102</v>
      </c>
      <c r="AB564" t="s">
        <v>1173</v>
      </c>
      <c r="AC564" t="s">
        <v>498</v>
      </c>
      <c r="AD564" t="s">
        <v>1310</v>
      </c>
      <c r="AE564" t="s">
        <v>2149</v>
      </c>
      <c r="AF564" t="s">
        <v>2838</v>
      </c>
    </row>
    <row r="565" spans="27:32">
      <c r="AA565" t="s">
        <v>2102</v>
      </c>
      <c r="AB565" t="s">
        <v>1173</v>
      </c>
      <c r="AC565" t="s">
        <v>499</v>
      </c>
      <c r="AD565" t="s">
        <v>2145</v>
      </c>
      <c r="AE565" t="s">
        <v>2150</v>
      </c>
      <c r="AF565" t="s">
        <v>2839</v>
      </c>
    </row>
    <row r="566" spans="27:32">
      <c r="AA566" t="s">
        <v>2102</v>
      </c>
      <c r="AB566" t="s">
        <v>1173</v>
      </c>
      <c r="AC566" t="s">
        <v>500</v>
      </c>
      <c r="AD566" t="s">
        <v>1310</v>
      </c>
      <c r="AE566" t="s">
        <v>2151</v>
      </c>
      <c r="AF566" t="s">
        <v>2840</v>
      </c>
    </row>
    <row r="567" spans="27:32">
      <c r="AA567" t="s">
        <v>2102</v>
      </c>
      <c r="AB567" t="s">
        <v>1173</v>
      </c>
      <c r="AC567" t="s">
        <v>501</v>
      </c>
      <c r="AD567" t="s">
        <v>1378</v>
      </c>
      <c r="AE567" t="s">
        <v>2152</v>
      </c>
      <c r="AF567" t="s">
        <v>2841</v>
      </c>
    </row>
    <row r="568" spans="27:32">
      <c r="AA568" t="s">
        <v>2102</v>
      </c>
      <c r="AB568" t="s">
        <v>1173</v>
      </c>
      <c r="AC568" t="s">
        <v>502</v>
      </c>
      <c r="AD568" t="s">
        <v>2153</v>
      </c>
      <c r="AE568" t="s">
        <v>2154</v>
      </c>
      <c r="AF568" t="s">
        <v>2842</v>
      </c>
    </row>
    <row r="569" spans="27:32">
      <c r="AA569" t="s">
        <v>2102</v>
      </c>
      <c r="AB569" t="s">
        <v>1173</v>
      </c>
      <c r="AC569" t="s">
        <v>503</v>
      </c>
      <c r="AD569" t="s">
        <v>1336</v>
      </c>
      <c r="AE569" t="s">
        <v>2155</v>
      </c>
      <c r="AF569" t="s">
        <v>2843</v>
      </c>
    </row>
    <row r="570" spans="27:32">
      <c r="AA570" t="s">
        <v>2102</v>
      </c>
      <c r="AB570" t="s">
        <v>1173</v>
      </c>
      <c r="AC570" t="s">
        <v>504</v>
      </c>
      <c r="AD570" t="s">
        <v>1386</v>
      </c>
      <c r="AE570" t="s">
        <v>2156</v>
      </c>
      <c r="AF570" t="s">
        <v>2844</v>
      </c>
    </row>
    <row r="571" spans="27:32">
      <c r="AA571" t="s">
        <v>2102</v>
      </c>
      <c r="AB571" t="s">
        <v>1173</v>
      </c>
      <c r="AC571" t="s">
        <v>505</v>
      </c>
      <c r="AD571" t="s">
        <v>1386</v>
      </c>
      <c r="AE571" t="s">
        <v>2157</v>
      </c>
      <c r="AF571" t="s">
        <v>2845</v>
      </c>
    </row>
    <row r="572" spans="27:32">
      <c r="AA572" t="s">
        <v>2102</v>
      </c>
      <c r="AB572" t="s">
        <v>1173</v>
      </c>
      <c r="AC572" t="s">
        <v>506</v>
      </c>
      <c r="AD572" t="s">
        <v>1386</v>
      </c>
      <c r="AE572" t="s">
        <v>2158</v>
      </c>
      <c r="AF572" t="s">
        <v>2846</v>
      </c>
    </row>
    <row r="573" spans="27:32">
      <c r="AA573" t="s">
        <v>2102</v>
      </c>
      <c r="AB573" t="s">
        <v>1173</v>
      </c>
      <c r="AC573" t="s">
        <v>507</v>
      </c>
      <c r="AD573" t="s">
        <v>1386</v>
      </c>
      <c r="AE573" t="s">
        <v>2159</v>
      </c>
      <c r="AF573" t="s">
        <v>2847</v>
      </c>
    </row>
    <row r="574" spans="27:32">
      <c r="AA574" t="s">
        <v>2102</v>
      </c>
      <c r="AB574" t="s">
        <v>1173</v>
      </c>
      <c r="AC574" t="s">
        <v>508</v>
      </c>
      <c r="AD574" t="s">
        <v>2160</v>
      </c>
      <c r="AE574" t="s">
        <v>2161</v>
      </c>
      <c r="AF574" t="s">
        <v>2848</v>
      </c>
    </row>
    <row r="575" spans="27:32">
      <c r="AA575" t="s">
        <v>2102</v>
      </c>
      <c r="AB575" t="s">
        <v>1173</v>
      </c>
      <c r="AC575" t="s">
        <v>509</v>
      </c>
      <c r="AD575" t="s">
        <v>2145</v>
      </c>
      <c r="AE575" t="s">
        <v>2162</v>
      </c>
      <c r="AF575" t="s">
        <v>2849</v>
      </c>
    </row>
    <row r="576" spans="27:32">
      <c r="AA576" t="s">
        <v>2102</v>
      </c>
      <c r="AB576" t="s">
        <v>1173</v>
      </c>
      <c r="AC576" t="s">
        <v>510</v>
      </c>
      <c r="AD576" t="s">
        <v>1343</v>
      </c>
      <c r="AE576" t="s">
        <v>2163</v>
      </c>
      <c r="AF576" t="s">
        <v>2850</v>
      </c>
    </row>
    <row r="577" spans="27:32">
      <c r="AA577" t="s">
        <v>2102</v>
      </c>
      <c r="AB577" t="s">
        <v>1173</v>
      </c>
      <c r="AC577" t="s">
        <v>820</v>
      </c>
      <c r="AD577" t="s">
        <v>1274</v>
      </c>
      <c r="AE577" t="s">
        <v>2164</v>
      </c>
      <c r="AF577" t="s">
        <v>2851</v>
      </c>
    </row>
    <row r="578" spans="27:32">
      <c r="AA578" t="s">
        <v>2102</v>
      </c>
      <c r="AB578" t="s">
        <v>1173</v>
      </c>
      <c r="AC578" t="s">
        <v>512</v>
      </c>
      <c r="AD578" t="s">
        <v>2165</v>
      </c>
      <c r="AE578" t="s">
        <v>2166</v>
      </c>
      <c r="AF578" t="s">
        <v>2852</v>
      </c>
    </row>
    <row r="579" spans="27:32">
      <c r="AA579" t="s">
        <v>2102</v>
      </c>
      <c r="AB579" t="s">
        <v>1173</v>
      </c>
      <c r="AC579" t="s">
        <v>822</v>
      </c>
      <c r="AD579" t="s">
        <v>2167</v>
      </c>
      <c r="AE579" t="s">
        <v>2168</v>
      </c>
      <c r="AF579" t="s">
        <v>2853</v>
      </c>
    </row>
    <row r="580" spans="27:32">
      <c r="AA580" t="s">
        <v>2102</v>
      </c>
      <c r="AB580" t="s">
        <v>1173</v>
      </c>
      <c r="AC580" t="s">
        <v>824</v>
      </c>
      <c r="AD580" t="s">
        <v>1106</v>
      </c>
      <c r="AE580" t="s">
        <v>2169</v>
      </c>
      <c r="AF580" t="s">
        <v>2854</v>
      </c>
    </row>
    <row r="581" spans="27:32">
      <c r="AA581" t="s">
        <v>2102</v>
      </c>
      <c r="AB581" t="s">
        <v>1173</v>
      </c>
      <c r="AC581" t="s">
        <v>826</v>
      </c>
      <c r="AD581" t="s">
        <v>2153</v>
      </c>
      <c r="AE581" t="s">
        <v>2170</v>
      </c>
      <c r="AF581" t="s">
        <v>2855</v>
      </c>
    </row>
    <row r="582" spans="27:32">
      <c r="AA582" t="s">
        <v>2102</v>
      </c>
      <c r="AB582" t="s">
        <v>1173</v>
      </c>
      <c r="AC582" t="s">
        <v>827</v>
      </c>
      <c r="AD582" t="s">
        <v>1203</v>
      </c>
      <c r="AE582" t="s">
        <v>2171</v>
      </c>
      <c r="AF582" t="s">
        <v>2856</v>
      </c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3">
    <mergeCell ref="P2:T2"/>
    <mergeCell ref="A51:E51"/>
    <mergeCell ref="I64:M6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8F53-BC32-434A-8D5B-184F1B3CEF22}">
  <sheetPr codeName="Sheet9">
    <tabColor rgb="FFFF0000"/>
  </sheetPr>
  <dimension ref="B1:N106"/>
  <sheetViews>
    <sheetView topLeftCell="A40" workbookViewId="0">
      <selection activeCell="E56" sqref="E56"/>
    </sheetView>
  </sheetViews>
  <sheetFormatPr baseColWidth="10" defaultColWidth="8.83203125" defaultRowHeight="15"/>
  <cols>
    <col min="1" max="1" width="8.83203125" style="544"/>
    <col min="2" max="2" width="39.83203125" style="544" customWidth="1"/>
    <col min="3" max="3" width="8.83203125" style="544"/>
    <col min="4" max="4" width="10.1640625" style="544" customWidth="1"/>
    <col min="5" max="5" width="10.33203125" style="544" customWidth="1"/>
    <col min="6" max="7" width="8.83203125" style="544"/>
    <col min="8" max="8" width="41.5" style="544" customWidth="1"/>
    <col min="9" max="11" width="8.83203125" style="544"/>
    <col min="12" max="12" width="12.1640625" style="544" customWidth="1"/>
    <col min="13" max="16384" width="8.83203125" style="544"/>
  </cols>
  <sheetData>
    <row r="1" spans="2:12" ht="21">
      <c r="B1" s="1274" t="s">
        <v>736</v>
      </c>
      <c r="C1" s="1274"/>
      <c r="D1" s="1274"/>
      <c r="E1" s="1274"/>
      <c r="F1" s="1274"/>
      <c r="H1" s="545" t="s">
        <v>635</v>
      </c>
    </row>
    <row r="2" spans="2:12">
      <c r="B2" s="546" t="s">
        <v>737</v>
      </c>
      <c r="C2" s="547" t="s">
        <v>738</v>
      </c>
      <c r="D2" s="548" t="s">
        <v>739</v>
      </c>
      <c r="E2" s="549"/>
      <c r="F2" s="550"/>
      <c r="H2" s="551">
        <v>1</v>
      </c>
      <c r="I2" s="544" t="s">
        <v>636</v>
      </c>
      <c r="J2" s="552">
        <f>'Данные - Крыша'!K2</f>
        <v>3650</v>
      </c>
      <c r="K2" s="552">
        <f>'Данные - Крыша'!L2</f>
        <v>51</v>
      </c>
      <c r="L2" s="553">
        <f>J2/1000*1.183*K2</f>
        <v>220.21544999999998</v>
      </c>
    </row>
    <row r="3" spans="2:12">
      <c r="B3" s="546" t="s">
        <v>639</v>
      </c>
      <c r="C3" s="547" t="s">
        <v>160</v>
      </c>
      <c r="D3" s="548" t="str">
        <f>'Данные - Крыша'!C4</f>
        <v>DB-size</v>
      </c>
      <c r="E3" s="549"/>
      <c r="F3" s="550"/>
      <c r="H3" s="551">
        <v>2</v>
      </c>
      <c r="I3" s="544" t="s">
        <v>636</v>
      </c>
      <c r="J3" s="552">
        <f>'Данные - Крыша'!K3</f>
        <v>3050</v>
      </c>
      <c r="K3" s="552">
        <f>'Данные - Крыша'!L3</f>
        <v>17</v>
      </c>
      <c r="L3" s="553">
        <f t="shared" ref="L3:L23" si="0">J3/1000*1.183*K3</f>
        <v>61.338549999999998</v>
      </c>
    </row>
    <row r="4" spans="2:12" ht="17.5" customHeight="1">
      <c r="B4" s="554" t="s">
        <v>641</v>
      </c>
      <c r="C4" s="547" t="s">
        <v>642</v>
      </c>
      <c r="D4" s="548" t="str">
        <f>'Данные - Крыша'!C5</f>
        <v>DB-srCherep</v>
      </c>
      <c r="E4" s="555">
        <f>'Данные - Крыша'!E5</f>
        <v>0</v>
      </c>
      <c r="F4" s="550"/>
      <c r="H4" s="551">
        <v>3</v>
      </c>
      <c r="I4" s="544" t="s">
        <v>636</v>
      </c>
      <c r="J4" s="552">
        <f>'Данные - Крыша'!K4</f>
        <v>0</v>
      </c>
      <c r="K4" s="552">
        <f>'Данные - Крыша'!L4</f>
        <v>0</v>
      </c>
      <c r="L4" s="553">
        <f t="shared" si="0"/>
        <v>0</v>
      </c>
    </row>
    <row r="5" spans="2:12" ht="30">
      <c r="B5" s="556" t="s">
        <v>644</v>
      </c>
      <c r="C5" s="557" t="s">
        <v>184</v>
      </c>
      <c r="D5" s="557" t="str">
        <f>'Данные - Крыша'!C6</f>
        <v>DB-srKover</v>
      </c>
      <c r="E5" s="557">
        <f>'Данные - Крыша'!E6</f>
        <v>0</v>
      </c>
      <c r="F5" s="550"/>
      <c r="G5" s="558"/>
      <c r="H5" s="551">
        <v>4</v>
      </c>
      <c r="I5" s="544" t="s">
        <v>636</v>
      </c>
      <c r="J5" s="552">
        <f>'Данные - Крыша'!K5</f>
        <v>0</v>
      </c>
      <c r="K5" s="552">
        <f>'Данные - Крыша'!L5</f>
        <v>0</v>
      </c>
      <c r="L5" s="553">
        <f t="shared" si="0"/>
        <v>0</v>
      </c>
    </row>
    <row r="6" spans="2:12" ht="30">
      <c r="B6" s="556" t="s">
        <v>646</v>
      </c>
      <c r="C6" s="557" t="s">
        <v>182</v>
      </c>
      <c r="D6" s="557" t="str">
        <f>'Данные - Крыша'!C7</f>
        <v>DB-srKonK</v>
      </c>
      <c r="E6" s="557">
        <f>'Данные - Крыша'!E7</f>
        <v>0</v>
      </c>
      <c r="F6" s="550"/>
      <c r="H6" s="551">
        <v>5</v>
      </c>
      <c r="I6" s="544" t="s">
        <v>636</v>
      </c>
      <c r="J6" s="552">
        <f>'Данные - Крыша'!K6</f>
        <v>0</v>
      </c>
      <c r="K6" s="552">
        <f>'Данные - Крыша'!L6</f>
        <v>0</v>
      </c>
      <c r="L6" s="553">
        <f t="shared" si="0"/>
        <v>0</v>
      </c>
    </row>
    <row r="7" spans="2:12" ht="30">
      <c r="B7" s="556" t="s">
        <v>648</v>
      </c>
      <c r="C7" s="557" t="s">
        <v>649</v>
      </c>
      <c r="D7" s="557" t="str">
        <f>'Данные - Крыша'!C8</f>
        <v>DB-srMastika1</v>
      </c>
      <c r="E7" s="557">
        <f>'Данные - Крыша'!E8</f>
        <v>0</v>
      </c>
      <c r="F7" s="550"/>
      <c r="H7" s="551">
        <v>6</v>
      </c>
      <c r="I7" s="544" t="s">
        <v>636</v>
      </c>
      <c r="J7" s="552">
        <f>'Данные - Крыша'!K7</f>
        <v>0</v>
      </c>
      <c r="K7" s="552">
        <f>'Данные - Крыша'!L7</f>
        <v>0</v>
      </c>
      <c r="L7" s="553">
        <f t="shared" si="0"/>
        <v>0</v>
      </c>
    </row>
    <row r="8" spans="2:12" ht="30">
      <c r="B8" s="556" t="s">
        <v>651</v>
      </c>
      <c r="C8" s="557" t="s">
        <v>649</v>
      </c>
      <c r="D8" s="557" t="str">
        <f>'Данные - Крыша'!C9</f>
        <v>DB-srMastika</v>
      </c>
      <c r="E8" s="557">
        <f>'Данные - Крыша'!E9</f>
        <v>0</v>
      </c>
      <c r="F8" s="550"/>
      <c r="H8" s="551">
        <v>7</v>
      </c>
      <c r="I8" s="544" t="s">
        <v>636</v>
      </c>
      <c r="J8" s="552">
        <f>'Данные - Крыша'!K8</f>
        <v>0</v>
      </c>
      <c r="K8" s="552">
        <f>'Данные - Крыша'!L8</f>
        <v>0</v>
      </c>
      <c r="L8" s="553">
        <f t="shared" si="0"/>
        <v>0</v>
      </c>
    </row>
    <row r="9" spans="2:12" ht="30">
      <c r="B9" s="556" t="s">
        <v>652</v>
      </c>
      <c r="C9" s="557" t="s">
        <v>85</v>
      </c>
      <c r="D9" s="557" t="str">
        <f>'Данные - Крыша'!C10</f>
        <v>DB-srKonShir</v>
      </c>
      <c r="E9" s="557">
        <f>'Данные - Крыша'!E10</f>
        <v>0</v>
      </c>
      <c r="F9" s="550"/>
      <c r="H9" s="551">
        <v>8</v>
      </c>
      <c r="I9" s="544" t="s">
        <v>636</v>
      </c>
      <c r="J9" s="552">
        <f>'Данные - Крыша'!K9</f>
        <v>0</v>
      </c>
      <c r="K9" s="552">
        <f>'Данные - Крыша'!L9</f>
        <v>0</v>
      </c>
      <c r="L9" s="553">
        <f t="shared" si="0"/>
        <v>0</v>
      </c>
    </row>
    <row r="10" spans="2:12" ht="45">
      <c r="B10" s="556" t="s">
        <v>655</v>
      </c>
      <c r="C10" s="557" t="s">
        <v>85</v>
      </c>
      <c r="D10" s="557" t="str">
        <f>'Данные - Крыша'!C11</f>
        <v>DB-srKonOneSkat</v>
      </c>
      <c r="E10" s="557">
        <f>'Данные - Крыша'!E11</f>
        <v>0</v>
      </c>
      <c r="F10" s="550"/>
      <c r="H10" s="551">
        <v>9</v>
      </c>
      <c r="I10" s="544" t="s">
        <v>636</v>
      </c>
      <c r="J10" s="552">
        <f>'Данные - Крыша'!K10</f>
        <v>0</v>
      </c>
      <c r="K10" s="552">
        <f>'Данные - Крыша'!L10</f>
        <v>0</v>
      </c>
      <c r="L10" s="553">
        <f t="shared" si="0"/>
        <v>0</v>
      </c>
    </row>
    <row r="11" spans="2:12" ht="30">
      <c r="B11" s="556" t="s">
        <v>657</v>
      </c>
      <c r="C11" s="557" t="s">
        <v>85</v>
      </c>
      <c r="D11" s="557" t="str">
        <f>'Данные - Крыша'!C12</f>
        <v>DB-srPlanVetr</v>
      </c>
      <c r="E11" s="557">
        <f>'Данные - Крыша'!E12</f>
        <v>0</v>
      </c>
      <c r="F11" s="550"/>
      <c r="H11" s="551">
        <v>10</v>
      </c>
      <c r="I11" s="544" t="s">
        <v>636</v>
      </c>
      <c r="J11" s="552">
        <f>'Данные - Крыша'!K11</f>
        <v>0</v>
      </c>
      <c r="K11" s="552">
        <f>'Данные - Крыша'!L11</f>
        <v>0</v>
      </c>
      <c r="L11" s="553">
        <f t="shared" si="0"/>
        <v>0</v>
      </c>
    </row>
    <row r="12" spans="2:12" ht="30">
      <c r="B12" s="556" t="s">
        <v>658</v>
      </c>
      <c r="C12" s="557" t="s">
        <v>85</v>
      </c>
      <c r="D12" s="557" t="str">
        <f>'Данные - Крыша'!C13</f>
        <v>DB-srPlanK</v>
      </c>
      <c r="E12" s="557">
        <f>'Данные - Крыша'!E13</f>
        <v>0</v>
      </c>
      <c r="F12" s="550"/>
      <c r="H12" s="551">
        <v>11</v>
      </c>
      <c r="I12" s="544" t="s">
        <v>636</v>
      </c>
      <c r="J12" s="552">
        <f>'Данные - Крыша'!K12</f>
        <v>0</v>
      </c>
      <c r="K12" s="552">
        <f>'Данные - Крыша'!L12</f>
        <v>0</v>
      </c>
      <c r="L12" s="553">
        <f t="shared" si="0"/>
        <v>0</v>
      </c>
    </row>
    <row r="13" spans="2:12" ht="30">
      <c r="B13" s="556" t="s">
        <v>659</v>
      </c>
      <c r="C13" s="557" t="s">
        <v>85</v>
      </c>
      <c r="D13" s="557" t="str">
        <f>'Данные - Крыша'!C14</f>
        <v>DB-srKapelnik</v>
      </c>
      <c r="E13" s="557">
        <f>'Данные - Крыша'!E14</f>
        <v>0</v>
      </c>
      <c r="F13" s="550"/>
      <c r="H13" s="551">
        <v>12</v>
      </c>
      <c r="I13" s="544" t="s">
        <v>636</v>
      </c>
      <c r="J13" s="552">
        <f>'Данные - Крыша'!K13</f>
        <v>0</v>
      </c>
      <c r="K13" s="552">
        <f>'Данные - Крыша'!L13</f>
        <v>0</v>
      </c>
      <c r="L13" s="553">
        <f t="shared" si="0"/>
        <v>0</v>
      </c>
    </row>
    <row r="14" spans="2:12">
      <c r="B14" s="556" t="s">
        <v>660</v>
      </c>
      <c r="C14" s="557" t="s">
        <v>85</v>
      </c>
      <c r="D14" s="557" t="str">
        <f>'Данные - Крыша'!C15</f>
        <v>DB-srEndn</v>
      </c>
      <c r="E14" s="557">
        <f>'Данные - Крыша'!E15</f>
        <v>0</v>
      </c>
      <c r="F14" s="550"/>
      <c r="H14" s="551">
        <v>13</v>
      </c>
      <c r="I14" s="544" t="s">
        <v>636</v>
      </c>
      <c r="J14" s="552">
        <f>'Данные - Крыша'!K14</f>
        <v>0</v>
      </c>
      <c r="K14" s="552">
        <f>'Данные - Крыша'!L14</f>
        <v>0</v>
      </c>
      <c r="L14" s="553">
        <f t="shared" si="0"/>
        <v>0</v>
      </c>
    </row>
    <row r="15" spans="2:12" ht="30">
      <c r="B15" s="556" t="s">
        <v>661</v>
      </c>
      <c r="C15" s="557" t="s">
        <v>182</v>
      </c>
      <c r="D15" s="557" t="str">
        <f>'Данные - Крыша'!C16</f>
        <v>DB-srGvozd</v>
      </c>
      <c r="E15" s="557">
        <f>'Данные - Крыша'!E16</f>
        <v>0</v>
      </c>
      <c r="F15" s="550"/>
      <c r="H15" s="551">
        <v>14</v>
      </c>
      <c r="I15" s="544" t="s">
        <v>636</v>
      </c>
      <c r="J15" s="552">
        <f>'Данные - Крыша'!K15</f>
        <v>0</v>
      </c>
      <c r="K15" s="552">
        <f>'Данные - Крыша'!L15</f>
        <v>0</v>
      </c>
      <c r="L15" s="553">
        <f t="shared" si="0"/>
        <v>0</v>
      </c>
    </row>
    <row r="16" spans="2:12" ht="30">
      <c r="B16" s="556" t="s">
        <v>662</v>
      </c>
      <c r="C16" s="557" t="s">
        <v>182</v>
      </c>
      <c r="D16" s="557" t="str">
        <f>'Данные - Крыша'!C17</f>
        <v>DB-srSam70</v>
      </c>
      <c r="E16" s="557">
        <f>'Данные - Крыша'!E17</f>
        <v>0</v>
      </c>
      <c r="F16" s="550"/>
      <c r="H16" s="551">
        <v>15</v>
      </c>
      <c r="I16" s="544" t="s">
        <v>636</v>
      </c>
      <c r="J16" s="552">
        <f>'Данные - Крыша'!K16</f>
        <v>0</v>
      </c>
      <c r="K16" s="552">
        <f>'Данные - Крыша'!L16</f>
        <v>0</v>
      </c>
      <c r="L16" s="553">
        <f t="shared" si="0"/>
        <v>0</v>
      </c>
    </row>
    <row r="17" spans="2:12">
      <c r="B17" s="556" t="s">
        <v>663</v>
      </c>
      <c r="C17" s="557" t="s">
        <v>85</v>
      </c>
      <c r="D17" s="557" t="str">
        <f>'Данные - Крыша'!C18</f>
        <v>DB-srPack</v>
      </c>
      <c r="E17" s="557">
        <f>'Данные - Крыша'!E18</f>
        <v>0</v>
      </c>
      <c r="F17" s="550"/>
      <c r="H17" s="551">
        <v>16</v>
      </c>
      <c r="I17" s="544" t="s">
        <v>636</v>
      </c>
      <c r="J17" s="552">
        <f>'Данные - Крыша'!K17</f>
        <v>0</v>
      </c>
      <c r="K17" s="552">
        <f>'Данные - Крыша'!L17</f>
        <v>0</v>
      </c>
      <c r="L17" s="553">
        <f t="shared" si="0"/>
        <v>0</v>
      </c>
    </row>
    <row r="18" spans="2:12" ht="45">
      <c r="B18" s="556" t="s">
        <v>664</v>
      </c>
      <c r="C18" s="557" t="s">
        <v>85</v>
      </c>
      <c r="D18" s="557" t="str">
        <f>'Данные - Крыша'!C19</f>
        <v>DB-srIzospanAM</v>
      </c>
      <c r="E18" s="557">
        <f>'Данные - Крыша'!E19</f>
        <v>0</v>
      </c>
      <c r="F18" s="550"/>
      <c r="H18" s="551">
        <v>17</v>
      </c>
      <c r="I18" s="544" t="s">
        <v>636</v>
      </c>
      <c r="J18" s="552">
        <f>'Данные - Крыша'!K18</f>
        <v>0</v>
      </c>
      <c r="K18" s="552">
        <f>'Данные - Крыша'!L18</f>
        <v>0</v>
      </c>
      <c r="L18" s="553">
        <f t="shared" si="0"/>
        <v>0</v>
      </c>
    </row>
    <row r="19" spans="2:12" ht="45">
      <c r="B19" s="556" t="s">
        <v>665</v>
      </c>
      <c r="C19" s="557" t="s">
        <v>85</v>
      </c>
      <c r="D19" s="557" t="str">
        <f>'Данные - Крыша'!C20</f>
        <v>DB-srIzospanAM35</v>
      </c>
      <c r="E19" s="557">
        <f>'Данные - Крыша'!E20</f>
        <v>0</v>
      </c>
      <c r="F19" s="550"/>
      <c r="H19" s="551">
        <v>18</v>
      </c>
      <c r="I19" s="544" t="s">
        <v>636</v>
      </c>
      <c r="J19" s="552">
        <f>'Данные - Крыша'!K19</f>
        <v>0</v>
      </c>
      <c r="K19" s="552">
        <f>'Данные - Крыша'!L19</f>
        <v>0</v>
      </c>
      <c r="L19" s="553">
        <f t="shared" si="0"/>
        <v>0</v>
      </c>
    </row>
    <row r="20" spans="2:12" ht="30">
      <c r="B20" s="556" t="s">
        <v>666</v>
      </c>
      <c r="C20" s="557" t="s">
        <v>85</v>
      </c>
      <c r="D20" s="557" t="str">
        <f>'Данные - Крыша'!C21</f>
        <v>DB-srLenta</v>
      </c>
      <c r="E20" s="557">
        <f>'Данные - Крыша'!E21</f>
        <v>0</v>
      </c>
      <c r="F20" s="550"/>
      <c r="H20" s="551">
        <v>19</v>
      </c>
      <c r="I20" s="544" t="s">
        <v>636</v>
      </c>
      <c r="J20" s="552">
        <f>'Данные - Крыша'!K20</f>
        <v>0</v>
      </c>
      <c r="K20" s="552">
        <f>'Данные - Крыша'!L20</f>
        <v>0</v>
      </c>
      <c r="L20" s="553">
        <f t="shared" si="0"/>
        <v>0</v>
      </c>
    </row>
    <row r="21" spans="2:12" ht="30">
      <c r="B21" s="556" t="s">
        <v>740</v>
      </c>
      <c r="C21" s="557" t="s">
        <v>85</v>
      </c>
      <c r="D21" s="557" t="str">
        <f>'Данные - Крыша'!C22</f>
        <v>DB-srRokvul</v>
      </c>
      <c r="E21" s="557">
        <f>'Данные - Крыша'!E22</f>
        <v>0</v>
      </c>
      <c r="F21" s="550"/>
      <c r="H21" s="551">
        <v>20</v>
      </c>
      <c r="I21" s="544" t="s">
        <v>636</v>
      </c>
      <c r="J21" s="552">
        <f>'Данные - Крыша'!K21</f>
        <v>0</v>
      </c>
      <c r="K21" s="552">
        <f>'Данные - Крыша'!L21</f>
        <v>0</v>
      </c>
      <c r="L21" s="553">
        <f t="shared" si="0"/>
        <v>0</v>
      </c>
    </row>
    <row r="22" spans="2:12" ht="45">
      <c r="B22" s="556" t="s">
        <v>668</v>
      </c>
      <c r="C22" s="557" t="s">
        <v>85</v>
      </c>
      <c r="D22" s="557" t="str">
        <f>'Данные - Крыша'!C23</f>
        <v>DB-srIzospanB</v>
      </c>
      <c r="E22" s="557">
        <f>'Данные - Крыша'!E23</f>
        <v>0</v>
      </c>
      <c r="F22" s="550"/>
      <c r="H22" s="551">
        <v>21</v>
      </c>
      <c r="I22" s="544" t="s">
        <v>636</v>
      </c>
      <c r="J22" s="552">
        <f>'Данные - Крыша'!K22</f>
        <v>0</v>
      </c>
      <c r="K22" s="552">
        <f>'Данные - Крыша'!L22</f>
        <v>0</v>
      </c>
      <c r="L22" s="553">
        <f t="shared" si="0"/>
        <v>0</v>
      </c>
    </row>
    <row r="23" spans="2:12" ht="45">
      <c r="B23" s="556" t="s">
        <v>669</v>
      </c>
      <c r="C23" s="557" t="s">
        <v>85</v>
      </c>
      <c r="D23" s="557" t="str">
        <f>'Данные - Крыша'!C24</f>
        <v>DB-srIzospanB35</v>
      </c>
      <c r="E23" s="557">
        <f>'Данные - Крыша'!E24</f>
        <v>0</v>
      </c>
      <c r="F23" s="550"/>
      <c r="H23" s="551">
        <v>22</v>
      </c>
      <c r="I23" s="544" t="s">
        <v>636</v>
      </c>
      <c r="J23" s="552">
        <f>'Данные - Крыша'!K23</f>
        <v>0</v>
      </c>
      <c r="K23" s="552">
        <f>'Данные - Крыша'!L23</f>
        <v>0</v>
      </c>
      <c r="L23" s="553">
        <f t="shared" si="0"/>
        <v>0</v>
      </c>
    </row>
    <row r="24" spans="2:12" ht="30">
      <c r="B24" s="556" t="s">
        <v>671</v>
      </c>
      <c r="C24" s="557" t="s">
        <v>85</v>
      </c>
      <c r="D24" s="557" t="str">
        <f>'Данные - Крыша'!C25</f>
        <v>DB-srPrimUgol</v>
      </c>
      <c r="E24" s="557">
        <f>'Данные - Крыша'!E25</f>
        <v>0</v>
      </c>
      <c r="F24" s="550"/>
      <c r="H24" s="559" t="s">
        <v>670</v>
      </c>
      <c r="I24" s="547"/>
      <c r="J24" s="548"/>
      <c r="K24" s="549"/>
      <c r="L24" s="560" t="s">
        <v>214</v>
      </c>
    </row>
    <row r="25" spans="2:12" ht="45">
      <c r="B25" s="556" t="s">
        <v>672</v>
      </c>
      <c r="C25" s="557" t="s">
        <v>85</v>
      </c>
      <c r="D25" s="557" t="str">
        <f>'Данные - Крыша'!C26</f>
        <v>DB-mrPrimNakl</v>
      </c>
      <c r="E25" s="557">
        <f>'Данные - Крыша'!E26</f>
        <v>0</v>
      </c>
      <c r="F25" s="550"/>
      <c r="H25" s="561" t="s">
        <v>639</v>
      </c>
      <c r="I25" s="562" t="s">
        <v>160</v>
      </c>
      <c r="J25" s="563" t="str">
        <f>'Данные - Крыша'!K25</f>
        <v>DB-size</v>
      </c>
      <c r="K25" s="564"/>
      <c r="L25" s="553"/>
    </row>
    <row r="26" spans="2:12">
      <c r="B26" s="556" t="s">
        <v>674</v>
      </c>
      <c r="C26" s="557" t="s">
        <v>675</v>
      </c>
      <c r="D26" s="557" t="str">
        <f>'Данные - Крыша'!C27</f>
        <v>DB-srOSB</v>
      </c>
      <c r="E26" s="557">
        <f>'Данные - Крыша'!E27</f>
        <v>0</v>
      </c>
      <c r="F26" s="550"/>
      <c r="H26" s="565" t="s">
        <v>673</v>
      </c>
      <c r="I26" s="562" t="s">
        <v>160</v>
      </c>
      <c r="J26" s="566">
        <f>SUM(L2:L23)</f>
        <v>281.55399999999997</v>
      </c>
      <c r="K26" s="564">
        <v>500</v>
      </c>
      <c r="L26" s="557">
        <f>J26*K26</f>
        <v>140777</v>
      </c>
    </row>
    <row r="27" spans="2:12" ht="17.5" customHeight="1">
      <c r="B27" s="556" t="s">
        <v>741</v>
      </c>
      <c r="C27" s="557" t="s">
        <v>156</v>
      </c>
      <c r="D27" s="557" t="e">
        <f>ROUNDUP(D26*32/550*1.05,0)</f>
        <v>#VALUE!</v>
      </c>
      <c r="E27" s="557">
        <v>380</v>
      </c>
      <c r="F27" s="550"/>
      <c r="H27" s="565"/>
      <c r="I27" s="562"/>
      <c r="J27" s="566"/>
      <c r="K27" s="564"/>
      <c r="L27" s="557"/>
    </row>
    <row r="28" spans="2:12">
      <c r="B28" s="556" t="s">
        <v>678</v>
      </c>
      <c r="C28" s="557" t="s">
        <v>85</v>
      </c>
      <c r="D28" s="557" t="str">
        <f>'Данные - Крыша'!C29</f>
        <v>DB-srAero</v>
      </c>
      <c r="E28" s="557">
        <f>'Данные - Крыша'!E29</f>
        <v>0</v>
      </c>
      <c r="F28" s="550"/>
      <c r="H28" s="556" t="s">
        <v>676</v>
      </c>
      <c r="I28" s="557" t="s">
        <v>85</v>
      </c>
      <c r="J28" s="552">
        <f>'Данные - Крыша'!K27</f>
        <v>0</v>
      </c>
      <c r="K28" s="557"/>
      <c r="L28" s="550">
        <v>1650</v>
      </c>
    </row>
    <row r="29" spans="2:12" ht="45">
      <c r="B29" s="556" t="s">
        <v>679</v>
      </c>
      <c r="C29" s="557" t="s">
        <v>85</v>
      </c>
      <c r="D29" s="557" t="str">
        <f>'Данные - Крыша'!C30</f>
        <v>DB-srAeroSkat</v>
      </c>
      <c r="E29" s="557">
        <f>'Данные - Крыша'!E30</f>
        <v>0</v>
      </c>
      <c r="F29" s="550"/>
      <c r="H29" s="556" t="s">
        <v>655</v>
      </c>
      <c r="I29" s="557" t="s">
        <v>85</v>
      </c>
      <c r="J29" s="552">
        <f>'Данные - Крыша'!K28</f>
        <v>10</v>
      </c>
      <c r="K29" s="557"/>
      <c r="L29" s="550">
        <v>3800</v>
      </c>
    </row>
    <row r="30" spans="2:12">
      <c r="B30" s="567" t="s">
        <v>742</v>
      </c>
      <c r="C30" s="557" t="s">
        <v>63</v>
      </c>
      <c r="D30" s="568" t="e">
        <f>D31/0.2*0.15</f>
        <v>#VALUE!</v>
      </c>
      <c r="E30" s="557"/>
      <c r="F30" s="550"/>
      <c r="H30" s="556" t="s">
        <v>657</v>
      </c>
      <c r="I30" s="557" t="s">
        <v>85</v>
      </c>
      <c r="J30" s="552">
        <f>'Данные - Крыша'!K29</f>
        <v>15</v>
      </c>
      <c r="K30" s="557"/>
      <c r="L30" s="550">
        <v>2271</v>
      </c>
    </row>
    <row r="31" spans="2:12" ht="45">
      <c r="B31" s="556" t="s">
        <v>743</v>
      </c>
      <c r="C31" s="557" t="s">
        <v>63</v>
      </c>
      <c r="D31" s="569" t="str">
        <f>'Данные - Крыша'!C31</f>
        <v>DB-srtropValue</v>
      </c>
      <c r="E31" s="557">
        <f>'Данные - Крыша'!E31</f>
        <v>0</v>
      </c>
      <c r="F31" s="550"/>
      <c r="H31" s="556" t="s">
        <v>658</v>
      </c>
      <c r="I31" s="557" t="s">
        <v>85</v>
      </c>
      <c r="J31" s="552">
        <f>'Данные - Крыша'!K30</f>
        <v>10</v>
      </c>
      <c r="K31" s="557"/>
      <c r="L31" s="550">
        <v>4500</v>
      </c>
    </row>
    <row r="32" spans="2:12">
      <c r="B32" s="556" t="s">
        <v>689</v>
      </c>
      <c r="C32" s="557" t="s">
        <v>85</v>
      </c>
      <c r="D32" s="570" t="e">
        <f>ROUNDUP(D28*0.61/0.6*2,0)</f>
        <v>#VALUE!</v>
      </c>
      <c r="E32" s="557">
        <f>'Данные - Крыша'!E36</f>
        <v>0</v>
      </c>
      <c r="F32" s="550"/>
      <c r="H32" s="556" t="s">
        <v>681</v>
      </c>
      <c r="I32" s="557" t="s">
        <v>85</v>
      </c>
      <c r="J32" s="552">
        <f>'Данные - Крыша'!K31</f>
        <v>10</v>
      </c>
      <c r="K32" s="557"/>
      <c r="L32" s="550">
        <v>1315</v>
      </c>
    </row>
    <row r="33" spans="2:14">
      <c r="B33" s="556" t="s">
        <v>197</v>
      </c>
      <c r="C33" s="557" t="s">
        <v>85</v>
      </c>
      <c r="D33" s="569" t="e">
        <f>ROUNDUP(D32/2*0.1/2,0)</f>
        <v>#VALUE!</v>
      </c>
      <c r="E33" s="557">
        <f>'Данные - Крыша'!E37</f>
        <v>0</v>
      </c>
      <c r="F33" s="550"/>
      <c r="H33" s="556" t="s">
        <v>683</v>
      </c>
      <c r="I33" s="557" t="s">
        <v>85</v>
      </c>
      <c r="J33" s="552">
        <f>'Данные - Крыша'!K32</f>
        <v>0</v>
      </c>
      <c r="K33" s="557"/>
      <c r="L33" s="550">
        <v>500</v>
      </c>
    </row>
    <row r="34" spans="2:14">
      <c r="B34" s="556" t="s">
        <v>690</v>
      </c>
      <c r="C34" s="557" t="s">
        <v>85</v>
      </c>
      <c r="D34" s="552" t="e">
        <f>D32/2*4*1.02</f>
        <v>#VALUE!</v>
      </c>
      <c r="E34" s="569">
        <f>'Данные - Крыша'!E38</f>
        <v>0</v>
      </c>
      <c r="F34" s="550"/>
      <c r="H34" s="556" t="s">
        <v>685</v>
      </c>
      <c r="I34" s="557" t="s">
        <v>85</v>
      </c>
      <c r="J34" s="552">
        <f>'Данные - Крыша'!K33</f>
        <v>0</v>
      </c>
      <c r="K34" s="557"/>
      <c r="L34" s="550">
        <v>500</v>
      </c>
    </row>
    <row r="35" spans="2:14">
      <c r="B35" s="556" t="s">
        <v>691</v>
      </c>
      <c r="C35" s="557" t="s">
        <v>85</v>
      </c>
      <c r="D35" s="552" t="e">
        <f>D34</f>
        <v>#VALUE!</v>
      </c>
      <c r="E35" s="557">
        <f>'Данные - Крыша'!E39</f>
        <v>0</v>
      </c>
      <c r="F35" s="550"/>
      <c r="H35" s="556" t="s">
        <v>687</v>
      </c>
      <c r="I35" s="557" t="s">
        <v>642</v>
      </c>
      <c r="J35" s="552">
        <f>'Данные - Крыша'!K34</f>
        <v>7</v>
      </c>
      <c r="K35" s="557"/>
      <c r="L35" s="550">
        <v>500</v>
      </c>
    </row>
    <row r="36" spans="2:14" ht="30">
      <c r="B36" s="556" t="s">
        <v>693</v>
      </c>
      <c r="C36" s="557" t="s">
        <v>184</v>
      </c>
      <c r="D36" s="552" t="e">
        <f>ROUNDUP(D31/0.06*6/30,0)</f>
        <v>#VALUE!</v>
      </c>
      <c r="E36" s="557">
        <f>'Данные - Крыша'!E40</f>
        <v>0</v>
      </c>
      <c r="F36" s="550" t="e">
        <f>D37*3</f>
        <v>#VALUE!</v>
      </c>
      <c r="H36" s="556" t="s">
        <v>662</v>
      </c>
      <c r="I36" s="557" t="s">
        <v>642</v>
      </c>
      <c r="J36" s="552">
        <f>'Данные - Крыша'!K35</f>
        <v>1</v>
      </c>
      <c r="K36" s="557"/>
      <c r="L36" s="550">
        <v>500</v>
      </c>
    </row>
    <row r="37" spans="2:14">
      <c r="B37" s="556" t="s">
        <v>682</v>
      </c>
      <c r="C37" s="557" t="s">
        <v>85</v>
      </c>
      <c r="D37" s="570" t="e">
        <f>D31*16.6*6/3</f>
        <v>#VALUE!</v>
      </c>
      <c r="E37" s="557">
        <f>'Данные - Крыша'!E32</f>
        <v>0</v>
      </c>
      <c r="F37" s="550"/>
      <c r="H37" s="556" t="s">
        <v>663</v>
      </c>
      <c r="I37" s="557" t="s">
        <v>85</v>
      </c>
      <c r="J37" s="552">
        <f>'Данные - Крыша'!K36</f>
        <v>1</v>
      </c>
      <c r="K37" s="557"/>
      <c r="L37" s="550">
        <v>500</v>
      </c>
    </row>
    <row r="38" spans="2:14">
      <c r="B38" s="556" t="s">
        <v>702</v>
      </c>
      <c r="C38" s="557" t="s">
        <v>63</v>
      </c>
      <c r="D38" s="571" t="e">
        <f>ROUNDUP(D12*2/6,0)*2*0.0555+F38</f>
        <v>#VALUE!</v>
      </c>
      <c r="E38" s="557">
        <f>'Данные - Крыша'!E34</f>
        <v>0</v>
      </c>
      <c r="F38" s="550" t="e">
        <f>'Данные - Крыша'!C4*0.0107*1.05</f>
        <v>#VALUE!</v>
      </c>
      <c r="H38" s="556" t="s">
        <v>664</v>
      </c>
      <c r="I38" s="557" t="s">
        <v>85</v>
      </c>
      <c r="J38" s="552">
        <f>'Данные - Крыша'!K37</f>
        <v>4</v>
      </c>
      <c r="K38" s="557"/>
      <c r="L38" s="550">
        <v>1000</v>
      </c>
      <c r="N38" s="572"/>
    </row>
    <row r="39" spans="2:14">
      <c r="B39" s="556" t="s">
        <v>694</v>
      </c>
      <c r="C39" s="557" t="s">
        <v>85</v>
      </c>
      <c r="D39" s="570" t="e">
        <f>D12*1.95/0.6*2</f>
        <v>#VALUE!</v>
      </c>
      <c r="E39" s="557">
        <f>'Данные - Крыша'!E41</f>
        <v>0</v>
      </c>
      <c r="F39" s="550"/>
      <c r="H39" s="556" t="s">
        <v>665</v>
      </c>
      <c r="I39" s="557" t="s">
        <v>85</v>
      </c>
      <c r="J39" s="552">
        <f>'Данные - Крыша'!K38</f>
        <v>0</v>
      </c>
      <c r="K39" s="557"/>
      <c r="L39" s="550">
        <v>1000</v>
      </c>
      <c r="N39" s="572"/>
    </row>
    <row r="40" spans="2:14">
      <c r="B40" s="556" t="s">
        <v>744</v>
      </c>
      <c r="C40" s="557" t="s">
        <v>156</v>
      </c>
      <c r="D40" s="570" t="e">
        <f>D39*5/131*1.05</f>
        <v>#VALUE!</v>
      </c>
      <c r="E40" s="557"/>
      <c r="F40" s="550"/>
      <c r="H40" s="556" t="s">
        <v>692</v>
      </c>
      <c r="I40" s="557" t="s">
        <v>85</v>
      </c>
      <c r="J40" s="552">
        <f>'Данные - Крыша'!K39</f>
        <v>12</v>
      </c>
      <c r="K40" s="557"/>
      <c r="L40" s="550">
        <v>2500</v>
      </c>
      <c r="N40" s="572"/>
    </row>
    <row r="41" spans="2:14">
      <c r="B41" s="556" t="s">
        <v>696</v>
      </c>
      <c r="C41" s="557" t="s">
        <v>156</v>
      </c>
      <c r="D41" s="570" t="e">
        <f>D39*11/395*1.05</f>
        <v>#VALUE!</v>
      </c>
      <c r="E41" s="557">
        <f>'Данные - Крыша'!E43</f>
        <v>0</v>
      </c>
      <c r="F41" s="550"/>
      <c r="H41" s="556"/>
      <c r="I41" s="557"/>
      <c r="J41" s="552"/>
      <c r="K41" s="557"/>
      <c r="L41" s="550"/>
      <c r="N41" s="572"/>
    </row>
    <row r="42" spans="2:14">
      <c r="B42" s="556" t="s">
        <v>745</v>
      </c>
      <c r="C42" s="557" t="s">
        <v>156</v>
      </c>
      <c r="D42" s="570" t="e">
        <f>ROUNDUP(D37*5/87*1.05,0)</f>
        <v>#VALUE!</v>
      </c>
      <c r="E42" s="557"/>
      <c r="F42" s="550"/>
      <c r="H42" s="556"/>
      <c r="I42" s="557"/>
      <c r="J42" s="552"/>
      <c r="K42" s="557"/>
      <c r="L42" s="550"/>
      <c r="N42" s="572"/>
    </row>
    <row r="43" spans="2:14">
      <c r="B43" s="556" t="s">
        <v>746</v>
      </c>
      <c r="C43" s="557" t="s">
        <v>156</v>
      </c>
      <c r="D43" s="570" t="e">
        <f>ROUNDUP(D38*44.44*10/248*1.05,0)</f>
        <v>#VALUE!</v>
      </c>
      <c r="E43" s="557"/>
      <c r="F43" s="550"/>
      <c r="H43" s="556"/>
      <c r="I43" s="557"/>
      <c r="J43" s="552"/>
      <c r="K43" s="557"/>
      <c r="L43" s="550"/>
      <c r="N43" s="572"/>
    </row>
    <row r="44" spans="2:14">
      <c r="B44" s="556"/>
      <c r="C44" s="557"/>
      <c r="D44" s="570"/>
      <c r="E44" s="557"/>
      <c r="F44" s="550"/>
      <c r="H44" s="556"/>
      <c r="I44" s="557"/>
      <c r="J44" s="552"/>
      <c r="K44" s="557"/>
      <c r="L44" s="550"/>
      <c r="N44" s="572"/>
    </row>
    <row r="45" spans="2:14">
      <c r="B45" s="556"/>
      <c r="C45" s="557"/>
      <c r="D45" s="570"/>
      <c r="E45" s="557"/>
      <c r="F45" s="550"/>
      <c r="H45" s="556" t="s">
        <v>667</v>
      </c>
      <c r="I45" s="557" t="s">
        <v>85</v>
      </c>
      <c r="J45" s="552">
        <f>'Данные - Крыша'!K40</f>
        <v>92</v>
      </c>
      <c r="K45" s="557"/>
      <c r="L45" s="550">
        <v>4500</v>
      </c>
      <c r="N45" s="572"/>
    </row>
    <row r="46" spans="2:14">
      <c r="B46" s="556" t="s">
        <v>697</v>
      </c>
      <c r="C46" s="557" t="s">
        <v>85</v>
      </c>
      <c r="D46" s="569" t="e">
        <f>ROUNDUP(D12*2/5,0)</f>
        <v>#VALUE!</v>
      </c>
      <c r="E46" s="557">
        <v>612</v>
      </c>
      <c r="F46" s="550"/>
      <c r="H46" s="556" t="s">
        <v>668</v>
      </c>
      <c r="I46" s="557" t="s">
        <v>85</v>
      </c>
      <c r="J46" s="552">
        <f>'Данные - Крыша'!K41</f>
        <v>2</v>
      </c>
      <c r="K46" s="557"/>
      <c r="L46" s="550">
        <v>2250</v>
      </c>
      <c r="N46" s="572"/>
    </row>
    <row r="47" spans="2:14">
      <c r="B47" s="556" t="s">
        <v>180</v>
      </c>
      <c r="C47" s="557" t="s">
        <v>182</v>
      </c>
      <c r="D47" s="570" t="e">
        <f>ROUNDUP('Данные - Крыша'!C4*20/1000*2*1.05,0)</f>
        <v>#VALUE!</v>
      </c>
      <c r="E47" s="557">
        <f>'Данные - Крыша'!E45</f>
        <v>0</v>
      </c>
      <c r="F47" s="550"/>
      <c r="H47" s="556" t="s">
        <v>669</v>
      </c>
      <c r="I47" s="557" t="s">
        <v>85</v>
      </c>
      <c r="J47" s="552">
        <f>'Данные - Крыша'!K42</f>
        <v>1</v>
      </c>
      <c r="K47" s="557"/>
      <c r="L47" s="550">
        <v>1500</v>
      </c>
      <c r="N47" s="572"/>
    </row>
    <row r="48" spans="2:14" ht="30">
      <c r="B48" s="556" t="s">
        <v>747</v>
      </c>
      <c r="C48" s="557" t="s">
        <v>85</v>
      </c>
      <c r="D48" s="569" t="e">
        <f>ROUNDUP(F48/77,0)</f>
        <v>#VALUE!</v>
      </c>
      <c r="E48" s="557">
        <f>'Данные - Крыша'!E46</f>
        <v>0</v>
      </c>
      <c r="F48" s="550" t="e">
        <f>D49+D50+D51</f>
        <v>#VALUE!</v>
      </c>
      <c r="H48" s="556" t="s">
        <v>671</v>
      </c>
      <c r="I48" s="557" t="s">
        <v>85</v>
      </c>
      <c r="J48" s="552">
        <f>'Данные - Крыша'!K43</f>
        <v>0</v>
      </c>
      <c r="K48" s="557"/>
      <c r="L48" s="550">
        <v>980</v>
      </c>
      <c r="N48" s="572"/>
    </row>
    <row r="49" spans="2:14">
      <c r="B49" s="556" t="s">
        <v>748</v>
      </c>
      <c r="C49" s="557" t="s">
        <v>160</v>
      </c>
      <c r="D49" s="570" t="e">
        <f>D31*16.6*6*0.5</f>
        <v>#VALUE!</v>
      </c>
      <c r="E49" s="557"/>
      <c r="F49" s="550"/>
      <c r="G49" s="573" t="s">
        <v>63</v>
      </c>
      <c r="H49" s="556" t="s">
        <v>672</v>
      </c>
      <c r="I49" s="557" t="s">
        <v>85</v>
      </c>
      <c r="J49" s="552">
        <f>'Данные - Крыша'!K44</f>
        <v>0</v>
      </c>
      <c r="K49" s="557"/>
      <c r="L49" s="550">
        <v>2500</v>
      </c>
      <c r="N49" s="572"/>
    </row>
    <row r="50" spans="2:14">
      <c r="B50" s="556" t="s">
        <v>749</v>
      </c>
      <c r="C50" s="557" t="s">
        <v>160</v>
      </c>
      <c r="D50" s="570" t="e">
        <f>D37*3*0.2</f>
        <v>#VALUE!</v>
      </c>
      <c r="E50" s="557"/>
      <c r="F50" s="550"/>
      <c r="G50" s="574" t="e">
        <f>D31+D38+D37*0.05*0.05*3</f>
        <v>#VALUE!</v>
      </c>
      <c r="H50" s="556"/>
      <c r="I50" s="557"/>
      <c r="J50" s="552"/>
      <c r="K50" s="557"/>
      <c r="L50" s="550"/>
      <c r="N50" s="572"/>
    </row>
    <row r="51" spans="2:14">
      <c r="B51" s="556" t="s">
        <v>750</v>
      </c>
      <c r="C51" s="557" t="s">
        <v>160</v>
      </c>
      <c r="D51" s="570" t="e">
        <f>D38*44.44*6*0.35</f>
        <v>#VALUE!</v>
      </c>
      <c r="E51" s="557"/>
      <c r="F51" s="575" t="s">
        <v>751</v>
      </c>
      <c r="G51" s="550"/>
      <c r="H51" s="556"/>
      <c r="I51" s="557"/>
      <c r="J51" s="552"/>
      <c r="K51" s="557"/>
      <c r="L51" s="550"/>
      <c r="N51" s="572"/>
    </row>
    <row r="52" spans="2:14" ht="45">
      <c r="B52" s="556" t="s">
        <v>699</v>
      </c>
      <c r="C52" s="557" t="s">
        <v>63</v>
      </c>
      <c r="D52" s="576" t="e">
        <f>D31+D37*0.05*0.05*3+D38</f>
        <v>#VALUE!</v>
      </c>
      <c r="E52" s="577" t="e">
        <f>ROUNDUP(F52/10,1)</f>
        <v>#VALUE!</v>
      </c>
      <c r="F52" s="575" t="e">
        <f>G50*0.65</f>
        <v>#VALUE!</v>
      </c>
      <c r="G52" s="550"/>
      <c r="H52" s="556" t="s">
        <v>700</v>
      </c>
      <c r="I52" s="557" t="s">
        <v>63</v>
      </c>
      <c r="J52" s="569" t="str">
        <f>'Данные - Крыша'!K47</f>
        <v>DB-srtropValue</v>
      </c>
      <c r="K52" s="557"/>
      <c r="L52" s="550">
        <v>25000</v>
      </c>
    </row>
    <row r="53" spans="2:14" ht="46">
      <c r="B53" s="578" t="s">
        <v>701</v>
      </c>
      <c r="C53" s="557" t="s">
        <v>167</v>
      </c>
      <c r="D53" s="579" t="e">
        <f>CEILING(E74/1000,1)/10</f>
        <v>#VALUE!</v>
      </c>
      <c r="E53" s="580">
        <v>1</v>
      </c>
      <c r="F53" s="581" t="s">
        <v>811</v>
      </c>
      <c r="G53" s="582" t="s">
        <v>812</v>
      </c>
      <c r="H53" s="556" t="s">
        <v>682</v>
      </c>
      <c r="I53" s="557" t="s">
        <v>85</v>
      </c>
      <c r="J53" s="570" t="e">
        <f>J52*16.6*6/3</f>
        <v>#VALUE!</v>
      </c>
      <c r="K53" s="557"/>
      <c r="L53" s="550">
        <v>180</v>
      </c>
    </row>
    <row r="54" spans="2:14">
      <c r="B54" s="556"/>
      <c r="C54" s="557"/>
      <c r="D54" s="557"/>
      <c r="E54" s="557"/>
      <c r="F54" s="550"/>
      <c r="H54" s="556" t="s">
        <v>702</v>
      </c>
      <c r="I54" s="557" t="s">
        <v>63</v>
      </c>
      <c r="J54" s="569" t="e">
        <f>D38</f>
        <v>#VALUE!</v>
      </c>
      <c r="K54" s="557"/>
      <c r="L54" s="550">
        <v>25000</v>
      </c>
    </row>
    <row r="55" spans="2:14">
      <c r="B55" s="567" t="s">
        <v>752</v>
      </c>
      <c r="C55" s="557" t="s">
        <v>85</v>
      </c>
      <c r="D55" s="583" t="e">
        <f>D21/4*3</f>
        <v>#VALUE!</v>
      </c>
      <c r="E55" s="557">
        <v>980</v>
      </c>
      <c r="F55" s="550"/>
      <c r="H55" s="556" t="s">
        <v>689</v>
      </c>
      <c r="I55" s="557" t="s">
        <v>85</v>
      </c>
      <c r="J55" s="569">
        <f>ROUNDUP(J28*2/0.6*2,0)</f>
        <v>0</v>
      </c>
      <c r="K55" s="557"/>
      <c r="L55" s="550">
        <v>50</v>
      </c>
    </row>
    <row r="56" spans="2:14">
      <c r="B56" s="556"/>
      <c r="C56" s="557"/>
      <c r="D56" s="557"/>
      <c r="E56" s="557"/>
      <c r="F56" s="550"/>
      <c r="H56" s="556" t="s">
        <v>197</v>
      </c>
      <c r="I56" s="557" t="s">
        <v>85</v>
      </c>
      <c r="J56" s="569">
        <f>ROUNDUP(J55/2*0.1/2,0)</f>
        <v>0</v>
      </c>
      <c r="K56" s="557"/>
      <c r="L56" s="550">
        <v>240</v>
      </c>
    </row>
    <row r="57" spans="2:14">
      <c r="H57" s="556" t="s">
        <v>690</v>
      </c>
      <c r="I57" s="557" t="s">
        <v>85</v>
      </c>
      <c r="J57" s="569">
        <f>J55/2*4*1.05</f>
        <v>0</v>
      </c>
      <c r="K57" s="557"/>
      <c r="L57" s="550">
        <v>3.5</v>
      </c>
    </row>
    <row r="58" spans="2:14" ht="19">
      <c r="B58" s="584" t="s">
        <v>753</v>
      </c>
      <c r="H58" s="556" t="s">
        <v>691</v>
      </c>
      <c r="I58" s="557" t="s">
        <v>85</v>
      </c>
      <c r="J58" s="569">
        <f>J57</f>
        <v>0</v>
      </c>
      <c r="K58" s="557"/>
      <c r="L58" s="550">
        <v>7</v>
      </c>
    </row>
    <row r="59" spans="2:14" ht="30">
      <c r="B59" s="585" t="s">
        <v>703</v>
      </c>
      <c r="C59" s="586" t="s">
        <v>160</v>
      </c>
      <c r="D59" s="587">
        <f>'Данные - Крыша'!C53</f>
        <v>0</v>
      </c>
      <c r="E59" s="587"/>
      <c r="H59" s="556" t="s">
        <v>693</v>
      </c>
      <c r="I59" s="557" t="s">
        <v>85</v>
      </c>
      <c r="J59" s="569" t="e">
        <f>ROUNDUP(J52/0.06*6/30,0)</f>
        <v>#VALUE!</v>
      </c>
      <c r="K59" s="557"/>
      <c r="L59" s="550">
        <v>455</v>
      </c>
    </row>
    <row r="60" spans="2:14">
      <c r="B60" s="585" t="s">
        <v>704</v>
      </c>
      <c r="C60" s="586" t="s">
        <v>160</v>
      </c>
      <c r="D60" s="587">
        <f>'Данные - Крыша'!C54</f>
        <v>0</v>
      </c>
      <c r="E60" s="587"/>
      <c r="H60" s="556" t="s">
        <v>694</v>
      </c>
      <c r="I60" s="557" t="s">
        <v>85</v>
      </c>
      <c r="J60" s="557">
        <f>J31*1.95/0.6*2</f>
        <v>65</v>
      </c>
      <c r="K60" s="557"/>
      <c r="L60" s="550">
        <v>57</v>
      </c>
    </row>
    <row r="61" spans="2:14">
      <c r="B61" s="585" t="s">
        <v>705</v>
      </c>
      <c r="C61" s="586" t="s">
        <v>160</v>
      </c>
      <c r="D61" s="587">
        <f>'Данные - Крыша'!C55</f>
        <v>0</v>
      </c>
      <c r="E61" s="587"/>
      <c r="H61" s="556" t="s">
        <v>696</v>
      </c>
      <c r="I61" s="557" t="s">
        <v>156</v>
      </c>
      <c r="J61" s="557">
        <f>J60*11/395*1.05</f>
        <v>1.9006329113924052</v>
      </c>
      <c r="K61" s="557"/>
      <c r="L61" s="550">
        <v>380</v>
      </c>
    </row>
    <row r="62" spans="2:14">
      <c r="B62" s="585" t="s">
        <v>706</v>
      </c>
      <c r="C62" s="586" t="s">
        <v>160</v>
      </c>
      <c r="D62" s="587">
        <f>'Данные - Крыша'!C56</f>
        <v>0</v>
      </c>
      <c r="E62" s="587"/>
      <c r="H62" s="556" t="s">
        <v>697</v>
      </c>
      <c r="I62" s="557" t="s">
        <v>85</v>
      </c>
      <c r="J62" s="553">
        <f>ROUNDUP(J31*2/5,0)</f>
        <v>4</v>
      </c>
      <c r="K62" s="557"/>
      <c r="L62" s="550">
        <v>612</v>
      </c>
    </row>
    <row r="63" spans="2:14">
      <c r="B63" s="585" t="s">
        <v>707</v>
      </c>
      <c r="C63" s="586" t="s">
        <v>160</v>
      </c>
      <c r="D63" s="587">
        <f>'Данные - Крыша'!C57</f>
        <v>0</v>
      </c>
      <c r="E63" s="587"/>
      <c r="H63" s="556" t="s">
        <v>180</v>
      </c>
      <c r="I63" s="557" t="s">
        <v>85</v>
      </c>
      <c r="J63" s="553" t="e">
        <f>ROUNDUP(J25*20/1000*2*1.05,0)</f>
        <v>#VALUE!</v>
      </c>
      <c r="K63" s="557"/>
      <c r="L63" s="550">
        <v>65</v>
      </c>
    </row>
    <row r="64" spans="2:14">
      <c r="B64" s="585" t="s">
        <v>708</v>
      </c>
      <c r="C64" s="586" t="s">
        <v>160</v>
      </c>
      <c r="D64" s="587">
        <f>'Данные - Крыша'!C58</f>
        <v>0</v>
      </c>
      <c r="E64" s="587"/>
      <c r="H64" s="556" t="s">
        <v>698</v>
      </c>
      <c r="I64" s="557" t="s">
        <v>85</v>
      </c>
      <c r="J64" s="557" t="e">
        <f>D48</f>
        <v>#VALUE!</v>
      </c>
      <c r="K64" s="557"/>
      <c r="L64" s="550">
        <v>3500</v>
      </c>
    </row>
    <row r="65" spans="2:12">
      <c r="B65" s="585" t="s">
        <v>709</v>
      </c>
      <c r="C65" s="586" t="s">
        <v>86</v>
      </c>
      <c r="D65" s="587">
        <f>'Данные - Крыша'!C59</f>
        <v>0</v>
      </c>
      <c r="E65" s="587"/>
      <c r="H65" s="556" t="s">
        <v>699</v>
      </c>
      <c r="I65" s="557" t="s">
        <v>63</v>
      </c>
      <c r="J65" s="588" t="e">
        <f>J52+J53*0.05*0.05*3+J54</f>
        <v>#VALUE!</v>
      </c>
      <c r="K65" s="577"/>
      <c r="L65" s="550">
        <v>10000</v>
      </c>
    </row>
    <row r="66" spans="2:12" ht="30">
      <c r="B66" s="585" t="s">
        <v>710</v>
      </c>
      <c r="C66" s="586" t="s">
        <v>160</v>
      </c>
      <c r="D66" s="587">
        <f>'Данные - Крыша'!C60</f>
        <v>0</v>
      </c>
      <c r="E66" s="587"/>
      <c r="H66" s="556" t="s">
        <v>701</v>
      </c>
      <c r="I66" s="557" t="s">
        <v>654</v>
      </c>
      <c r="J66" s="557"/>
      <c r="K66" s="557"/>
      <c r="L66" s="550">
        <v>10000</v>
      </c>
    </row>
    <row r="67" spans="2:12">
      <c r="B67" s="585" t="s">
        <v>711</v>
      </c>
      <c r="C67" s="586" t="s">
        <v>160</v>
      </c>
      <c r="D67" s="587">
        <f>'Данные - Крыша'!C61</f>
        <v>0</v>
      </c>
      <c r="E67" s="587"/>
      <c r="H67" s="556"/>
      <c r="I67" s="557"/>
      <c r="J67" s="557"/>
      <c r="K67" s="557"/>
      <c r="L67" s="550"/>
    </row>
    <row r="68" spans="2:12">
      <c r="B68" s="585" t="s">
        <v>674</v>
      </c>
      <c r="C68" s="586" t="s">
        <v>160</v>
      </c>
      <c r="D68" s="587">
        <f>'Данные - Крыша'!C62</f>
        <v>45</v>
      </c>
      <c r="E68" s="587"/>
      <c r="H68" s="589"/>
      <c r="I68" s="590"/>
      <c r="J68" s="590"/>
      <c r="K68" s="590"/>
      <c r="L68" s="591"/>
    </row>
    <row r="69" spans="2:12">
      <c r="B69" s="592" t="s">
        <v>712</v>
      </c>
      <c r="C69" s="546" t="s">
        <v>160</v>
      </c>
      <c r="D69" s="546">
        <f>'Данные - Крыша'!C63</f>
        <v>0</v>
      </c>
      <c r="E69" s="587"/>
      <c r="H69" s="1275" t="s">
        <v>494</v>
      </c>
      <c r="I69" s="1276"/>
      <c r="J69" s="1276"/>
      <c r="K69" s="1276"/>
      <c r="L69" s="1277"/>
    </row>
    <row r="70" spans="2:12">
      <c r="B70" s="593" t="s">
        <v>713</v>
      </c>
      <c r="C70" s="561" t="s">
        <v>160</v>
      </c>
      <c r="D70" s="561">
        <f>'Данные - Крыша'!C64</f>
        <v>0</v>
      </c>
      <c r="E70" s="587"/>
      <c r="H70" s="585"/>
      <c r="I70" s="586"/>
      <c r="J70" s="594" t="s">
        <v>214</v>
      </c>
      <c r="K70" s="587"/>
    </row>
    <row r="71" spans="2:12">
      <c r="B71" s="593" t="s">
        <v>714</v>
      </c>
      <c r="C71" s="561" t="s">
        <v>86</v>
      </c>
      <c r="D71" s="561">
        <f>'Данные - Крыша'!C65</f>
        <v>0</v>
      </c>
      <c r="E71" s="595">
        <f>'Данные - Крыша'!C78*3+'Данные - Крыша'!C79*1</f>
        <v>16</v>
      </c>
      <c r="F71" s="596">
        <f>'Данные - Крыша'!C94*3+'Данные - Крыша'!C95*1</f>
        <v>16</v>
      </c>
      <c r="H71" s="585" t="s">
        <v>703</v>
      </c>
      <c r="I71" s="586" t="s">
        <v>63</v>
      </c>
      <c r="J71" s="587">
        <v>200</v>
      </c>
      <c r="K71" s="587"/>
    </row>
    <row r="72" spans="2:12">
      <c r="B72" s="593" t="s">
        <v>715</v>
      </c>
      <c r="C72" s="561" t="s">
        <v>86</v>
      </c>
      <c r="D72" s="561">
        <f>'Данные - Крыша'!C66</f>
        <v>0</v>
      </c>
      <c r="E72" s="595">
        <f>'Данные - Крыша'!C71*3</f>
        <v>24</v>
      </c>
      <c r="F72" s="596">
        <f>'Данные - Крыша'!C87*3</f>
        <v>24</v>
      </c>
      <c r="H72" s="585" t="s">
        <v>704</v>
      </c>
      <c r="I72" s="586" t="s">
        <v>160</v>
      </c>
      <c r="J72" s="587">
        <v>180</v>
      </c>
      <c r="K72" s="587"/>
    </row>
    <row r="73" spans="2:12">
      <c r="B73" s="593" t="s">
        <v>716</v>
      </c>
      <c r="C73" s="561" t="s">
        <v>63</v>
      </c>
      <c r="D73" s="597"/>
      <c r="E73" s="587"/>
      <c r="F73" s="598"/>
      <c r="G73" s="598" t="s">
        <v>804</v>
      </c>
      <c r="H73" s="585" t="s">
        <v>705</v>
      </c>
      <c r="I73" s="586" t="s">
        <v>160</v>
      </c>
      <c r="J73" s="587">
        <v>240</v>
      </c>
      <c r="K73" s="587"/>
    </row>
    <row r="74" spans="2:12">
      <c r="B74" s="599" t="s">
        <v>801</v>
      </c>
      <c r="C74" s="561" t="s">
        <v>654</v>
      </c>
      <c r="D74" s="561"/>
      <c r="E74" s="600" t="e">
        <f>F74+G74+F76+G76+F78+G80+G81+G79</f>
        <v>#VALUE!</v>
      </c>
      <c r="F74" s="601" t="e">
        <f>D4*25</f>
        <v>#VALUE!</v>
      </c>
      <c r="G74" s="601" t="e">
        <f>D5*22</f>
        <v>#VALUE!</v>
      </c>
      <c r="H74" s="585" t="s">
        <v>706</v>
      </c>
      <c r="I74" s="586" t="s">
        <v>160</v>
      </c>
      <c r="J74" s="587">
        <v>200</v>
      </c>
      <c r="K74" s="587"/>
    </row>
    <row r="75" spans="2:12">
      <c r="B75" s="599" t="s">
        <v>802</v>
      </c>
      <c r="C75" s="561" t="s">
        <v>654</v>
      </c>
      <c r="D75" s="561"/>
      <c r="E75" s="600" t="e">
        <f>F75+F76+F78+G79</f>
        <v>#VALUE!</v>
      </c>
      <c r="F75" s="601">
        <f>J26*3.25</f>
        <v>915.05049999999994</v>
      </c>
      <c r="G75" s="601" t="s">
        <v>805</v>
      </c>
      <c r="H75" s="585" t="s">
        <v>707</v>
      </c>
      <c r="I75" s="586" t="s">
        <v>160</v>
      </c>
      <c r="J75" s="587">
        <v>600</v>
      </c>
      <c r="K75" s="587"/>
    </row>
    <row r="76" spans="2:12">
      <c r="E76" s="544" t="s">
        <v>803</v>
      </c>
      <c r="F76" s="601" t="e">
        <f>D21*10.8</f>
        <v>#VALUE!</v>
      </c>
      <c r="G76" s="601" t="e">
        <f>D26*22.5</f>
        <v>#VALUE!</v>
      </c>
      <c r="H76" s="585" t="s">
        <v>708</v>
      </c>
      <c r="I76" s="586" t="s">
        <v>160</v>
      </c>
      <c r="J76" s="587">
        <v>150</v>
      </c>
      <c r="K76" s="587"/>
    </row>
    <row r="77" spans="2:12" ht="19">
      <c r="B77" s="602" t="s">
        <v>718</v>
      </c>
      <c r="F77" s="603" t="s">
        <v>806</v>
      </c>
      <c r="G77" s="603"/>
      <c r="H77" s="585" t="s">
        <v>709</v>
      </c>
      <c r="I77" s="586" t="s">
        <v>86</v>
      </c>
      <c r="J77" s="587">
        <v>5</v>
      </c>
      <c r="K77" s="587"/>
    </row>
    <row r="78" spans="2:12">
      <c r="B78" s="556" t="s">
        <v>719</v>
      </c>
      <c r="C78" s="557" t="s">
        <v>85</v>
      </c>
      <c r="D78" s="557"/>
      <c r="E78" s="557"/>
      <c r="F78" s="601" t="e">
        <f>D48*23</f>
        <v>#VALUE!</v>
      </c>
      <c r="G78" s="603"/>
      <c r="H78" s="585" t="s">
        <v>710</v>
      </c>
      <c r="I78" s="586" t="s">
        <v>160</v>
      </c>
      <c r="J78" s="587">
        <v>180</v>
      </c>
      <c r="K78" s="587"/>
    </row>
    <row r="79" spans="2:12">
      <c r="B79" s="556" t="s">
        <v>720</v>
      </c>
      <c r="C79" s="557" t="s">
        <v>85</v>
      </c>
      <c r="D79" s="557"/>
      <c r="E79" s="557"/>
      <c r="G79" s="604"/>
      <c r="H79" s="585" t="s">
        <v>711</v>
      </c>
      <c r="I79" s="586" t="s">
        <v>160</v>
      </c>
      <c r="J79" s="587">
        <v>45</v>
      </c>
      <c r="K79" s="587"/>
    </row>
    <row r="80" spans="2:12">
      <c r="B80" s="556" t="s">
        <v>721</v>
      </c>
      <c r="C80" s="557" t="s">
        <v>85</v>
      </c>
      <c r="D80" s="557"/>
      <c r="E80" s="557"/>
      <c r="F80" s="544" t="s">
        <v>809</v>
      </c>
      <c r="G80" s="551" t="e">
        <f>D7*3.6</f>
        <v>#VALUE!</v>
      </c>
      <c r="H80" s="592" t="s">
        <v>712</v>
      </c>
      <c r="I80" s="546" t="s">
        <v>160</v>
      </c>
      <c r="J80" s="546">
        <v>500</v>
      </c>
      <c r="K80" s="587"/>
    </row>
    <row r="81" spans="2:12">
      <c r="B81" s="556" t="s">
        <v>722</v>
      </c>
      <c r="C81" s="557" t="s">
        <v>85</v>
      </c>
      <c r="D81" s="557"/>
      <c r="E81" s="557"/>
      <c r="F81" s="544" t="s">
        <v>810</v>
      </c>
      <c r="G81" s="551" t="e">
        <f>D8*12</f>
        <v>#VALUE!</v>
      </c>
      <c r="H81" s="593" t="s">
        <v>714</v>
      </c>
      <c r="I81" s="561" t="s">
        <v>86</v>
      </c>
      <c r="J81" s="561">
        <v>350</v>
      </c>
      <c r="K81" s="587"/>
    </row>
    <row r="82" spans="2:12">
      <c r="B82" s="556" t="s">
        <v>723</v>
      </c>
      <c r="C82" s="557" t="s">
        <v>85</v>
      </c>
      <c r="D82" s="557"/>
      <c r="E82" s="557"/>
      <c r="H82" s="593" t="s">
        <v>715</v>
      </c>
      <c r="I82" s="561" t="s">
        <v>86</v>
      </c>
      <c r="J82" s="561">
        <v>650</v>
      </c>
      <c r="K82" s="587"/>
    </row>
    <row r="83" spans="2:12">
      <c r="B83" s="556" t="s">
        <v>724</v>
      </c>
      <c r="C83" s="557" t="s">
        <v>85</v>
      </c>
      <c r="D83" s="557"/>
      <c r="E83" s="557"/>
      <c r="H83" s="593" t="s">
        <v>716</v>
      </c>
      <c r="I83" s="561" t="s">
        <v>63</v>
      </c>
      <c r="J83" s="605"/>
      <c r="K83" s="587"/>
    </row>
    <row r="84" spans="2:12">
      <c r="B84" s="556" t="s">
        <v>725</v>
      </c>
      <c r="C84" s="557" t="s">
        <v>85</v>
      </c>
      <c r="D84" s="557"/>
      <c r="E84" s="557"/>
      <c r="H84" s="593" t="s">
        <v>717</v>
      </c>
      <c r="I84" s="561" t="s">
        <v>654</v>
      </c>
      <c r="J84" s="561"/>
      <c r="K84" s="587"/>
    </row>
    <row r="85" spans="2:12">
      <c r="B85" s="556" t="s">
        <v>726</v>
      </c>
      <c r="C85" s="557" t="s">
        <v>85</v>
      </c>
      <c r="D85" s="557"/>
      <c r="E85" s="557"/>
    </row>
    <row r="86" spans="2:12">
      <c r="B86" s="556" t="s">
        <v>727</v>
      </c>
      <c r="C86" s="557" t="s">
        <v>85</v>
      </c>
      <c r="D86" s="557"/>
      <c r="E86" s="557"/>
    </row>
    <row r="87" spans="2:12">
      <c r="B87" s="556" t="s">
        <v>728</v>
      </c>
      <c r="C87" s="557" t="s">
        <v>85</v>
      </c>
      <c r="D87" s="557"/>
      <c r="E87" s="557"/>
    </row>
    <row r="88" spans="2:12">
      <c r="B88" s="556" t="s">
        <v>729</v>
      </c>
      <c r="C88" s="557" t="s">
        <v>85</v>
      </c>
      <c r="D88" s="557"/>
      <c r="E88" s="557"/>
      <c r="H88" s="1278" t="s">
        <v>637</v>
      </c>
      <c r="I88" s="1279"/>
      <c r="J88" s="1279"/>
      <c r="K88" s="1279"/>
      <c r="L88" s="1279"/>
    </row>
    <row r="89" spans="2:12" ht="16">
      <c r="B89" s="556" t="s">
        <v>730</v>
      </c>
      <c r="C89" s="557" t="s">
        <v>85</v>
      </c>
      <c r="D89" s="557"/>
      <c r="E89" s="557"/>
      <c r="H89" s="593" t="s">
        <v>754</v>
      </c>
      <c r="I89" s="561" t="s">
        <v>63</v>
      </c>
      <c r="J89" s="606" t="e">
        <f>D3*0.025*1.05</f>
        <v>#VALUE!</v>
      </c>
      <c r="K89" s="561"/>
      <c r="L89" s="561"/>
    </row>
    <row r="90" spans="2:12" ht="16">
      <c r="B90" s="556" t="s">
        <v>731</v>
      </c>
      <c r="C90" s="557" t="s">
        <v>85</v>
      </c>
      <c r="D90" s="557"/>
      <c r="E90" s="557"/>
      <c r="H90" s="593" t="s">
        <v>755</v>
      </c>
      <c r="I90" s="561" t="s">
        <v>63</v>
      </c>
      <c r="J90" s="606" t="str">
        <f>D31</f>
        <v>DB-srtropValue</v>
      </c>
      <c r="K90" s="561"/>
      <c r="L90" s="561"/>
    </row>
    <row r="91" spans="2:12">
      <c r="H91" s="593" t="s">
        <v>645</v>
      </c>
      <c r="I91" s="561" t="s">
        <v>184</v>
      </c>
      <c r="J91" s="606" t="e">
        <f>ROUNDUP('Данные - Крыша'!C4*1.1/15+0.88*1.05,0)</f>
        <v>#VALUE!</v>
      </c>
      <c r="K91" s="561"/>
      <c r="L91" s="561"/>
    </row>
    <row r="92" spans="2:12" ht="19">
      <c r="B92" s="602" t="s">
        <v>732</v>
      </c>
      <c r="H92" s="593" t="s">
        <v>647</v>
      </c>
      <c r="I92" s="561" t="s">
        <v>148</v>
      </c>
      <c r="J92" s="606" t="e">
        <f>ROUNDUP('Данные - Крыша'!C4*2.1-0.17,0)</f>
        <v>#VALUE!</v>
      </c>
      <c r="K92" s="561"/>
      <c r="L92" s="561"/>
    </row>
    <row r="93" spans="2:12">
      <c r="B93" s="556" t="s">
        <v>719</v>
      </c>
      <c r="C93" s="557" t="s">
        <v>85</v>
      </c>
      <c r="D93" s="557"/>
      <c r="E93" s="557"/>
      <c r="H93" s="593" t="s">
        <v>756</v>
      </c>
      <c r="I93" s="561" t="s">
        <v>156</v>
      </c>
      <c r="J93" s="607" t="e">
        <f>J89*44.44*10/395*1.05</f>
        <v>#VALUE!</v>
      </c>
      <c r="K93" s="561"/>
      <c r="L93" s="561"/>
    </row>
    <row r="94" spans="2:12">
      <c r="B94" s="556" t="s">
        <v>720</v>
      </c>
      <c r="C94" s="557" t="s">
        <v>85</v>
      </c>
      <c r="D94" s="557"/>
      <c r="E94" s="557"/>
      <c r="H94" s="593" t="s">
        <v>757</v>
      </c>
      <c r="I94" s="561" t="s">
        <v>156</v>
      </c>
      <c r="J94" s="606" t="e">
        <f>ROUNDUP(J92/0.6/395*1.05,0)</f>
        <v>#VALUE!</v>
      </c>
      <c r="K94" s="561"/>
      <c r="L94" s="561"/>
    </row>
    <row r="95" spans="2:12">
      <c r="B95" s="556" t="s">
        <v>721</v>
      </c>
      <c r="C95" s="557" t="s">
        <v>85</v>
      </c>
      <c r="D95" s="557"/>
      <c r="E95" s="557"/>
      <c r="H95" s="593" t="s">
        <v>758</v>
      </c>
      <c r="I95" s="561" t="s">
        <v>156</v>
      </c>
      <c r="J95" s="606"/>
      <c r="K95" s="561"/>
      <c r="L95" s="561"/>
    </row>
    <row r="96" spans="2:12">
      <c r="B96" s="556" t="s">
        <v>722</v>
      </c>
      <c r="C96" s="557" t="s">
        <v>85</v>
      </c>
      <c r="D96" s="557"/>
      <c r="E96" s="557"/>
      <c r="H96" s="593" t="s">
        <v>759</v>
      </c>
      <c r="I96" s="561" t="s">
        <v>167</v>
      </c>
      <c r="J96" s="608" t="e">
        <f>ROUNDUP(K96/10,0)</f>
        <v>#VALUE!</v>
      </c>
      <c r="K96" s="561" t="e">
        <f>L96*0.8</f>
        <v>#VALUE!</v>
      </c>
      <c r="L96" s="561" t="e">
        <f>J89+J90+J92*0.00125</f>
        <v>#VALUE!</v>
      </c>
    </row>
    <row r="97" spans="2:12">
      <c r="B97" s="556" t="s">
        <v>723</v>
      </c>
      <c r="C97" s="557" t="s">
        <v>85</v>
      </c>
      <c r="D97" s="557"/>
      <c r="E97" s="557"/>
      <c r="H97" s="593" t="s">
        <v>760</v>
      </c>
      <c r="I97" s="561" t="s">
        <v>167</v>
      </c>
      <c r="J97" s="608">
        <v>1</v>
      </c>
      <c r="K97" s="561"/>
      <c r="L97" s="561"/>
    </row>
    <row r="98" spans="2:12">
      <c r="B98" s="609" t="s">
        <v>724</v>
      </c>
      <c r="C98" s="557" t="s">
        <v>85</v>
      </c>
      <c r="D98" s="610"/>
      <c r="E98" s="610"/>
    </row>
    <row r="99" spans="2:12">
      <c r="B99" s="609" t="s">
        <v>725</v>
      </c>
      <c r="C99" s="557" t="s">
        <v>85</v>
      </c>
      <c r="D99" s="610">
        <v>2</v>
      </c>
      <c r="E99" s="610"/>
    </row>
    <row r="100" spans="2:12">
      <c r="B100" s="609" t="s">
        <v>726</v>
      </c>
      <c r="C100" s="557" t="s">
        <v>85</v>
      </c>
      <c r="D100" s="610">
        <v>4</v>
      </c>
      <c r="E100" s="610"/>
    </row>
    <row r="101" spans="2:12">
      <c r="B101" s="609" t="s">
        <v>727</v>
      </c>
      <c r="C101" s="557" t="s">
        <v>85</v>
      </c>
      <c r="D101" s="610">
        <v>2</v>
      </c>
      <c r="E101" s="610"/>
    </row>
    <row r="102" spans="2:12">
      <c r="B102" s="609" t="s">
        <v>728</v>
      </c>
      <c r="C102" s="557" t="s">
        <v>85</v>
      </c>
      <c r="D102" s="610">
        <v>2</v>
      </c>
      <c r="E102" s="610"/>
    </row>
    <row r="103" spans="2:12">
      <c r="B103" s="609" t="s">
        <v>733</v>
      </c>
      <c r="C103" s="557" t="s">
        <v>85</v>
      </c>
      <c r="D103" s="610"/>
      <c r="E103" s="610"/>
    </row>
    <row r="104" spans="2:12">
      <c r="B104" s="609" t="s">
        <v>734</v>
      </c>
      <c r="C104" s="557" t="s">
        <v>85</v>
      </c>
      <c r="D104" s="610"/>
      <c r="E104" s="610"/>
    </row>
    <row r="105" spans="2:12">
      <c r="B105" s="609" t="s">
        <v>735</v>
      </c>
      <c r="C105" s="557" t="s">
        <v>85</v>
      </c>
      <c r="D105" s="610"/>
      <c r="E105" s="610"/>
    </row>
    <row r="106" spans="2:12">
      <c r="B106" s="609"/>
      <c r="C106" s="557"/>
      <c r="D106" s="610"/>
      <c r="E106" s="610"/>
    </row>
  </sheetData>
  <sheetProtection algorithmName="SHA-512" hashValue="VzVpyYj9jvSbdTXRDypfAPaG9OMtqw5CpwVRa2gAlZel4y2LHLLQ2qRX1Noyc7KtBpywJfITIQU8AkH0LJWxSw==" saltValue="e4lEdb/9GhmJ3HLe52Dd9g==" spinCount="100000" sheet="1" objects="1" scenarios="1"/>
  <customSheetViews>
    <customSheetView guid="{3274156B-1D2A-4448-883E-F1EEF1AAE0AF}" state="hidden" topLeftCell="A40">
      <selection activeCell="E56" sqref="E56"/>
      <pageMargins left="0.7" right="0.7" top="0.75" bottom="0.75" header="0.3" footer="0.3"/>
      <pageSetup paperSize="9" orientation="portrait" horizontalDpi="0" verticalDpi="0" r:id="rId1"/>
    </customSheetView>
  </customSheetViews>
  <mergeCells count="3">
    <mergeCell ref="B1:F1"/>
    <mergeCell ref="H69:L69"/>
    <mergeCell ref="H88:L88"/>
  </mergeCell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86FC-C128-42EA-838E-27A4289DBD01}">
  <sheetPr codeName="Sheet10"/>
  <dimension ref="A1:AC124"/>
  <sheetViews>
    <sheetView workbookViewId="0">
      <selection activeCell="D16" sqref="D16:E16"/>
    </sheetView>
  </sheetViews>
  <sheetFormatPr baseColWidth="10" defaultColWidth="8.83203125" defaultRowHeight="15"/>
  <cols>
    <col min="2" max="2" width="45.33203125" bestFit="1" customWidth="1"/>
    <col min="4" max="4" width="12.6640625" bestFit="1" customWidth="1"/>
    <col min="5" max="5" width="12.6640625" customWidth="1"/>
    <col min="6" max="6" width="14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  <col min="13" max="13" width="10.6640625" customWidth="1"/>
    <col min="14" max="14" width="11.1640625" customWidth="1"/>
    <col min="15" max="15" width="19.6640625" customWidth="1"/>
  </cols>
  <sheetData>
    <row r="1" spans="1:29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29">
      <c r="A2" s="1222" t="s">
        <v>761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  <c r="P2" t="s">
        <v>2940</v>
      </c>
    </row>
    <row r="3" spans="1:29" ht="19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  <c r="M3" t="str">
        <f ca="1">_xlfn.FORMULATEXT(E13)</f>
        <v>='Данные - Крыша'!C57</v>
      </c>
      <c r="O3" t="str">
        <f ca="1">SUBSTITUTE(MID(M3, 2, LEN(M3)), "'Данные - Крыша'!C", "'Данные - Крыша'!A")</f>
        <v>'Данные - Крыша'!A57</v>
      </c>
      <c r="P3" s="1385" t="str" cm="1">
        <f t="array" aca="1" ref="P3" ca="1">INDIRECT(O3)</f>
        <v>Монтаж стропила 200/150мм</v>
      </c>
      <c r="R3" t="str">
        <f ca="1">MID(M3, SEARCH("!", M3) + 1, LEN(M3))</f>
        <v>C57</v>
      </c>
      <c r="S3" t="str">
        <f ca="1">VLOOKUP(P3,'Данные - Крыша'!$AC$2:$AE$582,3,FALSE)</f>
        <v>D336</v>
      </c>
      <c r="T3" t="s">
        <v>2861</v>
      </c>
      <c r="V3" t="e">
        <f ca="1">_xlfn.FORMULATEXT(N13)</f>
        <v>#N/A</v>
      </c>
      <c r="X3" t="e">
        <f ca="1">SUBSTITUTE(MID(V3, 2, LEN(V3)), "'Данные - Крыша'!C", "'Данные - Крыша'!A")</f>
        <v>#N/A</v>
      </c>
      <c r="Y3" s="1385" t="e" cm="1">
        <f t="array" aca="1" ref="Y3" ca="1">INDIRECT(X3)</f>
        <v>#N/A</v>
      </c>
      <c r="AA3" t="e">
        <f ca="1">MID(V3, SEARCH("!", V3) + 1, LEN(V3))</f>
        <v>#N/A</v>
      </c>
      <c r="AB3" t="e">
        <f ca="1">VLOOKUP(Y3,'Данные - Крыша'!$AC$2:$AE$582,3,FALSE)</f>
        <v>#N/A</v>
      </c>
      <c r="AC3" t="s">
        <v>2861</v>
      </c>
    </row>
    <row r="4" spans="1:29" ht="19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  <c r="M4" t="str">
        <f t="shared" ref="M4:M17" ca="1" si="0">_xlfn.FORMULATEXT(E14)</f>
        <v>='Данные - Крыша'!C61</v>
      </c>
      <c r="O4" t="str">
        <f t="shared" ref="O4:O17" ca="1" si="1">SUBSTITUTE(MID(M4, 2, LEN(M4)), "'Данные - Крыша'!C", "'Данные - Крыша'!A")</f>
        <v>'Данные - Крыша'!A61</v>
      </c>
      <c r="P4" s="1385" t="str" cm="1">
        <f t="array" aca="1" ref="P4" ca="1">INDIRECT(O4)</f>
        <v>Монтаж обрешетки</v>
      </c>
      <c r="R4" t="str">
        <f t="shared" ref="R4:R67" ca="1" si="2">MID(M4, SEARCH("!", M4) + 1, LEN(M4))</f>
        <v>C61</v>
      </c>
      <c r="S4" t="str">
        <f ca="1">VLOOKUP(P4,'Данные - Крыша'!$AC$2:$AE$582,3,FALSE)</f>
        <v>D340</v>
      </c>
      <c r="T4" t="s">
        <v>2862</v>
      </c>
    </row>
    <row r="5" spans="1:29" ht="19">
      <c r="A5" s="58" t="s">
        <v>762</v>
      </c>
      <c r="B5" s="58"/>
      <c r="C5" s="55"/>
      <c r="D5" s="318"/>
      <c r="E5" s="318"/>
      <c r="F5" s="318"/>
      <c r="G5" s="56"/>
      <c r="H5" s="56"/>
      <c r="I5" s="59"/>
      <c r="J5" s="60" t="s">
        <v>763</v>
      </c>
      <c r="K5" s="61"/>
      <c r="P5" s="1385"/>
    </row>
    <row r="6" spans="1:29">
      <c r="A6" s="1225" t="s">
        <v>764</v>
      </c>
      <c r="B6" s="1225"/>
      <c r="C6" s="55"/>
      <c r="D6" s="1226" t="s">
        <v>133</v>
      </c>
      <c r="E6" s="1226"/>
      <c r="F6" s="1226"/>
      <c r="G6" s="62"/>
      <c r="H6" s="62"/>
      <c r="I6" s="1227" t="s">
        <v>765</v>
      </c>
      <c r="J6" s="1227"/>
      <c r="K6" s="1227"/>
      <c r="M6" t="e">
        <f t="shared" ca="1" si="0"/>
        <v>#N/A</v>
      </c>
      <c r="N6" t="s">
        <v>2860</v>
      </c>
      <c r="O6" t="e">
        <f t="shared" ca="1" si="1"/>
        <v>#N/A</v>
      </c>
      <c r="P6" s="1130" t="s">
        <v>674</v>
      </c>
      <c r="R6" t="e">
        <f t="shared" ca="1" si="2"/>
        <v>#N/A</v>
      </c>
      <c r="S6" t="str">
        <f>VLOOKUP(P6,'Данные - Крыша'!$AC$2:$AE$582,3,FALSE)</f>
        <v>F306</v>
      </c>
      <c r="T6" t="s">
        <v>2863</v>
      </c>
      <c r="U6" t="str">
        <f>LOWER(_xlfn.CONCAT("f",S6))</f>
        <v>ff306</v>
      </c>
    </row>
    <row r="7" spans="1:29" ht="75">
      <c r="A7" s="1281" t="s">
        <v>135</v>
      </c>
      <c r="B7" s="1281"/>
      <c r="C7" s="1281"/>
      <c r="D7" s="1281"/>
      <c r="E7" s="1281"/>
      <c r="F7" s="1281"/>
      <c r="G7" s="1281"/>
      <c r="H7" s="1281"/>
      <c r="I7" s="1281"/>
      <c r="J7" s="1281"/>
      <c r="K7" s="1281"/>
      <c r="M7" s="37">
        <f>'Данные - Крыша'!C63</f>
        <v>0</v>
      </c>
      <c r="N7" t="s">
        <v>2859</v>
      </c>
      <c r="O7" s="1386" t="s">
        <v>2858</v>
      </c>
      <c r="P7" s="1134" t="s">
        <v>712</v>
      </c>
      <c r="R7" t="e">
        <f t="shared" si="2"/>
        <v>#VALUE!</v>
      </c>
      <c r="S7" t="str">
        <f>VLOOKUP(P7,'Данные - Крыша'!$AC$2:$AE$582,3,FALSE)</f>
        <v>D343</v>
      </c>
      <c r="T7" t="s">
        <v>2864</v>
      </c>
      <c r="U7" t="str">
        <f t="shared" ref="U7:U70" si="3">LOWER(_xlfn.CONCAT("f",S7))</f>
        <v>fd343</v>
      </c>
    </row>
    <row r="8" spans="1:29" ht="19">
      <c r="A8" s="1282" t="s">
        <v>766</v>
      </c>
      <c r="B8" s="1282"/>
      <c r="C8" s="1282"/>
      <c r="D8" s="1282"/>
      <c r="E8" s="1282"/>
      <c r="F8" s="1282"/>
      <c r="G8" s="1282"/>
      <c r="H8" s="488"/>
      <c r="I8" s="489"/>
      <c r="J8" s="489"/>
      <c r="K8" s="490"/>
      <c r="M8" t="str">
        <f t="shared" ca="1" si="0"/>
        <v>='Данные - Крыша'!C53</v>
      </c>
      <c r="O8" t="str">
        <f t="shared" ca="1" si="1"/>
        <v>'Данные - Крыша'!A53</v>
      </c>
      <c r="P8" s="1385" t="str" cm="1">
        <f t="array" aca="1" ref="P8" ca="1">INDIRECT(O8)</f>
        <v>Монтаж пароизоляционной мембраны</v>
      </c>
      <c r="R8" t="str">
        <f t="shared" ca="1" si="2"/>
        <v>C53</v>
      </c>
      <c r="S8" t="str">
        <f ca="1">VLOOKUP(P8,'Данные - Крыша'!$AC$2:$AE$582,3,FALSE)</f>
        <v>D332</v>
      </c>
      <c r="T8" t="s">
        <v>2865</v>
      </c>
      <c r="U8" t="str">
        <f t="shared" ca="1" si="3"/>
        <v>fd332</v>
      </c>
    </row>
    <row r="9" spans="1:29" ht="42">
      <c r="A9" s="330" t="s">
        <v>137</v>
      </c>
      <c r="B9" s="330" t="s">
        <v>138</v>
      </c>
      <c r="C9" s="330" t="s">
        <v>139</v>
      </c>
      <c r="D9" s="331" t="s">
        <v>2</v>
      </c>
      <c r="E9" s="331" t="s">
        <v>140</v>
      </c>
      <c r="F9" s="331" t="s">
        <v>141</v>
      </c>
      <c r="G9" s="330" t="s">
        <v>142</v>
      </c>
      <c r="H9" s="330" t="s">
        <v>139</v>
      </c>
      <c r="I9" s="331" t="s">
        <v>2</v>
      </c>
      <c r="J9" s="331" t="s">
        <v>143</v>
      </c>
      <c r="K9" s="331" t="s">
        <v>144</v>
      </c>
      <c r="P9" s="1385"/>
      <c r="U9" t="str">
        <f t="shared" si="3"/>
        <v>f</v>
      </c>
    </row>
    <row r="10" spans="1:29" ht="19">
      <c r="A10" s="333">
        <v>1</v>
      </c>
      <c r="B10" s="333">
        <v>2</v>
      </c>
      <c r="C10" s="333">
        <v>3</v>
      </c>
      <c r="D10" s="334">
        <v>4</v>
      </c>
      <c r="E10" s="334">
        <v>5</v>
      </c>
      <c r="F10" s="334">
        <v>6</v>
      </c>
      <c r="G10" s="334">
        <v>7</v>
      </c>
      <c r="H10" s="334">
        <v>8</v>
      </c>
      <c r="I10" s="334">
        <v>9</v>
      </c>
      <c r="J10" s="334">
        <v>10</v>
      </c>
      <c r="K10" s="334">
        <v>11</v>
      </c>
      <c r="M10" t="str">
        <f t="shared" ca="1" si="0"/>
        <v>='Данные - Крыша'!C55</v>
      </c>
      <c r="O10" t="str">
        <f t="shared" ca="1" si="1"/>
        <v>'Данные - Крыша'!A55</v>
      </c>
      <c r="P10" s="1385" t="str" cm="1">
        <f t="array" aca="1" ref="P10" ca="1">INDIRECT(O10)</f>
        <v>Монтаж утеплителя 200мм</v>
      </c>
      <c r="R10" t="str">
        <f t="shared" ca="1" si="2"/>
        <v>C55</v>
      </c>
      <c r="S10" t="str">
        <f ca="1">VLOOKUP(P10,'Данные - Крыша'!$AC$2:$AE$582,3,FALSE)</f>
        <v>D334</v>
      </c>
      <c r="T10" t="s">
        <v>2866</v>
      </c>
      <c r="U10" t="str">
        <f t="shared" ca="1" si="3"/>
        <v>fd334</v>
      </c>
    </row>
    <row r="11" spans="1:29" ht="19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  <c r="M11" t="str">
        <f t="shared" ca="1" si="0"/>
        <v>='Данные - Крыша'!C56</v>
      </c>
      <c r="O11" t="str">
        <f t="shared" ca="1" si="1"/>
        <v>'Данные - Крыша'!A56</v>
      </c>
      <c r="P11" s="1385" t="str" cm="1">
        <f t="array" aca="1" ref="P11" ca="1">INDIRECT(O11)</f>
        <v>Монтаж гидроизоляционной мембраны</v>
      </c>
      <c r="R11" t="str">
        <f t="shared" ca="1" si="2"/>
        <v>C56</v>
      </c>
      <c r="S11" t="str">
        <f ca="1">VLOOKUP(P11,'Данные - Крыша'!$AC$2:$AE$582,3,FALSE)</f>
        <v>D335</v>
      </c>
      <c r="T11" t="s">
        <v>2867</v>
      </c>
      <c r="U11" t="str">
        <f t="shared" ca="1" si="3"/>
        <v>fd335</v>
      </c>
    </row>
    <row r="12" spans="1:29" ht="19">
      <c r="A12" s="1280" t="s">
        <v>767</v>
      </c>
      <c r="B12" s="1280"/>
      <c r="C12" s="126"/>
      <c r="D12" s="127"/>
      <c r="E12" s="127"/>
      <c r="F12" s="128"/>
      <c r="G12" s="125"/>
      <c r="H12" s="126"/>
      <c r="I12" s="129"/>
      <c r="J12" s="127"/>
      <c r="K12" s="128"/>
      <c r="M12" t="str">
        <f ca="1">_xlfn.FORMULATEXT(D13)</f>
        <v>='Данные - Крыша'!C4</v>
      </c>
      <c r="N12" t="str">
        <f t="shared" ref="N12:T12" ca="1" si="4">_xlfn.FORMULATEXT(E13)</f>
        <v>='Данные - Крыша'!C57</v>
      </c>
      <c r="O12" t="str">
        <f t="shared" ca="1" si="4"/>
        <v>=D13*E13</v>
      </c>
      <c r="P12" t="e">
        <f t="shared" ca="1" si="4"/>
        <v>#N/A</v>
      </c>
      <c r="Q12" t="e">
        <f t="shared" ca="1" si="4"/>
        <v>#N/A</v>
      </c>
      <c r="R12" t="e">
        <f t="shared" ca="1" si="4"/>
        <v>#N/A</v>
      </c>
      <c r="S12" t="e">
        <f t="shared" ca="1" si="4"/>
        <v>#N/A</v>
      </c>
      <c r="T12" t="str">
        <f t="shared" ca="1" si="4"/>
        <v>=I13*J13</v>
      </c>
      <c r="U12" t="e">
        <f t="shared" ca="1" si="3"/>
        <v>#N/A</v>
      </c>
      <c r="V12" s="1387" t="str">
        <f ca="1">_xlfn.FORMULATEXT(D13)</f>
        <v>='Данные - Крыша'!C4</v>
      </c>
      <c r="W12" s="1388"/>
      <c r="X12" t="str">
        <f t="shared" ref="X12" ca="1" si="5">SUBSTITUTE(MID(V12, 2, LEN(V12)), "'Данные - Крыша'!C", "'Данные - Крыша'!A")</f>
        <v>'Данные - Крыша'!A4</v>
      </c>
      <c r="Y12" s="1385" t="str" cm="1">
        <f t="array" aca="1" ref="Y12" ca="1">INDIRECT(X12)</f>
        <v>Площадь кровли</v>
      </c>
      <c r="Z12" s="1385"/>
      <c r="AA12" s="1388" t="s">
        <v>2941</v>
      </c>
      <c r="AB12" s="1388" t="s">
        <v>1824</v>
      </c>
      <c r="AC12" s="1388" t="s">
        <v>2861</v>
      </c>
    </row>
    <row r="13" spans="1:29" ht="19">
      <c r="A13" s="491" t="s">
        <v>146</v>
      </c>
      <c r="B13" s="131" t="s">
        <v>768</v>
      </c>
      <c r="C13" s="130" t="s">
        <v>160</v>
      </c>
      <c r="D13" s="130" t="str">
        <f>'Данные - Крыша'!C4</f>
        <v>DB-size</v>
      </c>
      <c r="E13" s="132">
        <f>'Данные - Крыша'!C57</f>
        <v>0</v>
      </c>
      <c r="F13" s="130" t="e">
        <f>D13*E13</f>
        <v>#VALUE!</v>
      </c>
      <c r="G13" s="96" t="s">
        <v>769</v>
      </c>
      <c r="H13" s="97" t="s">
        <v>63</v>
      </c>
      <c r="I13" s="531"/>
      <c r="J13" s="342"/>
      <c r="K13" s="130">
        <f t="shared" ref="K13" si="6">I13*J13</f>
        <v>0</v>
      </c>
      <c r="M13" t="str">
        <f t="shared" ca="1" si="0"/>
        <v>='Данные - Крыша'!C58</v>
      </c>
      <c r="O13" t="str">
        <f t="shared" ca="1" si="1"/>
        <v>'Данные - Крыша'!A58</v>
      </c>
      <c r="P13" s="1385" t="str" cm="1">
        <f t="array" aca="1" ref="P13" ca="1">INDIRECT(O13)</f>
        <v>Монтаж верхней контробрешетки</v>
      </c>
      <c r="R13" t="str">
        <f t="shared" ca="1" si="2"/>
        <v>C58</v>
      </c>
      <c r="S13" t="str">
        <f ca="1">VLOOKUP(P13,'Данные - Крыша'!$AC$2:$AE$582,3,FALSE)</f>
        <v>D337</v>
      </c>
      <c r="T13" t="s">
        <v>2868</v>
      </c>
      <c r="U13" t="str">
        <f t="shared" ca="1" si="3"/>
        <v>fd337</v>
      </c>
      <c r="V13" s="1387" t="str">
        <f t="shared" ref="V13:V76" ca="1" si="7">_xlfn.FORMULATEXT(D14)</f>
        <v>='материал - работа'!F48</v>
      </c>
    </row>
    <row r="14" spans="1:29" ht="30">
      <c r="A14" s="491" t="s">
        <v>164</v>
      </c>
      <c r="B14" s="131" t="s">
        <v>770</v>
      </c>
      <c r="C14" s="130" t="s">
        <v>160</v>
      </c>
      <c r="D14" s="130" t="e">
        <f>'материал - работа'!F48</f>
        <v>#VALUE!</v>
      </c>
      <c r="E14" s="132">
        <f>'Данные - Крыша'!C61</f>
        <v>0</v>
      </c>
      <c r="F14" s="130" t="e">
        <f>D14*E14</f>
        <v>#VALUE!</v>
      </c>
      <c r="G14" s="96" t="s">
        <v>771</v>
      </c>
      <c r="H14" s="193" t="s">
        <v>85</v>
      </c>
      <c r="I14" s="531" t="e">
        <f>ROUNDUP('материал - работа'!D48,0)</f>
        <v>#VALUE!</v>
      </c>
      <c r="J14" s="342"/>
      <c r="K14" s="130" t="e">
        <f>I14*J14</f>
        <v>#VALUE!</v>
      </c>
      <c r="M14" t="str">
        <f t="shared" ca="1" si="0"/>
        <v>='Данные - Крыша'!C59</v>
      </c>
      <c r="O14" t="str">
        <f t="shared" ca="1" si="1"/>
        <v>'Данные - Крыша'!A59</v>
      </c>
      <c r="P14" s="1385" t="str" cm="1">
        <f t="array" aca="1" ref="P14" ca="1">INDIRECT(O14)</f>
        <v>Монтаж нижней контробрешетки</v>
      </c>
      <c r="R14" t="str">
        <f t="shared" ca="1" si="2"/>
        <v>C59</v>
      </c>
      <c r="S14" t="str">
        <f ca="1">VLOOKUP(P14,'Данные - Крыша'!$AC$2:$AE$582,3,FALSE)</f>
        <v>D338</v>
      </c>
      <c r="T14" t="s">
        <v>2869</v>
      </c>
      <c r="U14" t="str">
        <f t="shared" ca="1" si="3"/>
        <v>fd338</v>
      </c>
      <c r="V14" s="1387" t="e">
        <f t="shared" ca="1" si="7"/>
        <v>#N/A</v>
      </c>
    </row>
    <row r="15" spans="1:29" ht="19">
      <c r="A15" s="491"/>
      <c r="B15" s="131"/>
      <c r="C15" s="130"/>
      <c r="D15" s="130"/>
      <c r="E15" s="132"/>
      <c r="F15" s="130"/>
      <c r="G15" s="96"/>
      <c r="H15" s="97"/>
      <c r="I15" s="213"/>
      <c r="J15" s="98"/>
      <c r="K15" s="130"/>
      <c r="M15" t="str">
        <f t="shared" ca="1" si="0"/>
        <v>='Данные - Крыша'!C60</v>
      </c>
      <c r="O15" t="str">
        <f t="shared" ca="1" si="1"/>
        <v>'Данные - Крыша'!A60</v>
      </c>
      <c r="P15" s="1385" t="str" cm="1">
        <f t="array" aca="1" ref="P15" ca="1">INDIRECT(O15)</f>
        <v>Монтаж уплотнительной ленты</v>
      </c>
      <c r="R15" t="str">
        <f t="shared" ca="1" si="2"/>
        <v>C60</v>
      </c>
      <c r="S15" t="str">
        <f ca="1">VLOOKUP(P15,'Данные - Крыша'!$AC$2:$AE$582,3,FALSE)</f>
        <v>D339</v>
      </c>
      <c r="T15" t="s">
        <v>2870</v>
      </c>
      <c r="U15" t="str">
        <f t="shared" ca="1" si="3"/>
        <v>fd339</v>
      </c>
      <c r="V15" s="1387" t="e">
        <f t="shared" ca="1" si="7"/>
        <v>#N/A</v>
      </c>
    </row>
    <row r="16" spans="1:29" ht="19">
      <c r="A16" s="492"/>
      <c r="B16" s="492"/>
      <c r="C16" s="493"/>
      <c r="D16" s="1289" t="s">
        <v>157</v>
      </c>
      <c r="E16" s="1290"/>
      <c r="F16" s="494" t="e">
        <f>SUM(F13:F15)</f>
        <v>#VALUE!</v>
      </c>
      <c r="G16" s="492"/>
      <c r="H16" s="492"/>
      <c r="I16" s="1289" t="s">
        <v>158</v>
      </c>
      <c r="J16" s="1290"/>
      <c r="K16" s="494" t="e">
        <f>SUM(K13:K15)</f>
        <v>#VALUE!</v>
      </c>
      <c r="M16" t="str">
        <f t="shared" ca="1" si="0"/>
        <v>='Данные - Крыша'!C62</v>
      </c>
      <c r="O16" t="str">
        <f t="shared" ca="1" si="1"/>
        <v>'Данные - Крыша'!A62</v>
      </c>
      <c r="P16" s="1385" t="str" cm="1">
        <f t="array" aca="1" ref="P16" ca="1">INDIRECT(O16)</f>
        <v>Обработка септиком</v>
      </c>
      <c r="R16" t="str">
        <f t="shared" ca="1" si="2"/>
        <v>C62</v>
      </c>
      <c r="S16" t="e">
        <f ca="1">VLOOKUP(P16,'Данные - Крыша'!$AC$2:$AE$582,3,FALSE)</f>
        <v>#N/A</v>
      </c>
      <c r="T16" t="s">
        <v>2871</v>
      </c>
      <c r="U16" t="e">
        <f t="shared" ca="1" si="3"/>
        <v>#N/A</v>
      </c>
      <c r="V16" s="1387" t="e">
        <f t="shared" ca="1" si="7"/>
        <v>#N/A</v>
      </c>
    </row>
    <row r="17" spans="1:22" ht="19">
      <c r="A17" s="497" t="s">
        <v>772</v>
      </c>
      <c r="B17" s="492"/>
      <c r="C17" s="493"/>
      <c r="D17" s="338"/>
      <c r="E17" s="338"/>
      <c r="F17" s="337"/>
      <c r="G17" s="492"/>
      <c r="H17" s="492"/>
      <c r="I17" s="495"/>
      <c r="J17" s="496"/>
      <c r="K17" s="337"/>
      <c r="P17" s="1385"/>
      <c r="U17" t="str">
        <f t="shared" si="3"/>
        <v>f</v>
      </c>
      <c r="V17" s="1387" t="str">
        <f t="shared" ca="1" si="7"/>
        <v>='Данные - Крыша'!C4</v>
      </c>
    </row>
    <row r="18" spans="1:22" ht="19">
      <c r="A18" s="491" t="s">
        <v>146</v>
      </c>
      <c r="B18" s="447" t="s">
        <v>703</v>
      </c>
      <c r="C18" s="476" t="s">
        <v>160</v>
      </c>
      <c r="D18" s="163" t="str">
        <f>'Данные - Крыша'!C4</f>
        <v>DB-size</v>
      </c>
      <c r="E18" s="396">
        <f>'Данные - Крыша'!C53</f>
        <v>0</v>
      </c>
      <c r="F18" s="162" t="e">
        <f>D18*E18</f>
        <v>#VALUE!</v>
      </c>
      <c r="G18" s="470" t="s">
        <v>668</v>
      </c>
      <c r="H18" s="190" t="s">
        <v>85</v>
      </c>
      <c r="I18" s="449" t="str">
        <f>'Данные - Крыша'!C23</f>
        <v>DB-srIzospanB</v>
      </c>
      <c r="J18" s="163">
        <f>'Данные - Крыша'!E23</f>
        <v>0</v>
      </c>
      <c r="K18" s="88" t="e">
        <f t="shared" ref="K18:K38" si="8">I18*J18</f>
        <v>#VALUE!</v>
      </c>
      <c r="M18" t="str">
        <f ca="1">_xlfn.FORMULATEXT(J18)</f>
        <v>='Данные - Крыша'!E23</v>
      </c>
      <c r="O18" t="str">
        <f ca="1">SUBSTITUTE(MID(M18, 2, LEN(M18)), "'Данные - Крыша'!E", "'Данные - Крыша'!A")</f>
        <v>'Данные - Крыша'!A23</v>
      </c>
      <c r="P18" s="1385" t="str" cm="1">
        <f t="array" aca="1" ref="P18" ca="1">INDIRECT(O18)</f>
        <v>Изоспан В 70м2</v>
      </c>
      <c r="R18" t="str">
        <f t="shared" ca="1" si="2"/>
        <v>E23</v>
      </c>
      <c r="S18" t="str">
        <f ca="1">VLOOKUP(P18,'Данные - Крыша'!AC2:AE582,3,FALSE)</f>
        <v>F302</v>
      </c>
      <c r="T18" t="s">
        <v>2124</v>
      </c>
      <c r="U18" t="str">
        <f t="shared" ca="1" si="3"/>
        <v>ff302</v>
      </c>
      <c r="V18" s="1387" t="e">
        <f t="shared" ca="1" si="7"/>
        <v>#N/A</v>
      </c>
    </row>
    <row r="19" spans="1:22" ht="19">
      <c r="A19" s="491"/>
      <c r="B19" s="447"/>
      <c r="C19" s="476"/>
      <c r="D19" s="163"/>
      <c r="E19" s="396"/>
      <c r="F19" s="162"/>
      <c r="G19" s="470" t="s">
        <v>669</v>
      </c>
      <c r="H19" s="190" t="s">
        <v>85</v>
      </c>
      <c r="I19" s="449" t="str">
        <f>'Данные - Крыша'!C24</f>
        <v>DB-srIzospanB35</v>
      </c>
      <c r="J19" s="163">
        <f>'Данные - Крыша'!E24</f>
        <v>0</v>
      </c>
      <c r="K19" s="88" t="e">
        <f t="shared" si="8"/>
        <v>#VALUE!</v>
      </c>
      <c r="M19" t="str">
        <f t="shared" ref="M19:M82" ca="1" si="9">_xlfn.FORMULATEXT(J19)</f>
        <v>='Данные - Крыша'!E24</v>
      </c>
      <c r="O19" t="str">
        <f t="shared" ref="O19:O82" ca="1" si="10">SUBSTITUTE(MID(M19, 2, LEN(M19)), "'Данные - Крыша'!E", "'Данные - Крыша'!A")</f>
        <v>'Данные - Крыша'!A24</v>
      </c>
      <c r="P19" s="1385" t="str" cm="1">
        <f t="array" aca="1" ref="P19" ca="1">INDIRECT(O19)</f>
        <v>Изоспан В 35м2</v>
      </c>
      <c r="R19" t="str">
        <f t="shared" ca="1" si="2"/>
        <v>E24</v>
      </c>
      <c r="S19" t="str">
        <f ca="1">VLOOKUP(P19,'Данные - Крыша'!AC3:AE583,3,FALSE)</f>
        <v>F303</v>
      </c>
      <c r="T19" t="s">
        <v>2126</v>
      </c>
      <c r="U19" t="str">
        <f t="shared" ca="1" si="3"/>
        <v>ff303</v>
      </c>
      <c r="V19" s="1387" t="str">
        <f t="shared" ca="1" si="7"/>
        <v>='материал - работа'!D21/4*5.76</v>
      </c>
    </row>
    <row r="20" spans="1:22" ht="19">
      <c r="A20" s="491" t="s">
        <v>164</v>
      </c>
      <c r="B20" s="447" t="s">
        <v>705</v>
      </c>
      <c r="C20" s="476" t="s">
        <v>160</v>
      </c>
      <c r="D20" s="163" t="e">
        <f>'материал - работа'!D21/4*5.76</f>
        <v>#VALUE!</v>
      </c>
      <c r="E20" s="396">
        <f>'Данные - Крыша'!C55</f>
        <v>0</v>
      </c>
      <c r="F20" s="162" t="e">
        <f>D20*E20</f>
        <v>#VALUE!</v>
      </c>
      <c r="G20" s="470" t="s">
        <v>667</v>
      </c>
      <c r="H20" s="190" t="s">
        <v>182</v>
      </c>
      <c r="I20" s="449" t="str">
        <f>'Данные - Крыша'!C22</f>
        <v>DB-srRokvul</v>
      </c>
      <c r="J20" s="163">
        <f>'Данные - Крыша'!E22</f>
        <v>0</v>
      </c>
      <c r="K20" s="88" t="e">
        <f t="shared" si="8"/>
        <v>#VALUE!</v>
      </c>
      <c r="M20" t="str">
        <f t="shared" ca="1" si="9"/>
        <v>='Данные - Крыша'!E22</v>
      </c>
      <c r="O20" t="str">
        <f t="shared" ca="1" si="10"/>
        <v>'Данные - Крыша'!A22</v>
      </c>
      <c r="P20" s="1385" t="str" cm="1">
        <f t="array" aca="1" ref="P20" ca="1">INDIRECT(O20)</f>
        <v>Роквул скандик</v>
      </c>
      <c r="R20" t="str">
        <f t="shared" ca="1" si="2"/>
        <v>E22</v>
      </c>
      <c r="S20" t="str">
        <f ca="1">VLOOKUP(P20,'Данные - Крыша'!AC4:AE584,3,FALSE)</f>
        <v>F301</v>
      </c>
      <c r="T20" t="s">
        <v>2128</v>
      </c>
      <c r="U20" t="str">
        <f t="shared" ca="1" si="3"/>
        <v>ff301</v>
      </c>
      <c r="V20" s="1387" t="str">
        <f t="shared" ca="1" si="7"/>
        <v>='Данные - Крыша'!C4</v>
      </c>
    </row>
    <row r="21" spans="1:22" ht="19">
      <c r="A21" s="491" t="s">
        <v>196</v>
      </c>
      <c r="B21" s="447" t="s">
        <v>706</v>
      </c>
      <c r="C21" s="476" t="s">
        <v>160</v>
      </c>
      <c r="D21" s="163" t="str">
        <f>'Данные - Крыша'!C4</f>
        <v>DB-size</v>
      </c>
      <c r="E21" s="396">
        <f>'Данные - Крыша'!C56</f>
        <v>0</v>
      </c>
      <c r="F21" s="162" t="e">
        <f>D21*E21</f>
        <v>#VALUE!</v>
      </c>
      <c r="G21" s="470" t="s">
        <v>664</v>
      </c>
      <c r="H21" s="190" t="s">
        <v>85</v>
      </c>
      <c r="I21" s="449" t="str">
        <f>'Данные - Крыша'!C19</f>
        <v>DB-srIzospanAM</v>
      </c>
      <c r="J21" s="163">
        <f>'Данные - Крыша'!E19</f>
        <v>0</v>
      </c>
      <c r="K21" s="88" t="e">
        <f t="shared" si="8"/>
        <v>#VALUE!</v>
      </c>
      <c r="M21" t="str">
        <f t="shared" ca="1" si="9"/>
        <v>='Данные - Крыша'!E19</v>
      </c>
      <c r="O21" t="str">
        <f t="shared" ca="1" si="10"/>
        <v>'Данные - Крыша'!A19</v>
      </c>
      <c r="P21" s="1385" t="str" cm="1">
        <f t="array" aca="1" ref="P21" ca="1">INDIRECT(O21)</f>
        <v>Изоспан АМ 70м2</v>
      </c>
      <c r="R21" t="str">
        <f t="shared" ca="1" si="2"/>
        <v>E19</v>
      </c>
      <c r="S21" t="str">
        <f ca="1">VLOOKUP(P21,'Данные - Крыша'!AC5:AE585,3,FALSE)</f>
        <v>F298</v>
      </c>
      <c r="T21" t="s">
        <v>2129</v>
      </c>
      <c r="U21" t="str">
        <f t="shared" ca="1" si="3"/>
        <v>ff298</v>
      </c>
      <c r="V21" s="1387" t="e">
        <f t="shared" ca="1" si="7"/>
        <v>#N/A</v>
      </c>
    </row>
    <row r="22" spans="1:22" ht="19">
      <c r="A22" s="491"/>
      <c r="B22" s="447"/>
      <c r="C22" s="476"/>
      <c r="D22" s="163"/>
      <c r="E22" s="396"/>
      <c r="F22" s="162"/>
      <c r="G22" s="470" t="s">
        <v>665</v>
      </c>
      <c r="H22" s="190" t="s">
        <v>85</v>
      </c>
      <c r="I22" s="449" t="str">
        <f>'Данные - Крыша'!C20</f>
        <v>DB-srIzospanAM35</v>
      </c>
      <c r="J22" s="163">
        <f>'Данные - Крыша'!E20</f>
        <v>0</v>
      </c>
      <c r="K22" s="88" t="e">
        <f t="shared" si="8"/>
        <v>#VALUE!</v>
      </c>
      <c r="M22" t="str">
        <f t="shared" ca="1" si="9"/>
        <v>='Данные - Крыша'!E20</v>
      </c>
      <c r="O22" t="str">
        <f t="shared" ca="1" si="10"/>
        <v>'Данные - Крыша'!A20</v>
      </c>
      <c r="P22" s="1385" t="str" cm="1">
        <f t="array" aca="1" ref="P22" ca="1">INDIRECT(O22)</f>
        <v>Изоспан АМ 35м2</v>
      </c>
      <c r="R22" t="str">
        <f t="shared" ca="1" si="2"/>
        <v>E20</v>
      </c>
      <c r="S22" t="str">
        <f ca="1">VLOOKUP(P22,'Данные - Крыша'!AC6:AE586,3,FALSE)</f>
        <v>F299</v>
      </c>
      <c r="T22" t="s">
        <v>2131</v>
      </c>
      <c r="U22" t="str">
        <f t="shared" ca="1" si="3"/>
        <v>ff299</v>
      </c>
      <c r="V22" s="1387" t="str">
        <f t="shared" ca="1" si="7"/>
        <v>=D21</v>
      </c>
    </row>
    <row r="23" spans="1:22" ht="19">
      <c r="A23" s="491" t="s">
        <v>225</v>
      </c>
      <c r="B23" s="447" t="s">
        <v>708</v>
      </c>
      <c r="C23" s="476" t="s">
        <v>160</v>
      </c>
      <c r="D23" s="163" t="str">
        <f>D21</f>
        <v>DB-size</v>
      </c>
      <c r="E23" s="396">
        <f>'Данные - Крыша'!C58</f>
        <v>0</v>
      </c>
      <c r="F23" s="162" t="e">
        <f>D23*E23</f>
        <v>#VALUE!</v>
      </c>
      <c r="G23" s="470" t="s">
        <v>773</v>
      </c>
      <c r="H23" s="190" t="s">
        <v>85</v>
      </c>
      <c r="I23" s="207" t="e">
        <f>'материал - работа'!D37</f>
        <v>#VALUE!</v>
      </c>
      <c r="J23" s="163">
        <f>'Данные - Крыша'!E32</f>
        <v>0</v>
      </c>
      <c r="K23" s="88" t="e">
        <f t="shared" si="8"/>
        <v>#VALUE!</v>
      </c>
      <c r="M23" t="str">
        <f t="shared" ca="1" si="9"/>
        <v>='Данные - Крыша'!E32</v>
      </c>
      <c r="O23" t="str">
        <f t="shared" ca="1" si="10"/>
        <v>'Данные - Крыша'!A32</v>
      </c>
      <c r="P23" s="1385" t="str" cm="1">
        <f t="array" aca="1" ref="P23" ca="1">INDIRECT(O23)</f>
        <v>Брусок 50х50х3000мм</v>
      </c>
      <c r="R23" t="str">
        <f t="shared" ca="1" si="2"/>
        <v>E32</v>
      </c>
      <c r="S23" t="str">
        <f ca="1">VLOOKUP(P23,'Данные - Крыша'!AC7:AE587,3,FALSE)</f>
        <v>F311</v>
      </c>
      <c r="T23" t="s">
        <v>2133</v>
      </c>
      <c r="U23" t="str">
        <f t="shared" ca="1" si="3"/>
        <v>ff311</v>
      </c>
      <c r="V23" s="1387" t="str">
        <f t="shared" ca="1" si="7"/>
        <v>='материал - работа'!F36</v>
      </c>
    </row>
    <row r="24" spans="1:22" ht="19">
      <c r="A24" s="491"/>
      <c r="B24" s="447" t="s">
        <v>709</v>
      </c>
      <c r="C24" s="476" t="s">
        <v>86</v>
      </c>
      <c r="D24" s="449" t="e">
        <f>'материал - работа'!F36</f>
        <v>#VALUE!</v>
      </c>
      <c r="E24" s="396">
        <f>'Данные - Крыша'!C59</f>
        <v>0</v>
      </c>
      <c r="F24" s="162" t="e">
        <f>D24*E24</f>
        <v>#VALUE!</v>
      </c>
      <c r="G24" s="470" t="s">
        <v>774</v>
      </c>
      <c r="H24" s="190" t="s">
        <v>156</v>
      </c>
      <c r="I24" s="207" t="e">
        <f>'материал - работа'!D42</f>
        <v>#VALUE!</v>
      </c>
      <c r="J24" s="163">
        <f>'Данные - Крыша'!E33</f>
        <v>0</v>
      </c>
      <c r="K24" s="88" t="e">
        <f t="shared" si="8"/>
        <v>#VALUE!</v>
      </c>
      <c r="M24" t="str">
        <f t="shared" ca="1" si="9"/>
        <v>='Данные - Крыша'!E33</v>
      </c>
      <c r="O24" t="str">
        <f t="shared" ca="1" si="10"/>
        <v>'Данные - Крыша'!A33</v>
      </c>
      <c r="P24" s="1385" t="str" cm="1">
        <f t="array" aca="1" ref="P24" ca="1">INDIRECT(O24)</f>
        <v>Гвоздь 120мм</v>
      </c>
      <c r="R24" t="str">
        <f t="shared" ca="1" si="2"/>
        <v>E33</v>
      </c>
      <c r="S24" t="str">
        <f ca="1">VLOOKUP(P24,'Данные - Крыша'!AC8:AE588,3,FALSE)</f>
        <v>F312</v>
      </c>
      <c r="T24" t="s">
        <v>2872</v>
      </c>
      <c r="U24" t="str">
        <f t="shared" ca="1" si="3"/>
        <v>ff312</v>
      </c>
      <c r="V24" s="1387" t="str">
        <f t="shared" ca="1" si="7"/>
        <v>=D21</v>
      </c>
    </row>
    <row r="25" spans="1:22" ht="19">
      <c r="A25" s="491" t="s">
        <v>224</v>
      </c>
      <c r="B25" s="447" t="s">
        <v>710</v>
      </c>
      <c r="C25" s="476" t="s">
        <v>160</v>
      </c>
      <c r="D25" s="163" t="str">
        <f>D21</f>
        <v>DB-size</v>
      </c>
      <c r="E25" s="396">
        <f>'Данные - Крыша'!C60</f>
        <v>0</v>
      </c>
      <c r="F25" s="162" t="e">
        <f>D25*E25</f>
        <v>#VALUE!</v>
      </c>
      <c r="G25" s="470" t="s">
        <v>775</v>
      </c>
      <c r="H25" s="190" t="s">
        <v>85</v>
      </c>
      <c r="I25" s="449" t="e">
        <f>'материал - работа'!D36</f>
        <v>#VALUE!</v>
      </c>
      <c r="J25" s="163">
        <f>'Данные - Крыша'!E40</f>
        <v>0</v>
      </c>
      <c r="K25" s="88" t="e">
        <f t="shared" si="8"/>
        <v>#VALUE!</v>
      </c>
      <c r="M25" t="str">
        <f t="shared" ca="1" si="9"/>
        <v>='Данные - Крыша'!E40</v>
      </c>
      <c r="O25" t="str">
        <f t="shared" ca="1" si="10"/>
        <v>'Данные - Крыша'!A40</v>
      </c>
      <c r="P25" s="1385" t="str" cm="1">
        <f t="array" aca="1" ref="P25" ca="1">INDIRECT(O25)</f>
        <v>уплотнительная лента для контробрешетки 60мм</v>
      </c>
      <c r="R25" t="str">
        <f t="shared" ca="1" si="2"/>
        <v>E40</v>
      </c>
      <c r="S25" t="str">
        <f ca="1">VLOOKUP(P25,'Данные - Крыша'!AC9:AE589,3,FALSE)</f>
        <v>F319</v>
      </c>
      <c r="T25" t="s">
        <v>2873</v>
      </c>
      <c r="U25" t="str">
        <f t="shared" ca="1" si="3"/>
        <v>ff319</v>
      </c>
      <c r="V25" s="1387" t="str">
        <f t="shared" ca="1" si="7"/>
        <v>=D25</v>
      </c>
    </row>
    <row r="26" spans="1:22" ht="19">
      <c r="A26" s="491" t="s">
        <v>776</v>
      </c>
      <c r="B26" s="447" t="s">
        <v>777</v>
      </c>
      <c r="C26" s="476" t="s">
        <v>160</v>
      </c>
      <c r="D26" s="163" t="str">
        <f>D25</f>
        <v>DB-size</v>
      </c>
      <c r="E26" s="396">
        <f>'Данные - Крыша'!C62</f>
        <v>45</v>
      </c>
      <c r="F26" s="162" t="e">
        <f>D26*E26</f>
        <v>#VALUE!</v>
      </c>
      <c r="G26" s="470" t="s">
        <v>778</v>
      </c>
      <c r="H26" s="190" t="s">
        <v>63</v>
      </c>
      <c r="I26" s="449" t="e">
        <f>'материал - работа'!D38</f>
        <v>#VALUE!</v>
      </c>
      <c r="J26" s="163">
        <f>'Данные - Крыша'!E34</f>
        <v>0</v>
      </c>
      <c r="K26" s="88" t="e">
        <f t="shared" si="8"/>
        <v>#VALUE!</v>
      </c>
      <c r="M26" t="str">
        <f t="shared" ca="1" si="9"/>
        <v>='Данные - Крыша'!E34</v>
      </c>
      <c r="O26" t="str">
        <f t="shared" ca="1" si="10"/>
        <v>'Данные - Крыша'!A34</v>
      </c>
      <c r="P26" s="1385" t="str" cm="1">
        <f t="array" aca="1" ref="P26" ca="1">INDIRECT(O26)</f>
        <v>Доска кам. Сушки 25х150мм</v>
      </c>
      <c r="R26" t="str">
        <f t="shared" ca="1" si="2"/>
        <v>E34</v>
      </c>
      <c r="S26" t="str">
        <f ca="1">VLOOKUP(P26,'Данные - Крыша'!AC10:AE590,3,FALSE)</f>
        <v>F313</v>
      </c>
      <c r="T26" t="s">
        <v>2135</v>
      </c>
      <c r="U26" t="str">
        <f t="shared" ca="1" si="3"/>
        <v>ff313</v>
      </c>
      <c r="V26" s="1387" t="e">
        <f t="shared" ca="1" si="7"/>
        <v>#N/A</v>
      </c>
    </row>
    <row r="27" spans="1:22" ht="19">
      <c r="A27" s="491"/>
      <c r="B27" s="447"/>
      <c r="C27" s="476"/>
      <c r="D27" s="163"/>
      <c r="E27" s="396"/>
      <c r="F27" s="162"/>
      <c r="G27" s="470" t="s">
        <v>688</v>
      </c>
      <c r="H27" s="190" t="s">
        <v>156</v>
      </c>
      <c r="I27" s="207" t="e">
        <f>ROUNDUP('материал - работа'!D43,0)</f>
        <v>#VALUE!</v>
      </c>
      <c r="J27" s="163">
        <f>'Данные - Крыша'!E35</f>
        <v>0</v>
      </c>
      <c r="K27" s="88" t="e">
        <f t="shared" si="8"/>
        <v>#VALUE!</v>
      </c>
      <c r="M27" t="str">
        <f t="shared" ca="1" si="9"/>
        <v>='Данные - Крыша'!E35</v>
      </c>
      <c r="O27" t="str">
        <f t="shared" ca="1" si="10"/>
        <v>'Данные - Крыша'!A35</v>
      </c>
      <c r="P27" s="1385" t="str" cm="1">
        <f t="array" aca="1" ref="P27" ca="1">INDIRECT(O27)</f>
        <v>Саморез 3.8х70мм</v>
      </c>
      <c r="R27" t="str">
        <f t="shared" ca="1" si="2"/>
        <v>E35</v>
      </c>
      <c r="S27" t="str">
        <f ca="1">VLOOKUP(P27,'Данные - Крыша'!AC11:AE591,3,FALSE)</f>
        <v>F314</v>
      </c>
      <c r="T27" t="s">
        <v>2136</v>
      </c>
      <c r="U27" t="str">
        <f t="shared" ca="1" si="3"/>
        <v>ff314</v>
      </c>
      <c r="V27" s="1387" t="e">
        <f t="shared" ca="1" si="7"/>
        <v>#N/A</v>
      </c>
    </row>
    <row r="28" spans="1:22" ht="19">
      <c r="A28" s="491"/>
      <c r="B28" s="447"/>
      <c r="C28" s="476"/>
      <c r="D28" s="163"/>
      <c r="E28" s="396"/>
      <c r="F28" s="162"/>
      <c r="G28" s="470" t="s">
        <v>674</v>
      </c>
      <c r="H28" s="190" t="s">
        <v>675</v>
      </c>
      <c r="I28" s="449" t="str">
        <f>'Данные - Крыша'!C27</f>
        <v>DB-srOSB</v>
      </c>
      <c r="J28" s="163">
        <f>'Данные - Крыша'!E27</f>
        <v>0</v>
      </c>
      <c r="K28" s="88" t="e">
        <f t="shared" si="8"/>
        <v>#VALUE!</v>
      </c>
      <c r="M28" t="str">
        <f t="shared" ca="1" si="9"/>
        <v>='Данные - Крыша'!E27</v>
      </c>
      <c r="O28" t="str">
        <f t="shared" ca="1" si="10"/>
        <v>'Данные - Крыша'!A27</v>
      </c>
      <c r="P28" s="1385" t="str" cm="1">
        <f t="array" aca="1" ref="P28" ca="1">INDIRECT(O28)</f>
        <v>OSB-3 12 мм</v>
      </c>
      <c r="R28" t="str">
        <f t="shared" ca="1" si="2"/>
        <v>E27</v>
      </c>
      <c r="S28" t="str">
        <f ca="1">VLOOKUP(P28,'Данные - Крыша'!AC12:AE592,3,FALSE)</f>
        <v>F306</v>
      </c>
      <c r="T28" t="s">
        <v>2138</v>
      </c>
      <c r="U28" t="str">
        <f t="shared" ca="1" si="3"/>
        <v>ff306</v>
      </c>
      <c r="V28" s="1387" t="e">
        <f t="shared" ca="1" si="7"/>
        <v>#N/A</v>
      </c>
    </row>
    <row r="29" spans="1:22" ht="19">
      <c r="A29" s="491"/>
      <c r="B29" s="447"/>
      <c r="C29" s="476"/>
      <c r="D29" s="163"/>
      <c r="E29" s="396"/>
      <c r="F29" s="162"/>
      <c r="G29" s="470" t="s">
        <v>677</v>
      </c>
      <c r="H29" s="190" t="s">
        <v>156</v>
      </c>
      <c r="I29" s="449" t="e">
        <f>'материал - работа'!D27</f>
        <v>#VALUE!</v>
      </c>
      <c r="J29" s="163">
        <f>'Данные - Крыша'!E28</f>
        <v>0</v>
      </c>
      <c r="K29" s="88" t="e">
        <f t="shared" si="8"/>
        <v>#VALUE!</v>
      </c>
      <c r="M29" t="str">
        <f t="shared" ca="1" si="9"/>
        <v>='Данные - Крыша'!E28</v>
      </c>
      <c r="O29" t="str">
        <f t="shared" ca="1" si="10"/>
        <v>'Данные - Крыша'!A28</v>
      </c>
      <c r="P29" s="1385" t="str" cm="1">
        <f t="array" aca="1" ref="P29" ca="1">INDIRECT(O29)</f>
        <v>Саморез 35мм</v>
      </c>
      <c r="R29" t="str">
        <f t="shared" ca="1" si="2"/>
        <v>E28</v>
      </c>
      <c r="S29" t="str">
        <f ca="1">VLOOKUP(P29,'Данные - Крыша'!AC13:AE593,3,FALSE)</f>
        <v>F307</v>
      </c>
      <c r="T29" t="s">
        <v>2874</v>
      </c>
      <c r="U29" t="str">
        <f t="shared" ca="1" si="3"/>
        <v>ff307</v>
      </c>
      <c r="V29" s="1387" t="e">
        <f t="shared" ca="1" si="7"/>
        <v>#N/A</v>
      </c>
    </row>
    <row r="30" spans="1:22" ht="19">
      <c r="A30" s="491"/>
      <c r="B30" s="447"/>
      <c r="C30" s="476"/>
      <c r="D30" s="163"/>
      <c r="E30" s="396"/>
      <c r="F30" s="162"/>
      <c r="G30" s="470" t="s">
        <v>689</v>
      </c>
      <c r="H30" s="190" t="s">
        <v>85</v>
      </c>
      <c r="I30" s="449" t="e">
        <f>'материал - работа'!D32</f>
        <v>#VALUE!</v>
      </c>
      <c r="J30" s="163">
        <f>'Данные - Крыша'!E36</f>
        <v>0</v>
      </c>
      <c r="K30" s="88" t="e">
        <f t="shared" si="8"/>
        <v>#VALUE!</v>
      </c>
      <c r="M30" t="str">
        <f t="shared" ca="1" si="9"/>
        <v>='Данные - Крыша'!E36</v>
      </c>
      <c r="O30" t="str">
        <f t="shared" ca="1" si="10"/>
        <v>'Данные - Крыша'!A36</v>
      </c>
      <c r="P30" s="1385" t="str" cm="1">
        <f t="array" aca="1" ref="P30" ca="1">INDIRECT(O30)</f>
        <v>Соеденительная пластина</v>
      </c>
      <c r="R30" t="str">
        <f t="shared" ca="1" si="2"/>
        <v>E36</v>
      </c>
      <c r="S30" t="str">
        <f ca="1">VLOOKUP(P30,'Данные - Крыша'!AC14:AE594,3,FALSE)</f>
        <v>F315</v>
      </c>
      <c r="T30" t="s">
        <v>2875</v>
      </c>
      <c r="U30" t="str">
        <f t="shared" ca="1" si="3"/>
        <v>ff315</v>
      </c>
      <c r="V30" s="1387" t="e">
        <f t="shared" ca="1" si="7"/>
        <v>#N/A</v>
      </c>
    </row>
    <row r="31" spans="1:22" ht="19">
      <c r="A31" s="491"/>
      <c r="B31" s="447"/>
      <c r="C31" s="476"/>
      <c r="D31" s="163"/>
      <c r="E31" s="396"/>
      <c r="F31" s="162"/>
      <c r="G31" s="470" t="s">
        <v>197</v>
      </c>
      <c r="H31" s="190" t="s">
        <v>85</v>
      </c>
      <c r="I31" s="449" t="e">
        <f>'материал - работа'!D33</f>
        <v>#VALUE!</v>
      </c>
      <c r="J31" s="163">
        <f>'Данные - Крыша'!E37</f>
        <v>0</v>
      </c>
      <c r="K31" s="88" t="e">
        <f t="shared" si="8"/>
        <v>#VALUE!</v>
      </c>
      <c r="M31" t="str">
        <f t="shared" ca="1" si="9"/>
        <v>='Данные - Крыша'!E37</v>
      </c>
      <c r="O31" t="str">
        <f t="shared" ca="1" si="10"/>
        <v>'Данные - Крыша'!A37</v>
      </c>
      <c r="P31" s="1385" t="str" cm="1">
        <f t="array" aca="1" ref="P31" ca="1">INDIRECT(O31)</f>
        <v>Шпилька 12мм 2000мм</v>
      </c>
      <c r="R31" t="str">
        <f t="shared" ca="1" si="2"/>
        <v>E37</v>
      </c>
      <c r="S31" t="str">
        <f ca="1">VLOOKUP(P31,'Данные - Крыша'!AC15:AE595,3,FALSE)</f>
        <v>D122</v>
      </c>
      <c r="T31" t="s">
        <v>2876</v>
      </c>
      <c r="U31" t="str">
        <f t="shared" ca="1" si="3"/>
        <v>fd122</v>
      </c>
      <c r="V31" s="1387" t="e">
        <f t="shared" ca="1" si="7"/>
        <v>#N/A</v>
      </c>
    </row>
    <row r="32" spans="1:22" ht="19">
      <c r="A32" s="491"/>
      <c r="B32" s="447"/>
      <c r="C32" s="476"/>
      <c r="D32" s="163"/>
      <c r="E32" s="396"/>
      <c r="F32" s="162"/>
      <c r="G32" s="470" t="s">
        <v>690</v>
      </c>
      <c r="H32" s="190" t="s">
        <v>85</v>
      </c>
      <c r="I32" s="449" t="e">
        <f>'материал - работа'!D34</f>
        <v>#VALUE!</v>
      </c>
      <c r="J32" s="163">
        <f>'Данные - Крыша'!E38</f>
        <v>0</v>
      </c>
      <c r="K32" s="88" t="e">
        <f t="shared" si="8"/>
        <v>#VALUE!</v>
      </c>
      <c r="M32" t="str">
        <f t="shared" ca="1" si="9"/>
        <v>='Данные - Крыша'!E38</v>
      </c>
      <c r="O32" t="str">
        <f t="shared" ca="1" si="10"/>
        <v>'Данные - Крыша'!A38</v>
      </c>
      <c r="P32" s="1385" t="str" cm="1">
        <f t="array" aca="1" ref="P32" ca="1">INDIRECT(O32)</f>
        <v>Гайки 12мм</v>
      </c>
      <c r="R32" t="str">
        <f t="shared" ca="1" si="2"/>
        <v>E38</v>
      </c>
      <c r="S32" t="str">
        <f ca="1">VLOOKUP(P32,'Данные - Крыша'!AC16:AE596,3,FALSE)</f>
        <v>F317</v>
      </c>
      <c r="T32" t="s">
        <v>2877</v>
      </c>
      <c r="U32" t="str">
        <f t="shared" ca="1" si="3"/>
        <v>ff317</v>
      </c>
      <c r="V32" s="1387" t="e">
        <f t="shared" ca="1" si="7"/>
        <v>#N/A</v>
      </c>
    </row>
    <row r="33" spans="1:22" ht="19">
      <c r="A33" s="491"/>
      <c r="B33" s="447"/>
      <c r="C33" s="476"/>
      <c r="D33" s="163"/>
      <c r="E33" s="396"/>
      <c r="F33" s="162"/>
      <c r="G33" s="470" t="s">
        <v>198</v>
      </c>
      <c r="H33" s="190" t="s">
        <v>85</v>
      </c>
      <c r="I33" s="449" t="e">
        <f>'материал - работа'!D35</f>
        <v>#VALUE!</v>
      </c>
      <c r="J33" s="163">
        <f>'Данные - Крыша'!E39</f>
        <v>0</v>
      </c>
      <c r="K33" s="88" t="e">
        <f t="shared" si="8"/>
        <v>#VALUE!</v>
      </c>
      <c r="M33" t="str">
        <f t="shared" ca="1" si="9"/>
        <v>='Данные - Крыша'!E39</v>
      </c>
      <c r="O33" t="str">
        <f t="shared" ca="1" si="10"/>
        <v>'Данные - Крыша'!A39</v>
      </c>
      <c r="P33" s="1385" t="str" cm="1">
        <f t="array" aca="1" ref="P33" ca="1">INDIRECT(O33)</f>
        <v>Шайбы 12мм усиленные</v>
      </c>
      <c r="R33" t="str">
        <f t="shared" ca="1" si="2"/>
        <v>E39</v>
      </c>
      <c r="S33" t="str">
        <f ca="1">VLOOKUP(P33,'Данные - Крыша'!AC17:AE597,3,FALSE)</f>
        <v>F318</v>
      </c>
      <c r="T33" t="s">
        <v>2878</v>
      </c>
      <c r="U33" t="str">
        <f t="shared" ca="1" si="3"/>
        <v>ff318</v>
      </c>
      <c r="V33" s="1387" t="e">
        <f t="shared" ca="1" si="7"/>
        <v>#N/A</v>
      </c>
    </row>
    <row r="34" spans="1:22" ht="19">
      <c r="A34" s="491"/>
      <c r="B34" s="447"/>
      <c r="C34" s="476"/>
      <c r="D34" s="163"/>
      <c r="E34" s="396"/>
      <c r="F34" s="162"/>
      <c r="G34" s="470" t="s">
        <v>779</v>
      </c>
      <c r="H34" s="190" t="s">
        <v>85</v>
      </c>
      <c r="I34" s="207" t="e">
        <f>'материал - работа'!D39</f>
        <v>#VALUE!</v>
      </c>
      <c r="J34" s="163">
        <f>'Данные - Крыша'!E41</f>
        <v>0</v>
      </c>
      <c r="K34" s="88" t="e">
        <f t="shared" si="8"/>
        <v>#VALUE!</v>
      </c>
      <c r="M34" t="str">
        <f t="shared" ca="1" si="9"/>
        <v>='Данные - Крыша'!E41</v>
      </c>
      <c r="O34" t="str">
        <f t="shared" ca="1" si="10"/>
        <v>'Данные - Крыша'!A41</v>
      </c>
      <c r="P34" s="1385" t="str" cm="1">
        <f t="array" aca="1" ref="P34" ca="1">INDIRECT(O34)</f>
        <v>Скользячки</v>
      </c>
      <c r="R34" t="str">
        <f t="shared" ca="1" si="2"/>
        <v>E41</v>
      </c>
      <c r="S34" t="str">
        <f ca="1">VLOOKUP(P34,'Данные - Крыша'!AC18:AE598,3,FALSE)</f>
        <v>F320</v>
      </c>
      <c r="T34" t="s">
        <v>2879</v>
      </c>
      <c r="U34" t="str">
        <f t="shared" ca="1" si="3"/>
        <v>ff320</v>
      </c>
      <c r="V34" s="1387" t="e">
        <f t="shared" ca="1" si="7"/>
        <v>#N/A</v>
      </c>
    </row>
    <row r="35" spans="1:22" ht="19">
      <c r="A35" s="491"/>
      <c r="B35" s="447"/>
      <c r="C35" s="476"/>
      <c r="D35" s="163"/>
      <c r="E35" s="396"/>
      <c r="F35" s="162"/>
      <c r="G35" s="470" t="s">
        <v>695</v>
      </c>
      <c r="H35" s="190" t="s">
        <v>156</v>
      </c>
      <c r="I35" s="207" t="e">
        <f>'материал - работа'!D40</f>
        <v>#VALUE!</v>
      </c>
      <c r="J35" s="163">
        <f>'Данные - Крыша'!E42</f>
        <v>0</v>
      </c>
      <c r="K35" s="88" t="e">
        <f t="shared" si="8"/>
        <v>#VALUE!</v>
      </c>
      <c r="M35" t="str">
        <f t="shared" ca="1" si="9"/>
        <v>='Данные - Крыша'!E42</v>
      </c>
      <c r="O35" t="str">
        <f t="shared" ca="1" si="10"/>
        <v>'Данные - Крыша'!A42</v>
      </c>
      <c r="P35" s="1385" t="str" cm="1">
        <f t="array" aca="1" ref="P35" ca="1">INDIRECT(O35)</f>
        <v xml:space="preserve">Саморез 4,2х90 мм </v>
      </c>
      <c r="R35" t="str">
        <f t="shared" ca="1" si="2"/>
        <v>E42</v>
      </c>
      <c r="S35" t="str">
        <f ca="1">VLOOKUP(P35,'Данные - Крыша'!AC19:AE599,3,FALSE)</f>
        <v>F321</v>
      </c>
      <c r="T35" t="s">
        <v>2880</v>
      </c>
      <c r="U35" t="str">
        <f t="shared" ca="1" si="3"/>
        <v>ff321</v>
      </c>
      <c r="V35" s="1387" t="e">
        <f t="shared" ca="1" si="7"/>
        <v>#N/A</v>
      </c>
    </row>
    <row r="36" spans="1:22" ht="19">
      <c r="A36" s="491"/>
      <c r="B36" s="447"/>
      <c r="C36" s="476"/>
      <c r="D36" s="163"/>
      <c r="E36" s="396"/>
      <c r="F36" s="162"/>
      <c r="G36" s="470" t="s">
        <v>780</v>
      </c>
      <c r="H36" s="190" t="s">
        <v>156</v>
      </c>
      <c r="I36" s="207" t="e">
        <f>'материал - работа'!D41</f>
        <v>#VALUE!</v>
      </c>
      <c r="J36" s="163">
        <f>'Данные - Крыша'!E43</f>
        <v>0</v>
      </c>
      <c r="K36" s="88" t="e">
        <f t="shared" si="8"/>
        <v>#VALUE!</v>
      </c>
      <c r="M36" t="str">
        <f t="shared" ca="1" si="9"/>
        <v>='Данные - Крыша'!E43</v>
      </c>
      <c r="O36" t="str">
        <f t="shared" ca="1" si="10"/>
        <v>'Данные - Крыша'!A43</v>
      </c>
      <c r="P36" s="1385" t="str" cm="1">
        <f t="array" aca="1" ref="P36" ca="1">INDIRECT(O36)</f>
        <v>Саморез 51 на скользячки</v>
      </c>
      <c r="R36" t="str">
        <f t="shared" ca="1" si="2"/>
        <v>E43</v>
      </c>
      <c r="S36" t="str">
        <f ca="1">VLOOKUP(P36,'Данные - Крыша'!AC20:AE600,3,FALSE)</f>
        <v>F322</v>
      </c>
      <c r="T36" t="s">
        <v>2881</v>
      </c>
      <c r="U36" t="str">
        <f t="shared" ca="1" si="3"/>
        <v>ff322</v>
      </c>
      <c r="V36" s="1387" t="e">
        <f t="shared" ca="1" si="7"/>
        <v>#N/A</v>
      </c>
    </row>
    <row r="37" spans="1:22" ht="19">
      <c r="A37" s="491"/>
      <c r="B37" s="447"/>
      <c r="C37" s="476"/>
      <c r="D37" s="163"/>
      <c r="E37" s="396"/>
      <c r="F37" s="162"/>
      <c r="G37" s="470" t="s">
        <v>781</v>
      </c>
      <c r="H37" s="190" t="s">
        <v>85</v>
      </c>
      <c r="I37" s="449" t="e">
        <f>'материал - работа'!D46</f>
        <v>#VALUE!</v>
      </c>
      <c r="J37" s="163">
        <f>'Данные - Крыша'!E44</f>
        <v>0</v>
      </c>
      <c r="K37" s="88" t="e">
        <f t="shared" si="8"/>
        <v>#VALUE!</v>
      </c>
      <c r="M37" t="str">
        <f t="shared" ca="1" si="9"/>
        <v>='Данные - Крыша'!E44</v>
      </c>
      <c r="O37" t="str">
        <f t="shared" ca="1" si="10"/>
        <v>'Данные - Крыша'!A44</v>
      </c>
      <c r="P37" s="1385" t="str" cm="1">
        <f t="array" aca="1" ref="P37" ca="1">INDIRECT(O37)</f>
        <v>Лента вентиляционная карнизная  0.1х5м</v>
      </c>
      <c r="R37" t="str">
        <f t="shared" ca="1" si="2"/>
        <v>E44</v>
      </c>
      <c r="S37" t="str">
        <f ca="1">VLOOKUP(P37,'Данные - Крыша'!AC21:AE601,3,FALSE)</f>
        <v>F323</v>
      </c>
      <c r="T37" t="s">
        <v>2882</v>
      </c>
      <c r="U37" t="str">
        <f t="shared" ca="1" si="3"/>
        <v>ff323</v>
      </c>
      <c r="V37" s="1387" t="e">
        <f t="shared" ca="1" si="7"/>
        <v>#N/A</v>
      </c>
    </row>
    <row r="38" spans="1:22" ht="19">
      <c r="A38" s="491"/>
      <c r="B38" s="447"/>
      <c r="C38" s="476"/>
      <c r="D38" s="163"/>
      <c r="E38" s="163"/>
      <c r="F38" s="41"/>
      <c r="G38" s="470" t="s">
        <v>180</v>
      </c>
      <c r="H38" s="190" t="s">
        <v>85</v>
      </c>
      <c r="I38" s="449" t="e">
        <f>'материал - работа'!D47</f>
        <v>#VALUE!</v>
      </c>
      <c r="J38" s="163">
        <f>'Данные - Крыша'!E45</f>
        <v>0</v>
      </c>
      <c r="K38" s="88" t="e">
        <f t="shared" si="8"/>
        <v>#VALUE!</v>
      </c>
      <c r="M38" t="str">
        <f t="shared" ca="1" si="9"/>
        <v>='Данные - Крыша'!E45</v>
      </c>
      <c r="O38" t="str">
        <f t="shared" ca="1" si="10"/>
        <v>'Данные - Крыша'!A45</v>
      </c>
      <c r="P38" s="1385" t="str" cm="1">
        <f t="array" aca="1" ref="P38" ca="1">INDIRECT(O38)</f>
        <v>Скобы степлерные</v>
      </c>
      <c r="R38" t="str">
        <f t="shared" ca="1" si="2"/>
        <v>E45</v>
      </c>
      <c r="S38" t="str">
        <f ca="1">VLOOKUP(P38,'Данные - Крыша'!AC22:AE602,3,FALSE)</f>
        <v>D121</v>
      </c>
      <c r="T38" t="s">
        <v>2883</v>
      </c>
      <c r="U38" t="str">
        <f t="shared" ca="1" si="3"/>
        <v>fd121</v>
      </c>
      <c r="V38" s="1387" t="e">
        <f t="shared" ca="1" si="7"/>
        <v>#N/A</v>
      </c>
    </row>
    <row r="39" spans="1:22" ht="19">
      <c r="A39" s="126"/>
      <c r="B39" s="125"/>
      <c r="C39" s="126"/>
      <c r="D39" s="1283" t="s">
        <v>157</v>
      </c>
      <c r="E39" s="1284"/>
      <c r="F39" s="124" t="e">
        <f>SUM(F18:F26)</f>
        <v>#VALUE!</v>
      </c>
      <c r="G39" s="125"/>
      <c r="H39" s="126"/>
      <c r="I39" s="1285" t="s">
        <v>158</v>
      </c>
      <c r="J39" s="1285"/>
      <c r="K39" s="124" t="e">
        <f>SUM(K18:K38)</f>
        <v>#VALUE!</v>
      </c>
      <c r="P39" s="1385"/>
      <c r="U39" t="str">
        <f t="shared" si="3"/>
        <v>f</v>
      </c>
      <c r="V39" s="1387" t="e">
        <f t="shared" ca="1" si="7"/>
        <v>#N/A</v>
      </c>
    </row>
    <row r="40" spans="1:22" ht="19">
      <c r="A40" s="1280" t="s">
        <v>782</v>
      </c>
      <c r="B40" s="1280"/>
      <c r="C40" s="126"/>
      <c r="D40" s="126"/>
      <c r="E40" s="127"/>
      <c r="F40" s="128"/>
      <c r="G40" s="125"/>
      <c r="H40" s="126"/>
      <c r="I40" s="498"/>
      <c r="J40" s="127"/>
      <c r="K40" s="128"/>
      <c r="P40" s="1385"/>
      <c r="U40" t="str">
        <f t="shared" si="3"/>
        <v>f</v>
      </c>
      <c r="V40" s="1387" t="str">
        <f t="shared" ca="1" si="7"/>
        <v>='Данные - Крыша'!C4</v>
      </c>
    </row>
    <row r="41" spans="1:22" ht="19">
      <c r="A41" s="499" t="s">
        <v>146</v>
      </c>
      <c r="B41" s="478" t="s">
        <v>712</v>
      </c>
      <c r="C41" s="467" t="s">
        <v>160</v>
      </c>
      <c r="D41" s="467" t="str">
        <f>'Данные - Крыша'!C4</f>
        <v>DB-size</v>
      </c>
      <c r="E41" s="378">
        <f>'Данные - Крыша'!C63</f>
        <v>0</v>
      </c>
      <c r="F41" s="467" t="e">
        <f>D41*E41</f>
        <v>#VALUE!</v>
      </c>
      <c r="G41" s="469" t="s">
        <v>641</v>
      </c>
      <c r="H41" s="532" t="s">
        <v>642</v>
      </c>
      <c r="I41" s="533" t="str">
        <f>'Данные - Крыша'!C5</f>
        <v>DB-srCherep</v>
      </c>
      <c r="J41" s="534">
        <f>'Данные - Крыша'!E5</f>
        <v>0</v>
      </c>
      <c r="K41" s="378" t="e">
        <f>I41*J41</f>
        <v>#VALUE!</v>
      </c>
      <c r="M41" t="str">
        <f t="shared" ca="1" si="9"/>
        <v>='Данные - Крыша'!E5</v>
      </c>
      <c r="O41" t="str">
        <f t="shared" ca="1" si="10"/>
        <v>'Данные - Крыша'!A5</v>
      </c>
      <c r="P41" s="1385" t="str" cm="1">
        <f t="array" aca="1" ref="P41" ca="1">INDIRECT(O41)</f>
        <v>Гибкая черепица "Shnglas" коллекция _________</v>
      </c>
      <c r="R41" t="str">
        <f t="shared" ca="1" si="2"/>
        <v>E5</v>
      </c>
      <c r="S41" t="e">
        <f ca="1">VLOOKUP(P41,'Данные - Крыша'!AC25:AE605,3,FALSE)</f>
        <v>#N/A</v>
      </c>
      <c r="T41" t="s">
        <v>2884</v>
      </c>
      <c r="U41" t="e">
        <f t="shared" ca="1" si="3"/>
        <v>#N/A</v>
      </c>
      <c r="V41" s="1387" t="str">
        <f t="shared" ca="1" si="7"/>
        <v>='Данные - Крыша'!C4</v>
      </c>
    </row>
    <row r="42" spans="1:22" ht="30">
      <c r="A42" s="491" t="s">
        <v>164</v>
      </c>
      <c r="B42" s="131" t="s">
        <v>713</v>
      </c>
      <c r="C42" s="130" t="s">
        <v>160</v>
      </c>
      <c r="D42" s="130" t="str">
        <f>'Данные - Крыша'!C4</f>
        <v>DB-size</v>
      </c>
      <c r="E42" s="88">
        <f>'Данные - Крыша'!C64</f>
        <v>0</v>
      </c>
      <c r="F42" s="130" t="e">
        <f>D42*E42</f>
        <v>#VALUE!</v>
      </c>
      <c r="G42" s="470" t="s">
        <v>644</v>
      </c>
      <c r="H42" s="165" t="s">
        <v>184</v>
      </c>
      <c r="I42" s="407" t="str">
        <f>'Данные - Крыша'!C6</f>
        <v>DB-srKover</v>
      </c>
      <c r="J42" s="88">
        <f>'Данные - Крыша'!E6</f>
        <v>0</v>
      </c>
      <c r="K42" s="378" t="e">
        <f t="shared" ref="K42:K59" si="11">I42*J42</f>
        <v>#VALUE!</v>
      </c>
      <c r="M42" t="str">
        <f t="shared" ca="1" si="9"/>
        <v>='Данные - Крыша'!E6</v>
      </c>
      <c r="O42" t="str">
        <f t="shared" ca="1" si="10"/>
        <v>'Данные - Крыша'!A6</v>
      </c>
      <c r="P42" s="1385" t="str" cm="1">
        <f t="array" aca="1" ref="P42" ca="1">INDIRECT(O42)</f>
        <v xml:space="preserve">Подкладочный ковер </v>
      </c>
      <c r="R42" t="str">
        <f t="shared" ca="1" si="2"/>
        <v>E6</v>
      </c>
      <c r="S42" t="str">
        <f ca="1">VLOOKUP(P42,'Данные - Крыша'!AC26:AE606,3,FALSE)</f>
        <v>F285</v>
      </c>
      <c r="T42" t="s">
        <v>2885</v>
      </c>
      <c r="U42" t="str">
        <f t="shared" ca="1" si="3"/>
        <v>ff285</v>
      </c>
      <c r="V42" s="1387" t="e">
        <f t="shared" ca="1" si="7"/>
        <v>#N/A</v>
      </c>
    </row>
    <row r="43" spans="1:22" ht="30">
      <c r="A43" s="491"/>
      <c r="B43" s="131"/>
      <c r="C43" s="130"/>
      <c r="D43" s="130"/>
      <c r="E43" s="88"/>
      <c r="F43" s="130"/>
      <c r="G43" s="470" t="s">
        <v>646</v>
      </c>
      <c r="H43" s="165" t="s">
        <v>182</v>
      </c>
      <c r="I43" s="407" t="str">
        <f>'Данные - Крыша'!C7</f>
        <v>DB-srKonK</v>
      </c>
      <c r="J43" s="88">
        <f>'Данные - Крыша'!E7</f>
        <v>0</v>
      </c>
      <c r="K43" s="378" t="e">
        <f t="shared" si="11"/>
        <v>#VALUE!</v>
      </c>
      <c r="M43" t="str">
        <f t="shared" ca="1" si="9"/>
        <v>='Данные - Крыша'!E7</v>
      </c>
      <c r="O43" t="str">
        <f t="shared" ca="1" si="10"/>
        <v>'Данные - Крыша'!A7</v>
      </c>
      <c r="P43" s="1385" t="str" cm="1">
        <f t="array" aca="1" ref="P43" ca="1">INDIRECT(O43)</f>
        <v>Конек карниз</v>
      </c>
      <c r="R43" t="str">
        <f t="shared" ca="1" si="2"/>
        <v>E7</v>
      </c>
      <c r="S43" t="str">
        <f ca="1">VLOOKUP(P43,'Данные - Крыша'!AC27:AE607,3,FALSE)</f>
        <v>F286</v>
      </c>
      <c r="T43" t="s">
        <v>2886</v>
      </c>
      <c r="U43" t="str">
        <f t="shared" ca="1" si="3"/>
        <v>ff286</v>
      </c>
      <c r="V43" s="1387" t="e">
        <f t="shared" ca="1" si="7"/>
        <v>#N/A</v>
      </c>
    </row>
    <row r="44" spans="1:22" ht="45">
      <c r="A44" s="491"/>
      <c r="B44" s="131"/>
      <c r="C44" s="130"/>
      <c r="D44" s="130"/>
      <c r="E44" s="88"/>
      <c r="F44" s="130"/>
      <c r="G44" s="470" t="s">
        <v>648</v>
      </c>
      <c r="H44" s="165" t="s">
        <v>649</v>
      </c>
      <c r="I44" s="407" t="str">
        <f>'Данные - Крыша'!C8</f>
        <v>DB-srMastika1</v>
      </c>
      <c r="J44" s="88">
        <f>'Данные - Крыша'!E8</f>
        <v>0</v>
      </c>
      <c r="K44" s="378" t="e">
        <f t="shared" si="11"/>
        <v>#VALUE!</v>
      </c>
      <c r="M44" t="str">
        <f t="shared" ca="1" si="9"/>
        <v>='Данные - Крыша'!E8</v>
      </c>
      <c r="O44" t="str">
        <f t="shared" ca="1" si="10"/>
        <v>'Данные - Крыша'!A8</v>
      </c>
      <c r="P44" s="1385" t="str" cm="1">
        <f t="array" aca="1" ref="P44" ca="1">INDIRECT(O44)</f>
        <v>Мастика битумная 3.6 кг</v>
      </c>
      <c r="R44" t="str">
        <f t="shared" ca="1" si="2"/>
        <v>E8</v>
      </c>
      <c r="S44" t="str">
        <f ca="1">VLOOKUP(P44,'Данные - Крыша'!AC28:AE608,3,FALSE)</f>
        <v>F287</v>
      </c>
      <c r="T44" t="s">
        <v>2887</v>
      </c>
      <c r="U44" t="str">
        <f t="shared" ca="1" si="3"/>
        <v>ff287</v>
      </c>
      <c r="V44" s="1387" t="e">
        <f t="shared" ca="1" si="7"/>
        <v>#N/A</v>
      </c>
    </row>
    <row r="45" spans="1:22" ht="30">
      <c r="A45" s="491"/>
      <c r="B45" s="131"/>
      <c r="C45" s="130"/>
      <c r="D45" s="130"/>
      <c r="E45" s="88"/>
      <c r="F45" s="130"/>
      <c r="G45" s="470" t="s">
        <v>651</v>
      </c>
      <c r="H45" s="165" t="s">
        <v>649</v>
      </c>
      <c r="I45" s="407" t="str">
        <f>'Данные - Крыша'!C9</f>
        <v>DB-srMastika</v>
      </c>
      <c r="J45" s="88">
        <f>'Данные - Крыша'!E9</f>
        <v>0</v>
      </c>
      <c r="K45" s="378" t="e">
        <f t="shared" si="11"/>
        <v>#VALUE!</v>
      </c>
      <c r="M45" t="str">
        <f t="shared" ca="1" si="9"/>
        <v>='Данные - Крыша'!E9</v>
      </c>
      <c r="O45" t="str">
        <f t="shared" ca="1" si="10"/>
        <v>'Данные - Крыша'!A9</v>
      </c>
      <c r="P45" s="1385" t="str" cm="1">
        <f t="array" aca="1" ref="P45" ca="1">INDIRECT(O45)</f>
        <v>Мастика битумная12 кг</v>
      </c>
      <c r="R45" t="str">
        <f t="shared" ca="1" si="2"/>
        <v>E9</v>
      </c>
      <c r="S45" t="str">
        <f ca="1">VLOOKUP(P45,'Данные - Крыша'!AC29:AE609,3,FALSE)</f>
        <v>F288</v>
      </c>
      <c r="T45" t="s">
        <v>2888</v>
      </c>
      <c r="U45" t="str">
        <f t="shared" ca="1" si="3"/>
        <v>ff288</v>
      </c>
      <c r="V45" s="1387" t="e">
        <f t="shared" ca="1" si="7"/>
        <v>#N/A</v>
      </c>
    </row>
    <row r="46" spans="1:22" ht="30">
      <c r="A46" s="491"/>
      <c r="B46" s="131"/>
      <c r="C46" s="130"/>
      <c r="D46" s="130"/>
      <c r="E46" s="88"/>
      <c r="F46" s="130"/>
      <c r="G46" s="470" t="s">
        <v>652</v>
      </c>
      <c r="H46" s="165" t="s">
        <v>85</v>
      </c>
      <c r="I46" s="407" t="str">
        <f>'Данные - Крыша'!C10</f>
        <v>DB-srKonShir</v>
      </c>
      <c r="J46" s="88">
        <f>'Данные - Крыша'!E10</f>
        <v>0</v>
      </c>
      <c r="K46" s="378" t="e">
        <f t="shared" si="11"/>
        <v>#VALUE!</v>
      </c>
      <c r="M46" t="str">
        <f t="shared" ca="1" si="9"/>
        <v>='Данные - Крыша'!E10</v>
      </c>
      <c r="O46" t="str">
        <f t="shared" ca="1" si="10"/>
        <v>'Данные - Крыша'!A10</v>
      </c>
      <c r="P46" s="1385" t="str" cm="1">
        <f t="array" aca="1" ref="P46" ca="1">INDIRECT(O46)</f>
        <v xml:space="preserve">Конек широкий </v>
      </c>
      <c r="R46" t="str">
        <f t="shared" ca="1" si="2"/>
        <v>E10</v>
      </c>
      <c r="S46" t="str">
        <f ca="1">VLOOKUP(P46,'Данные - Крыша'!AC30:AE610,3,FALSE)</f>
        <v>F289</v>
      </c>
      <c r="T46" t="s">
        <v>2889</v>
      </c>
      <c r="U46" t="str">
        <f t="shared" ca="1" si="3"/>
        <v>ff289</v>
      </c>
      <c r="V46" s="1387" t="e">
        <f t="shared" ca="1" si="7"/>
        <v>#N/A</v>
      </c>
    </row>
    <row r="47" spans="1:22" ht="45">
      <c r="A47" s="491"/>
      <c r="B47" s="131"/>
      <c r="C47" s="130"/>
      <c r="D47" s="130"/>
      <c r="E47" s="88"/>
      <c r="F47" s="130"/>
      <c r="G47" s="470" t="s">
        <v>655</v>
      </c>
      <c r="H47" s="165" t="s">
        <v>85</v>
      </c>
      <c r="I47" s="407" t="str">
        <f>'Данные - Крыша'!C11</f>
        <v>DB-srKonOneSkat</v>
      </c>
      <c r="J47" s="88">
        <f>'Данные - Крыша'!E11</f>
        <v>0</v>
      </c>
      <c r="K47" s="378" t="e">
        <f t="shared" si="11"/>
        <v>#VALUE!</v>
      </c>
      <c r="M47" t="str">
        <f t="shared" ca="1" si="9"/>
        <v>='Данные - Крыша'!E11</v>
      </c>
      <c r="O47" t="str">
        <f t="shared" ca="1" si="10"/>
        <v>'Данные - Крыша'!A11</v>
      </c>
      <c r="P47" s="1385" t="str" cm="1">
        <f t="array" aca="1" ref="P47" ca="1">INDIRECT(O47)</f>
        <v>Конек односкатной крыши</v>
      </c>
      <c r="R47" t="str">
        <f t="shared" ca="1" si="2"/>
        <v>E11</v>
      </c>
      <c r="S47" t="str">
        <f ca="1">VLOOKUP(P47,'Данные - Крыша'!AC31:AE611,3,FALSE)</f>
        <v>F290</v>
      </c>
      <c r="T47" t="s">
        <v>2890</v>
      </c>
      <c r="U47" t="str">
        <f t="shared" ca="1" si="3"/>
        <v>ff290</v>
      </c>
      <c r="V47" s="1387" t="e">
        <f t="shared" ca="1" si="7"/>
        <v>#N/A</v>
      </c>
    </row>
    <row r="48" spans="1:22" ht="30">
      <c r="A48" s="491"/>
      <c r="B48" s="131"/>
      <c r="C48" s="130"/>
      <c r="D48" s="130"/>
      <c r="E48" s="88"/>
      <c r="F48" s="130"/>
      <c r="G48" s="470" t="s">
        <v>657</v>
      </c>
      <c r="H48" s="165" t="s">
        <v>85</v>
      </c>
      <c r="I48" s="407" t="str">
        <f>'Данные - Крыша'!C12</f>
        <v>DB-srPlanVetr</v>
      </c>
      <c r="J48" s="88">
        <f>'Данные - Крыша'!E12</f>
        <v>0</v>
      </c>
      <c r="K48" s="378" t="e">
        <f t="shared" si="11"/>
        <v>#VALUE!</v>
      </c>
      <c r="M48" t="str">
        <f t="shared" ca="1" si="9"/>
        <v>='Данные - Крыша'!E12</v>
      </c>
      <c r="O48" t="str">
        <f t="shared" ca="1" si="10"/>
        <v>'Данные - Крыша'!A12</v>
      </c>
      <c r="P48" s="1385" t="str" cm="1">
        <f t="array" aca="1" ref="P48" ca="1">INDIRECT(O48)</f>
        <v>Планка ветровая</v>
      </c>
      <c r="R48" t="str">
        <f t="shared" ca="1" si="2"/>
        <v>E12</v>
      </c>
      <c r="S48" t="str">
        <f ca="1">VLOOKUP(P48,'Данные - Крыша'!AC32:AE612,3,FALSE)</f>
        <v>F291</v>
      </c>
      <c r="T48" t="s">
        <v>2891</v>
      </c>
      <c r="U48" t="str">
        <f t="shared" ca="1" si="3"/>
        <v>ff291</v>
      </c>
      <c r="V48" s="1387" t="e">
        <f t="shared" ca="1" si="7"/>
        <v>#N/A</v>
      </c>
    </row>
    <row r="49" spans="1:22" ht="30">
      <c r="A49" s="491"/>
      <c r="B49" s="131"/>
      <c r="C49" s="130"/>
      <c r="D49" s="130"/>
      <c r="E49" s="88"/>
      <c r="F49" s="130"/>
      <c r="G49" s="470" t="s">
        <v>658</v>
      </c>
      <c r="H49" s="165" t="s">
        <v>85</v>
      </c>
      <c r="I49" s="407" t="str">
        <f>'Данные - Крыша'!C13</f>
        <v>DB-srPlanK</v>
      </c>
      <c r="J49" s="88">
        <f>'Данные - Крыша'!E13</f>
        <v>0</v>
      </c>
      <c r="K49" s="378" t="e">
        <f t="shared" si="11"/>
        <v>#VALUE!</v>
      </c>
      <c r="M49" t="str">
        <f t="shared" ca="1" si="9"/>
        <v>='Данные - Крыша'!E13</v>
      </c>
      <c r="O49" t="str">
        <f t="shared" ca="1" si="10"/>
        <v>'Данные - Крыша'!A13</v>
      </c>
      <c r="P49" s="1385" t="str" cm="1">
        <f t="array" aca="1" ref="P49" ca="1">INDIRECT(O49)</f>
        <v>Карнизная планка</v>
      </c>
      <c r="R49" t="str">
        <f t="shared" ca="1" si="2"/>
        <v>E13</v>
      </c>
      <c r="S49" t="str">
        <f ca="1">VLOOKUP(P49,'Данные - Крыша'!AC33:AE613,3,FALSE)</f>
        <v>F292</v>
      </c>
      <c r="T49" t="s">
        <v>1145</v>
      </c>
      <c r="U49" t="str">
        <f t="shared" ca="1" si="3"/>
        <v>ff292</v>
      </c>
      <c r="V49" s="1387" t="e">
        <f t="shared" ca="1" si="7"/>
        <v>#N/A</v>
      </c>
    </row>
    <row r="50" spans="1:22" ht="30">
      <c r="A50" s="491"/>
      <c r="B50" s="131"/>
      <c r="C50" s="130"/>
      <c r="D50" s="130"/>
      <c r="E50" s="88"/>
      <c r="F50" s="130"/>
      <c r="G50" s="470" t="s">
        <v>659</v>
      </c>
      <c r="H50" s="165" t="s">
        <v>85</v>
      </c>
      <c r="I50" s="407" t="str">
        <f>'Данные - Крыша'!C14</f>
        <v>DB-srKapelnik</v>
      </c>
      <c r="J50" s="88">
        <f>'Данные - Крыша'!E14</f>
        <v>0</v>
      </c>
      <c r="K50" s="378" t="e">
        <f t="shared" si="11"/>
        <v>#VALUE!</v>
      </c>
      <c r="M50" t="str">
        <f t="shared" ca="1" si="9"/>
        <v>='Данные - Крыша'!E14</v>
      </c>
      <c r="O50" t="str">
        <f t="shared" ca="1" si="10"/>
        <v>'Данные - Крыша'!A14</v>
      </c>
      <c r="P50" s="1385" t="str" cm="1">
        <f t="array" aca="1" ref="P50" ca="1">INDIRECT(O50)</f>
        <v xml:space="preserve">Капельники </v>
      </c>
      <c r="R50" t="str">
        <f t="shared" ca="1" si="2"/>
        <v>E14</v>
      </c>
      <c r="S50" t="str">
        <f ca="1">VLOOKUP(P50,'Данные - Крыша'!AC34:AE614,3,FALSE)</f>
        <v>F293</v>
      </c>
      <c r="T50" t="s">
        <v>1148</v>
      </c>
      <c r="U50" t="str">
        <f t="shared" ca="1" si="3"/>
        <v>ff293</v>
      </c>
      <c r="V50" s="1387" t="e">
        <f t="shared" ca="1" si="7"/>
        <v>#N/A</v>
      </c>
    </row>
    <row r="51" spans="1:22" ht="30">
      <c r="A51" s="491"/>
      <c r="B51" s="131"/>
      <c r="C51" s="130"/>
      <c r="D51" s="130"/>
      <c r="E51" s="88"/>
      <c r="F51" s="130"/>
      <c r="G51" s="470" t="s">
        <v>660</v>
      </c>
      <c r="H51" s="165" t="s">
        <v>85</v>
      </c>
      <c r="I51" s="407" t="str">
        <f>'Данные - Крыша'!C15</f>
        <v>DB-srEndn</v>
      </c>
      <c r="J51" s="88">
        <f>'Данные - Крыша'!E15</f>
        <v>0</v>
      </c>
      <c r="K51" s="378" t="e">
        <f t="shared" si="11"/>
        <v>#VALUE!</v>
      </c>
      <c r="M51" t="str">
        <f t="shared" ca="1" si="9"/>
        <v>='Данные - Крыша'!E15</v>
      </c>
      <c r="O51" t="str">
        <f t="shared" ca="1" si="10"/>
        <v>'Данные - Крыша'!A15</v>
      </c>
      <c r="P51" s="1385" t="str" cm="1">
        <f t="array" aca="1" ref="P51" ca="1">INDIRECT(O51)</f>
        <v>Ендова</v>
      </c>
      <c r="R51" t="str">
        <f t="shared" ca="1" si="2"/>
        <v>E15</v>
      </c>
      <c r="S51" t="str">
        <f ca="1">VLOOKUP(P51,'Данные - Крыша'!AC35:AE615,3,FALSE)</f>
        <v>F294</v>
      </c>
      <c r="T51" t="s">
        <v>1152</v>
      </c>
      <c r="U51" t="str">
        <f t="shared" ca="1" si="3"/>
        <v>ff294</v>
      </c>
      <c r="V51" s="1387" t="e">
        <f t="shared" ca="1" si="7"/>
        <v>#N/A</v>
      </c>
    </row>
    <row r="52" spans="1:22" ht="30">
      <c r="A52" s="491"/>
      <c r="B52" s="131"/>
      <c r="C52" s="130"/>
      <c r="D52" s="130"/>
      <c r="E52" s="88"/>
      <c r="F52" s="130"/>
      <c r="G52" s="470" t="s">
        <v>661</v>
      </c>
      <c r="H52" s="165" t="s">
        <v>182</v>
      </c>
      <c r="I52" s="407" t="str">
        <f>'Данные - Крыша'!C16</f>
        <v>DB-srGvozd</v>
      </c>
      <c r="J52" s="88">
        <f>'Данные - Крыша'!E16</f>
        <v>0</v>
      </c>
      <c r="K52" s="378" t="e">
        <f t="shared" si="11"/>
        <v>#VALUE!</v>
      </c>
      <c r="M52" t="str">
        <f t="shared" ca="1" si="9"/>
        <v>='Данные - Крыша'!E16</v>
      </c>
      <c r="O52" t="str">
        <f t="shared" ca="1" si="10"/>
        <v>'Данные - Крыша'!A16</v>
      </c>
      <c r="P52" s="1385" t="str" cm="1">
        <f t="array" aca="1" ref="P52" ca="1">INDIRECT(O52)</f>
        <v>Гвоздь кровельный</v>
      </c>
      <c r="R52" t="str">
        <f t="shared" ca="1" si="2"/>
        <v>E16</v>
      </c>
      <c r="S52" t="str">
        <f ca="1">VLOOKUP(P52,'Данные - Крыша'!AC36:AE616,3,FALSE)</f>
        <v>F295</v>
      </c>
      <c r="T52" t="s">
        <v>1156</v>
      </c>
      <c r="U52" t="str">
        <f t="shared" ca="1" si="3"/>
        <v>ff295</v>
      </c>
      <c r="V52" s="1387" t="e">
        <f t="shared" ca="1" si="7"/>
        <v>#N/A</v>
      </c>
    </row>
    <row r="53" spans="1:22" ht="30">
      <c r="A53" s="491"/>
      <c r="B53" s="131"/>
      <c r="C53" s="130"/>
      <c r="D53" s="130"/>
      <c r="E53" s="88"/>
      <c r="F53" s="130"/>
      <c r="G53" s="470" t="s">
        <v>662</v>
      </c>
      <c r="H53" s="165" t="s">
        <v>182</v>
      </c>
      <c r="I53" s="407" t="str">
        <f>'Данные - Крыша'!C17</f>
        <v>DB-srSam70</v>
      </c>
      <c r="J53" s="88">
        <f>'Данные - Крыша'!E17</f>
        <v>0</v>
      </c>
      <c r="K53" s="378" t="e">
        <f t="shared" si="11"/>
        <v>#VALUE!</v>
      </c>
      <c r="M53" t="str">
        <f t="shared" ca="1" si="9"/>
        <v>='Данные - Крыша'!E17</v>
      </c>
      <c r="O53" t="str">
        <f t="shared" ca="1" si="10"/>
        <v>'Данные - Крыша'!A17</v>
      </c>
      <c r="P53" s="1385" t="str" cm="1">
        <f t="array" aca="1" ref="P53" ca="1">INDIRECT(O53)</f>
        <v>Саморез 70</v>
      </c>
      <c r="R53" t="str">
        <f t="shared" ca="1" si="2"/>
        <v>E17</v>
      </c>
      <c r="S53" t="str">
        <f ca="1">VLOOKUP(P53,'Данные - Крыша'!AC37:AE617,3,FALSE)</f>
        <v>F296</v>
      </c>
      <c r="T53" t="s">
        <v>1159</v>
      </c>
      <c r="U53" t="str">
        <f t="shared" ca="1" si="3"/>
        <v>ff296</v>
      </c>
      <c r="V53" s="1387" t="e">
        <f t="shared" ca="1" si="7"/>
        <v>#N/A</v>
      </c>
    </row>
    <row r="54" spans="1:22" ht="30">
      <c r="A54" s="491"/>
      <c r="B54" s="131"/>
      <c r="C54" s="130"/>
      <c r="D54" s="130"/>
      <c r="E54" s="88"/>
      <c r="F54" s="130"/>
      <c r="G54" s="470" t="s">
        <v>663</v>
      </c>
      <c r="H54" s="165" t="s">
        <v>85</v>
      </c>
      <c r="I54" s="407" t="str">
        <f>'Данные - Крыша'!C18</f>
        <v>DB-srPack</v>
      </c>
      <c r="J54" s="88">
        <f>'Данные - Крыша'!E18</f>
        <v>0</v>
      </c>
      <c r="K54" s="378" t="e">
        <f t="shared" si="11"/>
        <v>#VALUE!</v>
      </c>
      <c r="M54" t="str">
        <f t="shared" ca="1" si="9"/>
        <v>='Данные - Крыша'!E18</v>
      </c>
      <c r="O54" t="str">
        <f t="shared" ca="1" si="10"/>
        <v>'Данные - Крыша'!A18</v>
      </c>
      <c r="P54" s="1385" t="str" cm="1">
        <f t="array" aca="1" ref="P54" ca="1">INDIRECT(O54)</f>
        <v>Упаковка</v>
      </c>
      <c r="R54" t="str">
        <f t="shared" ca="1" si="2"/>
        <v>E18</v>
      </c>
      <c r="S54" t="str">
        <f ca="1">VLOOKUP(P54,'Данные - Крыша'!AC38:AE618,3,FALSE)</f>
        <v>F297</v>
      </c>
      <c r="T54" t="s">
        <v>2892</v>
      </c>
      <c r="U54" t="str">
        <f t="shared" ca="1" si="3"/>
        <v>ff297</v>
      </c>
      <c r="V54" s="1387" t="e">
        <f t="shared" ca="1" si="7"/>
        <v>#N/A</v>
      </c>
    </row>
    <row r="55" spans="1:22" ht="30">
      <c r="A55" s="491"/>
      <c r="B55" s="131"/>
      <c r="C55" s="130"/>
      <c r="D55" s="130"/>
      <c r="E55" s="88"/>
      <c r="F55" s="130"/>
      <c r="G55" s="470" t="s">
        <v>666</v>
      </c>
      <c r="H55" s="165" t="s">
        <v>85</v>
      </c>
      <c r="I55" s="407" t="str">
        <f>'Данные - Крыша'!C21</f>
        <v>DB-srLenta</v>
      </c>
      <c r="J55" s="88">
        <f>'Данные - Крыша'!E21</f>
        <v>0</v>
      </c>
      <c r="K55" s="378" t="e">
        <f t="shared" si="11"/>
        <v>#VALUE!</v>
      </c>
      <c r="M55" t="str">
        <f t="shared" ca="1" si="9"/>
        <v>='Данные - Крыша'!E21</v>
      </c>
      <c r="O55" t="str">
        <f t="shared" ca="1" si="10"/>
        <v>'Данные - Крыша'!A21</v>
      </c>
      <c r="P55" s="1385" t="str" cm="1">
        <f t="array" aca="1" ref="P55" ca="1">INDIRECT(O55)</f>
        <v>Лента клеещая двухсторонняя</v>
      </c>
      <c r="R55" t="str">
        <f t="shared" ca="1" si="2"/>
        <v>E21</v>
      </c>
      <c r="S55" t="str">
        <f ca="1">VLOOKUP(P55,'Данные - Крыша'!AC39:AE619,3,FALSE)</f>
        <v>F300</v>
      </c>
      <c r="T55" t="s">
        <v>2893</v>
      </c>
      <c r="U55" t="str">
        <f t="shared" ca="1" si="3"/>
        <v>ff300</v>
      </c>
      <c r="V55" s="1387" t="e">
        <f t="shared" ca="1" si="7"/>
        <v>#N/A</v>
      </c>
    </row>
    <row r="56" spans="1:22" ht="45">
      <c r="A56" s="491"/>
      <c r="B56" s="131"/>
      <c r="C56" s="130"/>
      <c r="D56" s="130"/>
      <c r="E56" s="88"/>
      <c r="F56" s="130"/>
      <c r="G56" s="470" t="s">
        <v>671</v>
      </c>
      <c r="H56" s="165" t="s">
        <v>85</v>
      </c>
      <c r="I56" s="407" t="str">
        <f>'Данные - Крыша'!C25</f>
        <v>DB-srPrimUgol</v>
      </c>
      <c r="J56" s="88">
        <f>'Данные - Крыша'!E25</f>
        <v>0</v>
      </c>
      <c r="K56" s="378" t="e">
        <f t="shared" si="11"/>
        <v>#VALUE!</v>
      </c>
      <c r="M56" t="str">
        <f t="shared" ca="1" si="9"/>
        <v>='Данные - Крыша'!E25</v>
      </c>
      <c r="O56" t="str">
        <f t="shared" ca="1" si="10"/>
        <v>'Данные - Крыша'!A25</v>
      </c>
      <c r="P56" s="1385" t="str" cm="1">
        <f t="array" aca="1" ref="P56" ca="1">INDIRECT(O56)</f>
        <v>Примыкание угловое</v>
      </c>
      <c r="R56" t="str">
        <f t="shared" ca="1" si="2"/>
        <v>E25</v>
      </c>
      <c r="S56" t="str">
        <f ca="1">VLOOKUP(P56,'Данные - Крыша'!AC40:AE620,3,FALSE)</f>
        <v>F304</v>
      </c>
      <c r="T56" t="s">
        <v>1162</v>
      </c>
      <c r="U56" t="str">
        <f t="shared" ca="1" si="3"/>
        <v>ff304</v>
      </c>
      <c r="V56" s="1387" t="e">
        <f t="shared" ca="1" si="7"/>
        <v>#N/A</v>
      </c>
    </row>
    <row r="57" spans="1:22" ht="45">
      <c r="A57" s="491"/>
      <c r="B57" s="131"/>
      <c r="C57" s="130"/>
      <c r="D57" s="130"/>
      <c r="E57" s="88"/>
      <c r="F57" s="130"/>
      <c r="G57" s="470" t="s">
        <v>672</v>
      </c>
      <c r="H57" s="165" t="s">
        <v>85</v>
      </c>
      <c r="I57" s="407" t="str">
        <f>'Данные - Крыша'!C26</f>
        <v>DB-mrPrimNakl</v>
      </c>
      <c r="J57" s="88">
        <f>'Данные - Крыша'!E26</f>
        <v>0</v>
      </c>
      <c r="K57" s="378" t="e">
        <f t="shared" si="11"/>
        <v>#VALUE!</v>
      </c>
      <c r="M57" t="str">
        <f t="shared" ca="1" si="9"/>
        <v>='Данные - Крыша'!E26</v>
      </c>
      <c r="O57" t="str">
        <f t="shared" ca="1" si="10"/>
        <v>'Данные - Крыша'!A26</v>
      </c>
      <c r="P57" s="1385" t="str" cm="1">
        <f t="array" aca="1" ref="P57" ca="1">INDIRECT(O57)</f>
        <v>Примыкание накладное</v>
      </c>
      <c r="R57" t="str">
        <f t="shared" ca="1" si="2"/>
        <v>E26</v>
      </c>
      <c r="S57" t="str">
        <f ca="1">VLOOKUP(P57,'Данные - Крыша'!AC41:AE621,3,FALSE)</f>
        <v>F305</v>
      </c>
      <c r="T57" t="s">
        <v>1164</v>
      </c>
      <c r="U57" t="str">
        <f t="shared" ca="1" si="3"/>
        <v>ff305</v>
      </c>
      <c r="V57" s="1387" t="e">
        <f t="shared" ca="1" si="7"/>
        <v>#N/A</v>
      </c>
    </row>
    <row r="58" spans="1:22" ht="30">
      <c r="A58" s="491"/>
      <c r="B58" s="131"/>
      <c r="C58" s="130"/>
      <c r="D58" s="130"/>
      <c r="E58" s="88"/>
      <c r="F58" s="130"/>
      <c r="G58" s="470" t="s">
        <v>678</v>
      </c>
      <c r="H58" s="165" t="s">
        <v>85</v>
      </c>
      <c r="I58" s="407" t="str">
        <f>'Данные - Крыша'!C29</f>
        <v>DB-srAero</v>
      </c>
      <c r="J58" s="88">
        <f>'Данные - Крыша'!E29</f>
        <v>0</v>
      </c>
      <c r="K58" s="378" t="e">
        <f t="shared" si="11"/>
        <v>#VALUE!</v>
      </c>
      <c r="M58" t="str">
        <f t="shared" ca="1" si="9"/>
        <v>='Данные - Крыша'!E29</v>
      </c>
      <c r="O58" t="str">
        <f t="shared" ca="1" si="10"/>
        <v>'Данные - Крыша'!A29</v>
      </c>
      <c r="P58" s="1385" t="str" cm="1">
        <f t="array" aca="1" ref="P58" ca="1">INDIRECT(O58)</f>
        <v>Аэратор конька</v>
      </c>
      <c r="R58" t="str">
        <f t="shared" ca="1" si="2"/>
        <v>E29</v>
      </c>
      <c r="S58" t="str">
        <f ca="1">VLOOKUP(P58,'Данные - Крыша'!AC42:AE622,3,FALSE)</f>
        <v>F308</v>
      </c>
      <c r="T58" t="s">
        <v>1167</v>
      </c>
      <c r="U58" t="str">
        <f t="shared" ca="1" si="3"/>
        <v>ff308</v>
      </c>
      <c r="V58" s="1387" t="e">
        <f t="shared" ca="1" si="7"/>
        <v>#N/A</v>
      </c>
    </row>
    <row r="59" spans="1:22" ht="45">
      <c r="A59" s="491"/>
      <c r="B59" s="131"/>
      <c r="C59" s="130"/>
      <c r="D59" s="130"/>
      <c r="E59" s="88"/>
      <c r="F59" s="130"/>
      <c r="G59" s="470" t="s">
        <v>679</v>
      </c>
      <c r="H59" s="165" t="s">
        <v>85</v>
      </c>
      <c r="I59" s="407" t="str">
        <f>'Данные - Крыша'!C30</f>
        <v>DB-srAeroSkat</v>
      </c>
      <c r="J59" s="88">
        <f>'Данные - Крыша'!E30</f>
        <v>0</v>
      </c>
      <c r="K59" s="378" t="e">
        <f t="shared" si="11"/>
        <v>#VALUE!</v>
      </c>
      <c r="M59" t="str">
        <f t="shared" ca="1" si="9"/>
        <v>='Данные - Крыша'!E30</v>
      </c>
      <c r="O59" t="str">
        <f t="shared" ca="1" si="10"/>
        <v>'Данные - Крыша'!A30</v>
      </c>
      <c r="P59" s="1385" t="str" cm="1">
        <f t="array" aca="1" ref="P59" ca="1">INDIRECT(O59)</f>
        <v>Аэратор скатный</v>
      </c>
      <c r="R59" t="str">
        <f t="shared" ca="1" si="2"/>
        <v>E30</v>
      </c>
      <c r="S59" t="str">
        <f ca="1">VLOOKUP(P59,'Данные - Крыша'!AC43:AE623,3,FALSE)</f>
        <v>F309</v>
      </c>
      <c r="T59" t="s">
        <v>1170</v>
      </c>
      <c r="U59" t="str">
        <f t="shared" ca="1" si="3"/>
        <v>ff309</v>
      </c>
      <c r="V59" s="1387" t="e">
        <f t="shared" ca="1" si="7"/>
        <v>#N/A</v>
      </c>
    </row>
    <row r="60" spans="1:22" ht="15.5" customHeight="1">
      <c r="A60" s="491"/>
      <c r="B60" s="131"/>
      <c r="C60" s="130"/>
      <c r="D60" s="130"/>
      <c r="E60" s="88"/>
      <c r="F60" s="130"/>
      <c r="G60" s="470"/>
      <c r="H60" s="165"/>
      <c r="I60" s="165"/>
      <c r="J60" s="88"/>
      <c r="K60" s="88"/>
      <c r="P60" s="1385"/>
      <c r="U60" t="str">
        <f t="shared" si="3"/>
        <v>f</v>
      </c>
      <c r="V60" s="1387" t="e">
        <f t="shared" ca="1" si="7"/>
        <v>#N/A</v>
      </c>
    </row>
    <row r="61" spans="1:22" ht="19">
      <c r="A61" s="126"/>
      <c r="B61" s="125"/>
      <c r="C61" s="126"/>
      <c r="D61" s="1283" t="s">
        <v>157</v>
      </c>
      <c r="E61" s="1284"/>
      <c r="F61" s="124" t="e">
        <f>SUM(F41:F60)</f>
        <v>#VALUE!</v>
      </c>
      <c r="G61" s="125"/>
      <c r="H61" s="126"/>
      <c r="I61" s="1285" t="s">
        <v>158</v>
      </c>
      <c r="J61" s="1285"/>
      <c r="K61" s="124" t="e">
        <f>SUM(K41:K60)</f>
        <v>#VALUE!</v>
      </c>
      <c r="P61" s="1385"/>
      <c r="U61" t="str">
        <f t="shared" si="3"/>
        <v>f</v>
      </c>
      <c r="V61" s="1387" t="e">
        <f t="shared" ca="1" si="7"/>
        <v>#N/A</v>
      </c>
    </row>
    <row r="62" spans="1:22" ht="19">
      <c r="A62" s="1280" t="s">
        <v>783</v>
      </c>
      <c r="B62" s="1280"/>
      <c r="C62" s="126"/>
      <c r="D62" s="126"/>
      <c r="E62" s="127"/>
      <c r="F62" s="128"/>
      <c r="G62" s="125"/>
      <c r="H62" s="126"/>
      <c r="I62" s="498"/>
      <c r="J62" s="127"/>
      <c r="K62" s="128"/>
      <c r="P62" s="1385"/>
      <c r="U62" t="str">
        <f t="shared" si="3"/>
        <v>f</v>
      </c>
      <c r="V62" s="1387" t="str">
        <f t="shared" ca="1" si="7"/>
        <v>='материал - работа'!E72</v>
      </c>
    </row>
    <row r="63" spans="1:22" ht="19">
      <c r="A63" s="491" t="s">
        <v>146</v>
      </c>
      <c r="B63" s="131" t="s">
        <v>784</v>
      </c>
      <c r="C63" s="130" t="s">
        <v>86</v>
      </c>
      <c r="D63" s="130">
        <f>'материал - работа'!E72</f>
        <v>24</v>
      </c>
      <c r="E63" s="88">
        <f>'Данные - Крыша'!C66</f>
        <v>0</v>
      </c>
      <c r="F63" s="130">
        <f>D63*E63</f>
        <v>0</v>
      </c>
      <c r="G63" s="470" t="s">
        <v>719</v>
      </c>
      <c r="H63" s="165" t="s">
        <v>85</v>
      </c>
      <c r="I63" s="88">
        <f>'Данные - Крыша'!C71</f>
        <v>8</v>
      </c>
      <c r="J63" s="88">
        <f>'Данные - Крыша'!E71</f>
        <v>5</v>
      </c>
      <c r="K63" s="378">
        <f>I63*J63</f>
        <v>40</v>
      </c>
      <c r="M63" t="str">
        <f t="shared" ca="1" si="9"/>
        <v>='Данные - Крыша'!E71</v>
      </c>
      <c r="O63" t="str">
        <f t="shared" ca="1" si="10"/>
        <v>'Данные - Крыша'!A71</v>
      </c>
      <c r="P63" s="1385" t="str" cm="1">
        <f t="array" aca="1" ref="P63" ca="1">INDIRECT(O63)</f>
        <v>Желоб 3м</v>
      </c>
      <c r="R63" t="str">
        <f t="shared" ca="1" si="2"/>
        <v>E71</v>
      </c>
      <c r="S63" t="str">
        <f ca="1">VLOOKUP(P63,'Данные - Крыша'!AC47:AE627,3,FALSE)</f>
        <v>D351</v>
      </c>
      <c r="T63" t="s">
        <v>2894</v>
      </c>
      <c r="U63" t="str">
        <f t="shared" ca="1" si="3"/>
        <v>fd351</v>
      </c>
      <c r="V63" s="1387" t="str">
        <f t="shared" ca="1" si="7"/>
        <v>='материал - работа'!E71</v>
      </c>
    </row>
    <row r="64" spans="1:22" ht="19">
      <c r="A64" s="491" t="s">
        <v>164</v>
      </c>
      <c r="B64" s="131" t="s">
        <v>785</v>
      </c>
      <c r="C64" s="130" t="s">
        <v>86</v>
      </c>
      <c r="D64" s="130">
        <f>'материал - работа'!E71</f>
        <v>16</v>
      </c>
      <c r="E64" s="88">
        <f>'Данные - Крыша'!C65</f>
        <v>0</v>
      </c>
      <c r="F64" s="130">
        <f>D64*E64</f>
        <v>0</v>
      </c>
      <c r="G64" s="470" t="s">
        <v>720</v>
      </c>
      <c r="H64" s="165" t="s">
        <v>85</v>
      </c>
      <c r="I64" s="88">
        <f>'Данные - Крыша'!C72</f>
        <v>2</v>
      </c>
      <c r="J64" s="88">
        <f>'Данные - Крыша'!E72</f>
        <v>5</v>
      </c>
      <c r="K64" s="378">
        <f t="shared" ref="K64:K75" si="12">I64*J64</f>
        <v>10</v>
      </c>
      <c r="M64" t="str">
        <f t="shared" ca="1" si="9"/>
        <v>='Данные - Крыша'!E72</v>
      </c>
      <c r="O64" t="str">
        <f t="shared" ca="1" si="10"/>
        <v>'Данные - Крыша'!A72</v>
      </c>
      <c r="P64" s="1385" t="str" cm="1">
        <f t="array" aca="1" ref="P64" ca="1">INDIRECT(O64)</f>
        <v>Соединитель желоба</v>
      </c>
      <c r="R64" t="str">
        <f t="shared" ca="1" si="2"/>
        <v>E72</v>
      </c>
      <c r="S64" t="str">
        <f ca="1">VLOOKUP(P64,'Данные - Крыша'!AC48:AE628,3,FALSE)</f>
        <v>D352</v>
      </c>
      <c r="T64" t="s">
        <v>2895</v>
      </c>
      <c r="U64" t="str">
        <f t="shared" ca="1" si="3"/>
        <v>fd352</v>
      </c>
      <c r="V64" s="1387" t="e">
        <f t="shared" ca="1" si="7"/>
        <v>#N/A</v>
      </c>
    </row>
    <row r="65" spans="1:22" ht="19">
      <c r="A65" s="491"/>
      <c r="B65" s="131"/>
      <c r="C65" s="130"/>
      <c r="D65" s="130"/>
      <c r="E65" s="88"/>
      <c r="F65" s="130"/>
      <c r="G65" s="470" t="s">
        <v>721</v>
      </c>
      <c r="H65" s="165" t="s">
        <v>85</v>
      </c>
      <c r="I65" s="88">
        <f>'Данные - Крыша'!C73</f>
        <v>38</v>
      </c>
      <c r="J65" s="88">
        <f>'Данные - Крыша'!E73</f>
        <v>5</v>
      </c>
      <c r="K65" s="378">
        <f t="shared" si="12"/>
        <v>190</v>
      </c>
      <c r="M65" t="str">
        <f t="shared" ca="1" si="9"/>
        <v>='Данные - Крыша'!E73</v>
      </c>
      <c r="O65" t="str">
        <f t="shared" ca="1" si="10"/>
        <v>'Данные - Крыша'!A73</v>
      </c>
      <c r="P65" s="1385" t="str" cm="1">
        <f t="array" aca="1" ref="P65" ca="1">INDIRECT(O65)</f>
        <v>Кронштейн желоба</v>
      </c>
      <c r="R65" t="str">
        <f t="shared" ca="1" si="2"/>
        <v>E73</v>
      </c>
      <c r="S65" t="str">
        <f ca="1">VLOOKUP(P65,'Данные - Крыша'!AC49:AE629,3,FALSE)</f>
        <v>D353</v>
      </c>
      <c r="T65" t="s">
        <v>2896</v>
      </c>
      <c r="U65" t="str">
        <f t="shared" ca="1" si="3"/>
        <v>fd353</v>
      </c>
      <c r="V65" s="1387" t="e">
        <f t="shared" ca="1" si="7"/>
        <v>#N/A</v>
      </c>
    </row>
    <row r="66" spans="1:22" ht="19">
      <c r="A66" s="491"/>
      <c r="B66" s="131"/>
      <c r="C66" s="130"/>
      <c r="D66" s="130"/>
      <c r="E66" s="88"/>
      <c r="F66" s="130"/>
      <c r="G66" s="470" t="s">
        <v>722</v>
      </c>
      <c r="H66" s="165" t="s">
        <v>85</v>
      </c>
      <c r="I66" s="88">
        <f>'Данные - Крыша'!C74</f>
        <v>10</v>
      </c>
      <c r="J66" s="88">
        <f>'Данные - Крыша'!E74</f>
        <v>5</v>
      </c>
      <c r="K66" s="378">
        <f t="shared" si="12"/>
        <v>50</v>
      </c>
      <c r="M66" t="str">
        <f t="shared" ca="1" si="9"/>
        <v>='Данные - Крыша'!E74</v>
      </c>
      <c r="O66" t="str">
        <f t="shared" ca="1" si="10"/>
        <v>'Данные - Крыша'!A74</v>
      </c>
      <c r="P66" s="1385" t="str" cm="1">
        <f t="array" aca="1" ref="P66" ca="1">INDIRECT(O66)</f>
        <v>Заглушка</v>
      </c>
      <c r="R66" t="str">
        <f t="shared" ca="1" si="2"/>
        <v>E74</v>
      </c>
      <c r="S66" t="str">
        <f ca="1">VLOOKUP(P66,'Данные - Крыша'!AC50:AE630,3,FALSE)</f>
        <v>D354</v>
      </c>
      <c r="T66" t="s">
        <v>2897</v>
      </c>
      <c r="U66" t="str">
        <f t="shared" ca="1" si="3"/>
        <v>fd354</v>
      </c>
      <c r="V66" s="1387" t="e">
        <f t="shared" ca="1" si="7"/>
        <v>#N/A</v>
      </c>
    </row>
    <row r="67" spans="1:22" ht="19">
      <c r="A67" s="491"/>
      <c r="B67" s="131"/>
      <c r="C67" s="130"/>
      <c r="D67" s="130"/>
      <c r="E67" s="88"/>
      <c r="F67" s="130"/>
      <c r="G67" s="470" t="s">
        <v>723</v>
      </c>
      <c r="H67" s="165" t="s">
        <v>85</v>
      </c>
      <c r="I67" s="88">
        <f>'Данные - Крыша'!C75</f>
        <v>4</v>
      </c>
      <c r="J67" s="88">
        <f>'Данные - Крыша'!E75</f>
        <v>5</v>
      </c>
      <c r="K67" s="378">
        <f t="shared" si="12"/>
        <v>20</v>
      </c>
      <c r="M67" t="str">
        <f t="shared" ca="1" si="9"/>
        <v>='Данные - Крыша'!E75</v>
      </c>
      <c r="O67" t="str">
        <f t="shared" ca="1" si="10"/>
        <v>'Данные - Крыша'!A75</v>
      </c>
      <c r="P67" s="1385" t="str" cm="1">
        <f t="array" aca="1" ref="P67" ca="1">INDIRECT(O67)</f>
        <v>Воронка</v>
      </c>
      <c r="R67" t="str">
        <f t="shared" ca="1" si="2"/>
        <v>E75</v>
      </c>
      <c r="S67" t="str">
        <f ca="1">VLOOKUP(P67,'Данные - Крыша'!AC51:AE631,3,FALSE)</f>
        <v>D355</v>
      </c>
      <c r="T67" t="s">
        <v>2898</v>
      </c>
      <c r="U67" t="str">
        <f t="shared" ca="1" si="3"/>
        <v>fd355</v>
      </c>
      <c r="V67" s="1387" t="e">
        <f t="shared" ca="1" si="7"/>
        <v>#N/A</v>
      </c>
    </row>
    <row r="68" spans="1:22" ht="19">
      <c r="A68" s="491"/>
      <c r="B68" s="131"/>
      <c r="C68" s="130"/>
      <c r="D68" s="130"/>
      <c r="E68" s="88"/>
      <c r="F68" s="130"/>
      <c r="G68" s="470" t="s">
        <v>724</v>
      </c>
      <c r="H68" s="165" t="s">
        <v>85</v>
      </c>
      <c r="I68" s="88">
        <f>'Данные - Крыша'!C76</f>
        <v>8</v>
      </c>
      <c r="J68" s="88">
        <f>'Данные - Крыша'!E76</f>
        <v>5</v>
      </c>
      <c r="K68" s="378">
        <f t="shared" si="12"/>
        <v>40</v>
      </c>
      <c r="M68" t="str">
        <f t="shared" ca="1" si="9"/>
        <v>='Данные - Крыша'!E76</v>
      </c>
      <c r="O68" t="str">
        <f t="shared" ca="1" si="10"/>
        <v>'Данные - Крыша'!A76</v>
      </c>
      <c r="P68" s="1385" t="str" cm="1">
        <f t="array" aca="1" ref="P68" ca="1">INDIRECT(O68)</f>
        <v>Колено</v>
      </c>
      <c r="R68" t="str">
        <f t="shared" ref="R68:R95" ca="1" si="13">MID(M68, SEARCH("!", M68) + 1, LEN(M68))</f>
        <v>E76</v>
      </c>
      <c r="S68" t="str">
        <f ca="1">VLOOKUP(P68,'Данные - Крыша'!AC52:AE632,3,FALSE)</f>
        <v>D356</v>
      </c>
      <c r="T68" t="s">
        <v>2899</v>
      </c>
      <c r="U68" t="str">
        <f t="shared" ca="1" si="3"/>
        <v>fd356</v>
      </c>
      <c r="V68" s="1387" t="e">
        <f t="shared" ca="1" si="7"/>
        <v>#N/A</v>
      </c>
    </row>
    <row r="69" spans="1:22" ht="19">
      <c r="A69" s="491"/>
      <c r="B69" s="131"/>
      <c r="C69" s="130"/>
      <c r="D69" s="130"/>
      <c r="E69" s="88"/>
      <c r="F69" s="130"/>
      <c r="G69" s="470" t="s">
        <v>725</v>
      </c>
      <c r="H69" s="165" t="s">
        <v>85</v>
      </c>
      <c r="I69" s="88">
        <f>'Данные - Крыша'!C77</f>
        <v>4</v>
      </c>
      <c r="J69" s="88">
        <f>'Данные - Крыша'!E77</f>
        <v>5</v>
      </c>
      <c r="K69" s="378">
        <f t="shared" si="12"/>
        <v>20</v>
      </c>
      <c r="M69" t="str">
        <f t="shared" ca="1" si="9"/>
        <v>='Данные - Крыша'!E77</v>
      </c>
      <c r="O69" t="str">
        <f t="shared" ca="1" si="10"/>
        <v>'Данные - Крыша'!A77</v>
      </c>
      <c r="P69" s="1385" t="str" cm="1">
        <f t="array" aca="1" ref="P69" ca="1">INDIRECT(O69)</f>
        <v>Отвод</v>
      </c>
      <c r="R69" t="str">
        <f t="shared" ca="1" si="13"/>
        <v>E77</v>
      </c>
      <c r="S69" t="str">
        <f ca="1">VLOOKUP(P69,'Данные - Крыша'!AC53:AE633,3,FALSE)</f>
        <v>D357</v>
      </c>
      <c r="T69" t="s">
        <v>2900</v>
      </c>
      <c r="U69" t="str">
        <f t="shared" ca="1" si="3"/>
        <v>fd357</v>
      </c>
      <c r="V69" s="1387" t="e">
        <f t="shared" ca="1" si="7"/>
        <v>#N/A</v>
      </c>
    </row>
    <row r="70" spans="1:22" ht="19">
      <c r="A70" s="491"/>
      <c r="B70" s="131"/>
      <c r="C70" s="130"/>
      <c r="D70" s="130"/>
      <c r="E70" s="88"/>
      <c r="F70" s="130"/>
      <c r="G70" s="470" t="s">
        <v>726</v>
      </c>
      <c r="H70" s="165" t="s">
        <v>85</v>
      </c>
      <c r="I70" s="88">
        <f>'Данные - Крыша'!C78</f>
        <v>4</v>
      </c>
      <c r="J70" s="88">
        <f>'Данные - Крыша'!E78</f>
        <v>5</v>
      </c>
      <c r="K70" s="378">
        <f t="shared" si="12"/>
        <v>20</v>
      </c>
      <c r="M70" t="str">
        <f t="shared" ca="1" si="9"/>
        <v>='Данные - Крыша'!E78</v>
      </c>
      <c r="O70" t="str">
        <f t="shared" ca="1" si="10"/>
        <v>'Данные - Крыша'!A78</v>
      </c>
      <c r="P70" s="1385" t="str" cm="1">
        <f t="array" aca="1" ref="P70" ca="1">INDIRECT(O70)</f>
        <v>Труба 3м</v>
      </c>
      <c r="R70" t="str">
        <f t="shared" ca="1" si="13"/>
        <v>E78</v>
      </c>
      <c r="S70" t="str">
        <f ca="1">VLOOKUP(P70,'Данные - Крыша'!AC54:AE634,3,FALSE)</f>
        <v>D358</v>
      </c>
      <c r="T70" t="s">
        <v>2901</v>
      </c>
      <c r="U70" t="str">
        <f t="shared" ca="1" si="3"/>
        <v>fd358</v>
      </c>
      <c r="V70" s="1387" t="e">
        <f t="shared" ca="1" si="7"/>
        <v>#N/A</v>
      </c>
    </row>
    <row r="71" spans="1:22" ht="19">
      <c r="A71" s="491"/>
      <c r="B71" s="131"/>
      <c r="C71" s="130"/>
      <c r="D71" s="130"/>
      <c r="E71" s="88"/>
      <c r="F71" s="130"/>
      <c r="G71" s="470" t="s">
        <v>727</v>
      </c>
      <c r="H71" s="165" t="s">
        <v>85</v>
      </c>
      <c r="I71" s="88">
        <f>'Данные - Крыша'!C79</f>
        <v>4</v>
      </c>
      <c r="J71" s="88">
        <f>'Данные - Крыша'!E79</f>
        <v>5</v>
      </c>
      <c r="K71" s="378">
        <f t="shared" si="12"/>
        <v>20</v>
      </c>
      <c r="M71" t="str">
        <f t="shared" ca="1" si="9"/>
        <v>='Данные - Крыша'!E79</v>
      </c>
      <c r="O71" t="str">
        <f t="shared" ca="1" si="10"/>
        <v>'Данные - Крыша'!A79</v>
      </c>
      <c r="P71" s="1385" t="str" cm="1">
        <f t="array" aca="1" ref="P71" ca="1">INDIRECT(O71)</f>
        <v>Труба 1м</v>
      </c>
      <c r="R71" t="str">
        <f t="shared" ca="1" si="13"/>
        <v>E79</v>
      </c>
      <c r="S71" t="str">
        <f ca="1">VLOOKUP(P71,'Данные - Крыша'!AC55:AE635,3,FALSE)</f>
        <v>D359</v>
      </c>
      <c r="T71" t="s">
        <v>2902</v>
      </c>
      <c r="U71" t="str">
        <f t="shared" ref="U71:U94" ca="1" si="14">LOWER(_xlfn.CONCAT("f",S71))</f>
        <v>fd359</v>
      </c>
      <c r="V71" s="1387" t="e">
        <f t="shared" ca="1" si="7"/>
        <v>#N/A</v>
      </c>
    </row>
    <row r="72" spans="1:22" ht="19">
      <c r="A72" s="491"/>
      <c r="B72" s="131"/>
      <c r="C72" s="130"/>
      <c r="D72" s="130"/>
      <c r="E72" s="88"/>
      <c r="F72" s="130"/>
      <c r="G72" s="470" t="s">
        <v>728</v>
      </c>
      <c r="H72" s="165" t="s">
        <v>85</v>
      </c>
      <c r="I72" s="88">
        <f>'Данные - Крыша'!C80</f>
        <v>12</v>
      </c>
      <c r="J72" s="88">
        <f>'Данные - Крыша'!E80</f>
        <v>5</v>
      </c>
      <c r="K72" s="378">
        <f t="shared" si="12"/>
        <v>60</v>
      </c>
      <c r="M72" t="str">
        <f t="shared" ca="1" si="9"/>
        <v>='Данные - Крыша'!E80</v>
      </c>
      <c r="O72" t="str">
        <f t="shared" ca="1" si="10"/>
        <v>'Данные - Крыша'!A80</v>
      </c>
      <c r="P72" s="1385" t="str" cm="1">
        <f t="array" aca="1" ref="P72" ca="1">INDIRECT(O72)</f>
        <v>Хомут трубы</v>
      </c>
      <c r="R72" t="str">
        <f t="shared" ca="1" si="13"/>
        <v>E80</v>
      </c>
      <c r="S72" t="str">
        <f ca="1">VLOOKUP(P72,'Данные - Крыша'!AC56:AE636,3,FALSE)</f>
        <v>D360</v>
      </c>
      <c r="T72" t="s">
        <v>2903</v>
      </c>
      <c r="U72" t="str">
        <f t="shared" ca="1" si="14"/>
        <v>fd360</v>
      </c>
      <c r="V72" s="1387" t="e">
        <f t="shared" ca="1" si="7"/>
        <v>#N/A</v>
      </c>
    </row>
    <row r="73" spans="1:22" ht="19">
      <c r="A73" s="491"/>
      <c r="B73" s="131"/>
      <c r="C73" s="130"/>
      <c r="D73" s="130"/>
      <c r="E73" s="88"/>
      <c r="F73" s="130"/>
      <c r="G73" s="470" t="s">
        <v>729</v>
      </c>
      <c r="H73" s="165" t="s">
        <v>85</v>
      </c>
      <c r="I73" s="88">
        <f>'Данные - Крыша'!C81</f>
        <v>0</v>
      </c>
      <c r="J73" s="88">
        <f>'Данные - Крыша'!E81</f>
        <v>5</v>
      </c>
      <c r="K73" s="378">
        <f t="shared" si="12"/>
        <v>0</v>
      </c>
      <c r="M73" t="str">
        <f t="shared" ca="1" si="9"/>
        <v>='Данные - Крыша'!E81</v>
      </c>
      <c r="O73" t="str">
        <f t="shared" ca="1" si="10"/>
        <v>'Данные - Крыша'!A81</v>
      </c>
      <c r="P73" s="1385" t="str" cm="1">
        <f t="array" aca="1" ref="P73" ca="1">INDIRECT(O73)</f>
        <v>Муфта трубы</v>
      </c>
      <c r="R73" t="str">
        <f t="shared" ca="1" si="13"/>
        <v>E81</v>
      </c>
      <c r="S73" t="str">
        <f ca="1">VLOOKUP(P73,'Данные - Крыша'!AC57:AE637,3,FALSE)</f>
        <v>D361</v>
      </c>
      <c r="T73" t="s">
        <v>2904</v>
      </c>
      <c r="U73" t="str">
        <f t="shared" ca="1" si="14"/>
        <v>fd361</v>
      </c>
      <c r="V73" s="1387" t="e">
        <f t="shared" ca="1" si="7"/>
        <v>#N/A</v>
      </c>
    </row>
    <row r="74" spans="1:22" ht="19">
      <c r="A74" s="491"/>
      <c r="B74" s="131"/>
      <c r="C74" s="130"/>
      <c r="D74" s="130"/>
      <c r="E74" s="88"/>
      <c r="F74" s="130"/>
      <c r="G74" s="470" t="s">
        <v>730</v>
      </c>
      <c r="H74" s="165" t="s">
        <v>85</v>
      </c>
      <c r="I74" s="88">
        <f>'Данные - Крыша'!C82</f>
        <v>2</v>
      </c>
      <c r="J74" s="88">
        <f>'Данные - Крыша'!E82</f>
        <v>5</v>
      </c>
      <c r="K74" s="378">
        <f t="shared" si="12"/>
        <v>10</v>
      </c>
      <c r="M74" t="str">
        <f t="shared" ca="1" si="9"/>
        <v>='Данные - Крыша'!E82</v>
      </c>
      <c r="O74" t="str">
        <f t="shared" ca="1" si="10"/>
        <v>'Данные - Крыша'!A82</v>
      </c>
      <c r="P74" s="1385" t="str" cm="1">
        <f t="array" aca="1" ref="P74" ca="1">INDIRECT(O74)</f>
        <v>Угол желоба 90°</v>
      </c>
      <c r="R74" t="str">
        <f t="shared" ca="1" si="13"/>
        <v>E82</v>
      </c>
      <c r="S74" t="str">
        <f ca="1">VLOOKUP(P74,'Данные - Крыша'!AC58:AE638,3,FALSE)</f>
        <v>D362</v>
      </c>
      <c r="T74" t="s">
        <v>2905</v>
      </c>
      <c r="U74" t="str">
        <f t="shared" ca="1" si="14"/>
        <v>fd362</v>
      </c>
      <c r="V74" s="1387" t="e">
        <f t="shared" ca="1" si="7"/>
        <v>#N/A</v>
      </c>
    </row>
    <row r="75" spans="1:22" ht="19">
      <c r="A75" s="491"/>
      <c r="B75" s="131"/>
      <c r="C75" s="130"/>
      <c r="D75" s="130"/>
      <c r="E75" s="88"/>
      <c r="F75" s="130"/>
      <c r="G75" s="470" t="s">
        <v>731</v>
      </c>
      <c r="H75" s="165" t="s">
        <v>85</v>
      </c>
      <c r="I75" s="88">
        <f>'Данные - Крыша'!C83</f>
        <v>0</v>
      </c>
      <c r="J75" s="88">
        <f>'Данные - Крыша'!E83</f>
        <v>5</v>
      </c>
      <c r="K75" s="378">
        <f t="shared" si="12"/>
        <v>0</v>
      </c>
      <c r="M75" t="str">
        <f t="shared" ca="1" si="9"/>
        <v>='Данные - Крыша'!E83</v>
      </c>
      <c r="O75" t="str">
        <f t="shared" ca="1" si="10"/>
        <v>'Данные - Крыша'!A83</v>
      </c>
      <c r="P75" s="1385" t="str" cm="1">
        <f t="array" aca="1" ref="P75" ca="1">INDIRECT(O75)</f>
        <v>Угол желоба 135°</v>
      </c>
      <c r="R75" t="str">
        <f t="shared" ca="1" si="13"/>
        <v>E83</v>
      </c>
      <c r="S75" t="str">
        <f ca="1">VLOOKUP(P75,'Данные - Крыша'!AC59:AE639,3,FALSE)</f>
        <v>D363</v>
      </c>
      <c r="T75" t="s">
        <v>2906</v>
      </c>
      <c r="U75" t="str">
        <f t="shared" ca="1" si="14"/>
        <v>fd363</v>
      </c>
      <c r="V75" s="1387" t="e">
        <f t="shared" ca="1" si="7"/>
        <v>#N/A</v>
      </c>
    </row>
    <row r="76" spans="1:22" ht="19">
      <c r="A76" s="500"/>
      <c r="B76" s="125"/>
      <c r="C76" s="126"/>
      <c r="D76" s="1283" t="s">
        <v>157</v>
      </c>
      <c r="E76" s="1284"/>
      <c r="F76" s="124">
        <f>SUM(F63:F75)</f>
        <v>0</v>
      </c>
      <c r="G76" s="501"/>
      <c r="H76" s="502"/>
      <c r="I76" s="1285" t="s">
        <v>158</v>
      </c>
      <c r="J76" s="1286"/>
      <c r="K76" s="227">
        <f>SUM(K63:K75)</f>
        <v>480</v>
      </c>
      <c r="M76" t="e">
        <f t="shared" ca="1" si="9"/>
        <v>#N/A</v>
      </c>
      <c r="O76" t="e">
        <f t="shared" ca="1" si="10"/>
        <v>#N/A</v>
      </c>
      <c r="P76" s="1385" t="e" cm="1">
        <f t="array" aca="1" ref="P76" ca="1">INDIRECT(O76)</f>
        <v>#N/A</v>
      </c>
      <c r="R76" t="e">
        <f t="shared" ca="1" si="13"/>
        <v>#N/A</v>
      </c>
      <c r="S76" t="e">
        <f ca="1">VLOOKUP(P76,'Данные - Крыша'!AC60:AE640,3,FALSE)</f>
        <v>#N/A</v>
      </c>
      <c r="T76" t="s">
        <v>2907</v>
      </c>
      <c r="U76" t="e">
        <f t="shared" ca="1" si="14"/>
        <v>#N/A</v>
      </c>
      <c r="V76" s="1387" t="e">
        <f t="shared" ca="1" si="7"/>
        <v>#N/A</v>
      </c>
    </row>
    <row r="77" spans="1:22" ht="19">
      <c r="A77" s="1231" t="s">
        <v>786</v>
      </c>
      <c r="B77" s="1231"/>
      <c r="C77" s="126"/>
      <c r="D77" s="127"/>
      <c r="E77" s="127"/>
      <c r="F77" s="128"/>
      <c r="G77" s="125"/>
      <c r="H77" s="126"/>
      <c r="I77" s="129"/>
      <c r="J77" s="129"/>
      <c r="K77" s="128"/>
      <c r="M77" t="e">
        <f t="shared" ca="1" si="9"/>
        <v>#N/A</v>
      </c>
      <c r="O77" t="e">
        <f t="shared" ca="1" si="10"/>
        <v>#N/A</v>
      </c>
      <c r="P77" s="1385" t="e" cm="1">
        <f t="array" aca="1" ref="P77" ca="1">INDIRECT(O77)</f>
        <v>#N/A</v>
      </c>
      <c r="R77" t="e">
        <f t="shared" ca="1" si="13"/>
        <v>#N/A</v>
      </c>
      <c r="S77" t="e">
        <f ca="1">VLOOKUP(P77,'Данные - Крыша'!AC61:AE641,3,FALSE)</f>
        <v>#N/A</v>
      </c>
      <c r="T77" t="s">
        <v>2908</v>
      </c>
      <c r="U77" t="e">
        <f t="shared" ca="1" si="14"/>
        <v>#N/A</v>
      </c>
      <c r="V77" s="1387" t="str">
        <f t="shared" ref="V77:V95" ca="1" si="15">_xlfn.FORMULATEXT(D78)</f>
        <v>='материал - работа'!E72</v>
      </c>
    </row>
    <row r="78" spans="1:22" ht="19">
      <c r="A78" s="491" t="s">
        <v>146</v>
      </c>
      <c r="B78" s="131" t="s">
        <v>784</v>
      </c>
      <c r="C78" s="130" t="s">
        <v>86</v>
      </c>
      <c r="D78" s="130">
        <f>'материал - работа'!E72</f>
        <v>24</v>
      </c>
      <c r="E78" s="88">
        <f>'Данные - Крыша'!C66</f>
        <v>0</v>
      </c>
      <c r="F78" s="130">
        <f>D78*E78</f>
        <v>0</v>
      </c>
      <c r="G78" s="470" t="s">
        <v>719</v>
      </c>
      <c r="H78" s="165" t="s">
        <v>85</v>
      </c>
      <c r="I78" s="407">
        <f>'Данные - Крыша'!C87</f>
        <v>8</v>
      </c>
      <c r="J78" s="88">
        <f>'Данные - Крыша'!E87</f>
        <v>5</v>
      </c>
      <c r="K78" s="378">
        <f>I78*J78</f>
        <v>40</v>
      </c>
      <c r="M78" t="str">
        <f t="shared" ca="1" si="9"/>
        <v>='Данные - Крыша'!E87</v>
      </c>
      <c r="O78" t="str">
        <f t="shared" ca="1" si="10"/>
        <v>'Данные - Крыша'!A87</v>
      </c>
      <c r="P78" s="1385" t="str" cm="1">
        <f t="array" aca="1" ref="P78" ca="1">INDIRECT(O78)</f>
        <v>Желоб 3м</v>
      </c>
      <c r="R78" t="str">
        <f t="shared" ca="1" si="13"/>
        <v>E87</v>
      </c>
      <c r="S78" t="str">
        <f ca="1">VLOOKUP(P78,'Данные - Крыша'!AC62:AE642,3,FALSE)</f>
        <v>D351</v>
      </c>
      <c r="T78" t="s">
        <v>2909</v>
      </c>
      <c r="U78" t="str">
        <f t="shared" ca="1" si="14"/>
        <v>fd351</v>
      </c>
      <c r="V78" s="1387" t="str">
        <f t="shared" ca="1" si="15"/>
        <v>='материал - работа'!E71</v>
      </c>
    </row>
    <row r="79" spans="1:22" ht="19">
      <c r="A79" s="491" t="s">
        <v>164</v>
      </c>
      <c r="B79" s="131" t="s">
        <v>785</v>
      </c>
      <c r="C79" s="130" t="s">
        <v>86</v>
      </c>
      <c r="D79" s="130">
        <f>'материал - работа'!E71</f>
        <v>16</v>
      </c>
      <c r="E79" s="88">
        <f>'Данные - Крыша'!C65</f>
        <v>0</v>
      </c>
      <c r="F79" s="130">
        <f>D79*E79</f>
        <v>0</v>
      </c>
      <c r="G79" s="470" t="s">
        <v>720</v>
      </c>
      <c r="H79" s="165" t="s">
        <v>85</v>
      </c>
      <c r="I79" s="407">
        <f>'Данные - Крыша'!C88</f>
        <v>6</v>
      </c>
      <c r="J79" s="88">
        <f>'Данные - Крыша'!E88</f>
        <v>5</v>
      </c>
      <c r="K79" s="378">
        <f t="shared" ref="K79:K90" si="16">I79*J79</f>
        <v>30</v>
      </c>
      <c r="M79" t="str">
        <f t="shared" ca="1" si="9"/>
        <v>='Данные - Крыша'!E88</v>
      </c>
      <c r="O79" t="str">
        <f t="shared" ca="1" si="10"/>
        <v>'Данные - Крыша'!A88</v>
      </c>
      <c r="P79" s="1385" t="str" cm="1">
        <f t="array" aca="1" ref="P79" ca="1">INDIRECT(O79)</f>
        <v>Соединитель желоба</v>
      </c>
      <c r="R79" t="str">
        <f t="shared" ca="1" si="13"/>
        <v>E88</v>
      </c>
      <c r="S79" t="str">
        <f ca="1">VLOOKUP(P79,'Данные - Крыша'!AC63:AE643,3,FALSE)</f>
        <v>D352</v>
      </c>
      <c r="T79" t="s">
        <v>2910</v>
      </c>
      <c r="U79" t="str">
        <f t="shared" ca="1" si="14"/>
        <v>fd352</v>
      </c>
      <c r="V79" s="1387" t="e">
        <f t="shared" ca="1" si="15"/>
        <v>#N/A</v>
      </c>
    </row>
    <row r="80" spans="1:22" ht="19">
      <c r="A80" s="491"/>
      <c r="B80" s="131"/>
      <c r="C80" s="130"/>
      <c r="D80" s="130"/>
      <c r="E80" s="88"/>
      <c r="F80" s="130"/>
      <c r="G80" s="470" t="s">
        <v>721</v>
      </c>
      <c r="H80" s="165" t="s">
        <v>85</v>
      </c>
      <c r="I80" s="407">
        <f>'Данные - Крыша'!C89</f>
        <v>32</v>
      </c>
      <c r="J80" s="88">
        <f>'Данные - Крыша'!E89</f>
        <v>5</v>
      </c>
      <c r="K80" s="378">
        <f t="shared" si="16"/>
        <v>160</v>
      </c>
      <c r="M80" t="str">
        <f t="shared" ca="1" si="9"/>
        <v>='Данные - Крыша'!E89</v>
      </c>
      <c r="O80" t="str">
        <f t="shared" ca="1" si="10"/>
        <v>'Данные - Крыша'!A89</v>
      </c>
      <c r="P80" s="1385" t="str" cm="1">
        <f t="array" aca="1" ref="P80" ca="1">INDIRECT(O80)</f>
        <v>Кронштейн желоба</v>
      </c>
      <c r="R80" t="str">
        <f t="shared" ca="1" si="13"/>
        <v>E89</v>
      </c>
      <c r="S80" t="str">
        <f ca="1">VLOOKUP(P80,'Данные - Крыша'!AC64:AE644,3,FALSE)</f>
        <v>D353</v>
      </c>
      <c r="T80" t="s">
        <v>2911</v>
      </c>
      <c r="U80" t="str">
        <f t="shared" ca="1" si="14"/>
        <v>fd353</v>
      </c>
      <c r="V80" s="1387" t="e">
        <f t="shared" ca="1" si="15"/>
        <v>#N/A</v>
      </c>
    </row>
    <row r="81" spans="1:22" ht="19">
      <c r="A81" s="491"/>
      <c r="B81" s="131"/>
      <c r="C81" s="130"/>
      <c r="D81" s="130"/>
      <c r="E81" s="88"/>
      <c r="F81" s="130"/>
      <c r="G81" s="470" t="s">
        <v>722</v>
      </c>
      <c r="H81" s="165" t="s">
        <v>85</v>
      </c>
      <c r="I81" s="407">
        <f>'Данные - Крыша'!C90</f>
        <v>10</v>
      </c>
      <c r="J81" s="88">
        <f>'Данные - Крыша'!E90</f>
        <v>5</v>
      </c>
      <c r="K81" s="378">
        <f t="shared" si="16"/>
        <v>50</v>
      </c>
      <c r="M81" t="str">
        <f t="shared" ca="1" si="9"/>
        <v>='Данные - Крыша'!E90</v>
      </c>
      <c r="O81" t="str">
        <f t="shared" ca="1" si="10"/>
        <v>'Данные - Крыша'!A90</v>
      </c>
      <c r="P81" s="1385" t="str" cm="1">
        <f t="array" aca="1" ref="P81" ca="1">INDIRECT(O81)</f>
        <v>Заглушка</v>
      </c>
      <c r="R81" t="str">
        <f t="shared" ca="1" si="13"/>
        <v>E90</v>
      </c>
      <c r="S81" t="str">
        <f ca="1">VLOOKUP(P81,'Данные - Крыша'!AC65:AE645,3,FALSE)</f>
        <v>D354</v>
      </c>
      <c r="T81" t="s">
        <v>2912</v>
      </c>
      <c r="U81" t="str">
        <f t="shared" ca="1" si="14"/>
        <v>fd354</v>
      </c>
      <c r="V81" s="1387" t="e">
        <f t="shared" ca="1" si="15"/>
        <v>#N/A</v>
      </c>
    </row>
    <row r="82" spans="1:22" ht="19">
      <c r="A82" s="491"/>
      <c r="B82" s="131"/>
      <c r="C82" s="130"/>
      <c r="D82" s="130"/>
      <c r="E82" s="88"/>
      <c r="F82" s="130"/>
      <c r="G82" s="470" t="s">
        <v>723</v>
      </c>
      <c r="H82" s="165" t="s">
        <v>85</v>
      </c>
      <c r="I82" s="407">
        <f>'Данные - Крыша'!C91</f>
        <v>4</v>
      </c>
      <c r="J82" s="88">
        <f>'Данные - Крыша'!E91</f>
        <v>5</v>
      </c>
      <c r="K82" s="378">
        <f t="shared" si="16"/>
        <v>20</v>
      </c>
      <c r="M82" t="str">
        <f t="shared" ca="1" si="9"/>
        <v>='Данные - Крыша'!E91</v>
      </c>
      <c r="O82" t="str">
        <f t="shared" ca="1" si="10"/>
        <v>'Данные - Крыша'!A91</v>
      </c>
      <c r="P82" s="1385" t="str" cm="1">
        <f t="array" aca="1" ref="P82" ca="1">INDIRECT(O82)</f>
        <v>Воронка</v>
      </c>
      <c r="R82" t="str">
        <f t="shared" ca="1" si="13"/>
        <v>E91</v>
      </c>
      <c r="S82" t="str">
        <f ca="1">VLOOKUP(P82,'Данные - Крыша'!AC66:AE646,3,FALSE)</f>
        <v>D355</v>
      </c>
      <c r="T82" t="s">
        <v>2913</v>
      </c>
      <c r="U82" t="str">
        <f t="shared" ca="1" si="14"/>
        <v>fd355</v>
      </c>
      <c r="V82" s="1387" t="e">
        <f t="shared" ca="1" si="15"/>
        <v>#N/A</v>
      </c>
    </row>
    <row r="83" spans="1:22" ht="19">
      <c r="A83" s="491"/>
      <c r="B83" s="131"/>
      <c r="C83" s="130"/>
      <c r="D83" s="130"/>
      <c r="E83" s="88"/>
      <c r="F83" s="130"/>
      <c r="G83" s="535" t="s">
        <v>724</v>
      </c>
      <c r="H83" s="165" t="s">
        <v>85</v>
      </c>
      <c r="I83" s="407">
        <f>'Данные - Крыша'!C92</f>
        <v>8</v>
      </c>
      <c r="J83" s="88">
        <f>'Данные - Крыша'!E92</f>
        <v>5</v>
      </c>
      <c r="K83" s="378">
        <f t="shared" si="16"/>
        <v>40</v>
      </c>
      <c r="M83" t="str">
        <f t="shared" ref="M83:M94" ca="1" si="17">_xlfn.FORMULATEXT(J83)</f>
        <v>='Данные - Крыша'!E92</v>
      </c>
      <c r="O83" t="str">
        <f t="shared" ref="O83:O95" ca="1" si="18">SUBSTITUTE(MID(M83, 2, LEN(M83)), "'Данные - Крыша'!E", "'Данные - Крыша'!A")</f>
        <v>'Данные - Крыша'!A92</v>
      </c>
      <c r="P83" s="1385" t="str" cm="1">
        <f t="array" aca="1" ref="P83" ca="1">INDIRECT(O83)</f>
        <v>Колено</v>
      </c>
      <c r="R83" t="str">
        <f t="shared" ca="1" si="13"/>
        <v>E92</v>
      </c>
      <c r="S83" t="str">
        <f ca="1">VLOOKUP(P83,'Данные - Крыша'!AC67:AE647,3,FALSE)</f>
        <v>D356</v>
      </c>
      <c r="T83" t="s">
        <v>2914</v>
      </c>
      <c r="U83" t="str">
        <f t="shared" ca="1" si="14"/>
        <v>fd356</v>
      </c>
      <c r="V83" s="1387" t="e">
        <f t="shared" ca="1" si="15"/>
        <v>#N/A</v>
      </c>
    </row>
    <row r="84" spans="1:22" ht="19">
      <c r="A84" s="491"/>
      <c r="B84" s="131"/>
      <c r="C84" s="130"/>
      <c r="D84" s="130"/>
      <c r="E84" s="88"/>
      <c r="F84" s="130"/>
      <c r="G84" s="535" t="s">
        <v>725</v>
      </c>
      <c r="H84" s="165" t="s">
        <v>85</v>
      </c>
      <c r="I84" s="407">
        <f>'Данные - Крыша'!C93</f>
        <v>4</v>
      </c>
      <c r="J84" s="88">
        <f>'Данные - Крыша'!E93</f>
        <v>5</v>
      </c>
      <c r="K84" s="378">
        <f t="shared" si="16"/>
        <v>20</v>
      </c>
      <c r="M84" t="str">
        <f t="shared" ca="1" si="17"/>
        <v>='Данные - Крыша'!E93</v>
      </c>
      <c r="O84" t="str">
        <f t="shared" ca="1" si="18"/>
        <v>'Данные - Крыша'!A93</v>
      </c>
      <c r="P84" s="1385" t="str" cm="1">
        <f t="array" aca="1" ref="P84" ca="1">INDIRECT(O84)</f>
        <v>Отвод</v>
      </c>
      <c r="R84" t="str">
        <f t="shared" ca="1" si="13"/>
        <v>E93</v>
      </c>
      <c r="S84" t="str">
        <f ca="1">VLOOKUP(P84,'Данные - Крыша'!AC68:AE648,3,FALSE)</f>
        <v>D357</v>
      </c>
      <c r="T84" t="s">
        <v>2915</v>
      </c>
      <c r="U84" t="str">
        <f t="shared" ca="1" si="14"/>
        <v>fd357</v>
      </c>
      <c r="V84" s="1387" t="e">
        <f t="shared" ca="1" si="15"/>
        <v>#N/A</v>
      </c>
    </row>
    <row r="85" spans="1:22" ht="19">
      <c r="A85" s="491"/>
      <c r="B85" s="131"/>
      <c r="C85" s="130"/>
      <c r="D85" s="130"/>
      <c r="E85" s="88"/>
      <c r="F85" s="130"/>
      <c r="G85" s="535" t="s">
        <v>726</v>
      </c>
      <c r="H85" s="165" t="s">
        <v>85</v>
      </c>
      <c r="I85" s="407">
        <f>'Данные - Крыша'!C94</f>
        <v>4</v>
      </c>
      <c r="J85" s="88">
        <f>'Данные - Крыша'!E94</f>
        <v>5</v>
      </c>
      <c r="K85" s="378">
        <f t="shared" si="16"/>
        <v>20</v>
      </c>
      <c r="M85" t="str">
        <f t="shared" ca="1" si="17"/>
        <v>='Данные - Крыша'!E94</v>
      </c>
      <c r="O85" t="str">
        <f t="shared" ca="1" si="18"/>
        <v>'Данные - Крыша'!A94</v>
      </c>
      <c r="P85" s="1385" t="str" cm="1">
        <f t="array" aca="1" ref="P85" ca="1">INDIRECT(O85)</f>
        <v>Труба 3м</v>
      </c>
      <c r="R85" t="str">
        <f t="shared" ca="1" si="13"/>
        <v>E94</v>
      </c>
      <c r="S85" t="str">
        <f ca="1">VLOOKUP(P85,'Данные - Крыша'!AC69:AE649,3,FALSE)</f>
        <v>D358</v>
      </c>
      <c r="T85" t="s">
        <v>2916</v>
      </c>
      <c r="U85" t="str">
        <f t="shared" ca="1" si="14"/>
        <v>fd358</v>
      </c>
      <c r="V85" s="1387" t="e">
        <f t="shared" ca="1" si="15"/>
        <v>#N/A</v>
      </c>
    </row>
    <row r="86" spans="1:22" ht="19">
      <c r="A86" s="491"/>
      <c r="B86" s="131"/>
      <c r="C86" s="130"/>
      <c r="D86" s="130"/>
      <c r="E86" s="88"/>
      <c r="F86" s="130"/>
      <c r="G86" s="535" t="s">
        <v>727</v>
      </c>
      <c r="H86" s="165" t="s">
        <v>85</v>
      </c>
      <c r="I86" s="407">
        <f>'Данные - Крыша'!C95</f>
        <v>4</v>
      </c>
      <c r="J86" s="88">
        <f>'Данные - Крыша'!E95</f>
        <v>5</v>
      </c>
      <c r="K86" s="378">
        <f t="shared" si="16"/>
        <v>20</v>
      </c>
      <c r="M86" t="str">
        <f t="shared" ca="1" si="17"/>
        <v>='Данные - Крыша'!E95</v>
      </c>
      <c r="O86" t="str">
        <f t="shared" ca="1" si="18"/>
        <v>'Данные - Крыша'!A95</v>
      </c>
      <c r="P86" s="1385" t="str" cm="1">
        <f t="array" aca="1" ref="P86" ca="1">INDIRECT(O86)</f>
        <v>Труба 1м</v>
      </c>
      <c r="R86" t="str">
        <f t="shared" ca="1" si="13"/>
        <v>E95</v>
      </c>
      <c r="S86" t="str">
        <f ca="1">VLOOKUP(P86,'Данные - Крыша'!AC70:AE650,3,FALSE)</f>
        <v>D359</v>
      </c>
      <c r="T86" t="s">
        <v>2917</v>
      </c>
      <c r="U86" t="str">
        <f t="shared" ca="1" si="14"/>
        <v>fd359</v>
      </c>
      <c r="V86" s="1387" t="e">
        <f t="shared" ca="1" si="15"/>
        <v>#N/A</v>
      </c>
    </row>
    <row r="87" spans="1:22" ht="19">
      <c r="A87" s="491"/>
      <c r="B87" s="131"/>
      <c r="C87" s="130"/>
      <c r="D87" s="130"/>
      <c r="E87" s="88"/>
      <c r="F87" s="130"/>
      <c r="G87" s="535" t="s">
        <v>728</v>
      </c>
      <c r="H87" s="165" t="s">
        <v>85</v>
      </c>
      <c r="I87" s="407">
        <f>'Данные - Крыша'!C96</f>
        <v>12</v>
      </c>
      <c r="J87" s="88">
        <f>'Данные - Крыша'!E96</f>
        <v>5</v>
      </c>
      <c r="K87" s="378">
        <f t="shared" si="16"/>
        <v>60</v>
      </c>
      <c r="M87" t="str">
        <f t="shared" ca="1" si="17"/>
        <v>='Данные - Крыша'!E96</v>
      </c>
      <c r="O87" t="str">
        <f t="shared" ca="1" si="18"/>
        <v>'Данные - Крыша'!A96</v>
      </c>
      <c r="P87" s="1385" t="str" cm="1">
        <f t="array" aca="1" ref="P87" ca="1">INDIRECT(O87)</f>
        <v>Хомут трубы</v>
      </c>
      <c r="R87" t="str">
        <f t="shared" ca="1" si="13"/>
        <v>E96</v>
      </c>
      <c r="S87" t="str">
        <f ca="1">VLOOKUP(P87,'Данные - Крыша'!AC71:AE651,3,FALSE)</f>
        <v>D360</v>
      </c>
      <c r="T87" t="s">
        <v>2918</v>
      </c>
      <c r="U87" t="str">
        <f t="shared" ca="1" si="14"/>
        <v>fd360</v>
      </c>
      <c r="V87" s="1387" t="e">
        <f t="shared" ca="1" si="15"/>
        <v>#N/A</v>
      </c>
    </row>
    <row r="88" spans="1:22" ht="19">
      <c r="A88" s="491"/>
      <c r="B88" s="131"/>
      <c r="C88" s="130"/>
      <c r="D88" s="130"/>
      <c r="E88" s="88"/>
      <c r="F88" s="130"/>
      <c r="G88" s="535" t="s">
        <v>733</v>
      </c>
      <c r="H88" s="165" t="s">
        <v>85</v>
      </c>
      <c r="I88" s="407">
        <f>'Данные - Крыша'!C97</f>
        <v>2</v>
      </c>
      <c r="J88" s="88">
        <f>'Данные - Крыша'!E97</f>
        <v>5</v>
      </c>
      <c r="K88" s="378">
        <f t="shared" si="16"/>
        <v>10</v>
      </c>
      <c r="M88" t="str">
        <f t="shared" ca="1" si="17"/>
        <v>='Данные - Крыша'!E97</v>
      </c>
      <c r="O88" t="str">
        <f t="shared" ca="1" si="18"/>
        <v>'Данные - Крыша'!A97</v>
      </c>
      <c r="P88" s="1385" t="str" cm="1">
        <f t="array" aca="1" ref="P88" ca="1">INDIRECT(O88)</f>
        <v>Угол желоба 90° внутренний</v>
      </c>
      <c r="R88" t="str">
        <f t="shared" ca="1" si="13"/>
        <v>E97</v>
      </c>
      <c r="S88" t="str">
        <f ca="1">VLOOKUP(P88,'Данные - Крыша'!AC72:AE652,3,FALSE)</f>
        <v>D377</v>
      </c>
      <c r="T88" t="s">
        <v>2919</v>
      </c>
      <c r="U88" t="str">
        <f t="shared" ca="1" si="14"/>
        <v>fd377</v>
      </c>
      <c r="V88" s="1387" t="e">
        <f t="shared" ca="1" si="15"/>
        <v>#N/A</v>
      </c>
    </row>
    <row r="89" spans="1:22" ht="19">
      <c r="A89" s="491"/>
      <c r="B89" s="131"/>
      <c r="C89" s="130"/>
      <c r="D89" s="130"/>
      <c r="E89" s="88"/>
      <c r="F89" s="130"/>
      <c r="G89" s="535" t="s">
        <v>734</v>
      </c>
      <c r="H89" s="165" t="s">
        <v>85</v>
      </c>
      <c r="I89" s="407">
        <f>'Данные - Крыша'!C98</f>
        <v>0</v>
      </c>
      <c r="J89" s="88">
        <f>'Данные - Крыша'!E98</f>
        <v>5</v>
      </c>
      <c r="K89" s="378">
        <f t="shared" si="16"/>
        <v>0</v>
      </c>
      <c r="M89" t="str">
        <f t="shared" ca="1" si="17"/>
        <v>='Данные - Крыша'!E98</v>
      </c>
      <c r="O89" t="str">
        <f t="shared" ca="1" si="18"/>
        <v>'Данные - Крыша'!A98</v>
      </c>
      <c r="P89" s="1385" t="str" cm="1">
        <f t="array" aca="1" ref="P89" ca="1">INDIRECT(O89)</f>
        <v>Угол желоба 90° внешний</v>
      </c>
      <c r="R89" t="str">
        <f t="shared" ca="1" si="13"/>
        <v>E98</v>
      </c>
      <c r="S89" t="str">
        <f ca="1">VLOOKUP(P89,'Данные - Крыша'!AC73:AE653,3,FALSE)</f>
        <v>D378</v>
      </c>
      <c r="T89" t="s">
        <v>2920</v>
      </c>
      <c r="U89" t="str">
        <f t="shared" ca="1" si="14"/>
        <v>fd378</v>
      </c>
      <c r="V89" s="1387" t="e">
        <f t="shared" ca="1" si="15"/>
        <v>#N/A</v>
      </c>
    </row>
    <row r="90" spans="1:22" ht="19">
      <c r="A90" s="491"/>
      <c r="B90" s="131"/>
      <c r="C90" s="130"/>
      <c r="D90" s="130"/>
      <c r="E90" s="88"/>
      <c r="F90" s="130"/>
      <c r="G90" s="535" t="s">
        <v>735</v>
      </c>
      <c r="H90" s="165" t="s">
        <v>85</v>
      </c>
      <c r="I90" s="407">
        <f>'Данные - Крыша'!C99</f>
        <v>0</v>
      </c>
      <c r="J90" s="88">
        <f>'Данные - Крыша'!E99</f>
        <v>5</v>
      </c>
      <c r="K90" s="378">
        <f t="shared" si="16"/>
        <v>0</v>
      </c>
      <c r="M90" t="str">
        <f t="shared" ca="1" si="17"/>
        <v>='Данные - Крыша'!E99</v>
      </c>
      <c r="O90" t="str">
        <f t="shared" ca="1" si="18"/>
        <v>'Данные - Крыша'!A99</v>
      </c>
      <c r="P90" s="1385" t="str" cm="1">
        <f t="array" aca="1" ref="P90" ca="1">INDIRECT(O90)</f>
        <v>Угол желоба наружный 135°</v>
      </c>
      <c r="R90" t="str">
        <f t="shared" ca="1" si="13"/>
        <v>E99</v>
      </c>
      <c r="S90" t="str">
        <f ca="1">VLOOKUP(P90,'Данные - Крыша'!AC74:AE654,3,FALSE)</f>
        <v>D379</v>
      </c>
      <c r="T90" t="s">
        <v>2921</v>
      </c>
      <c r="U90" t="str">
        <f t="shared" ca="1" si="14"/>
        <v>fd379</v>
      </c>
      <c r="V90" s="1387" t="e">
        <f t="shared" ca="1" si="15"/>
        <v>#N/A</v>
      </c>
    </row>
    <row r="91" spans="1:22" ht="19">
      <c r="A91" s="126"/>
      <c r="B91" s="125"/>
      <c r="C91" s="126"/>
      <c r="D91" s="1283" t="s">
        <v>157</v>
      </c>
      <c r="E91" s="1284"/>
      <c r="F91" s="124">
        <f>SUM(F78:F90)</f>
        <v>0</v>
      </c>
      <c r="G91" s="125"/>
      <c r="H91" s="126"/>
      <c r="I91" s="1285" t="s">
        <v>158</v>
      </c>
      <c r="J91" s="1286"/>
      <c r="K91" s="227">
        <f>SUM(K78:K90)</f>
        <v>470</v>
      </c>
      <c r="M91" t="e">
        <f t="shared" ca="1" si="17"/>
        <v>#N/A</v>
      </c>
      <c r="O91" t="e">
        <f t="shared" ca="1" si="18"/>
        <v>#N/A</v>
      </c>
      <c r="P91" s="1385" t="e" cm="1">
        <f t="array" aca="1" ref="P91" ca="1">INDIRECT(O91)</f>
        <v>#N/A</v>
      </c>
      <c r="R91" t="e">
        <f t="shared" ca="1" si="13"/>
        <v>#N/A</v>
      </c>
      <c r="S91" t="e">
        <f ca="1">VLOOKUP(P91,'Данные - Крыша'!AC75:AE655,3,FALSE)</f>
        <v>#N/A</v>
      </c>
      <c r="T91" t="s">
        <v>2922</v>
      </c>
      <c r="U91" t="e">
        <f t="shared" ca="1" si="14"/>
        <v>#N/A</v>
      </c>
      <c r="V91" s="1387" t="e">
        <f t="shared" ca="1" si="15"/>
        <v>#N/A</v>
      </c>
    </row>
    <row r="92" spans="1:22" ht="19">
      <c r="A92" s="1231" t="s">
        <v>226</v>
      </c>
      <c r="B92" s="1231"/>
      <c r="C92" s="126"/>
      <c r="D92" s="127"/>
      <c r="E92" s="127"/>
      <c r="F92" s="128"/>
      <c r="G92" s="125"/>
      <c r="H92" s="126"/>
      <c r="I92" s="129"/>
      <c r="J92" s="129"/>
      <c r="K92" s="128"/>
      <c r="M92" t="e">
        <f t="shared" ca="1" si="17"/>
        <v>#N/A</v>
      </c>
      <c r="O92" t="e">
        <f t="shared" ca="1" si="18"/>
        <v>#N/A</v>
      </c>
      <c r="P92" s="1385" t="e" cm="1">
        <f t="array" aca="1" ref="P92" ca="1">INDIRECT(O92)</f>
        <v>#N/A</v>
      </c>
      <c r="R92" t="e">
        <f t="shared" ca="1" si="13"/>
        <v>#N/A</v>
      </c>
      <c r="S92" t="e">
        <f ca="1">VLOOKUP(P92,'Данные - Крыша'!AC76:AE656,3,FALSE)</f>
        <v>#N/A</v>
      </c>
      <c r="T92" t="s">
        <v>2923</v>
      </c>
      <c r="U92" t="e">
        <f t="shared" ca="1" si="14"/>
        <v>#N/A</v>
      </c>
      <c r="V92" s="1387" t="str">
        <f t="shared" ca="1" si="15"/>
        <v>='материал - работа'!D52</v>
      </c>
    </row>
    <row r="93" spans="1:22" ht="19">
      <c r="A93" s="130" t="s">
        <v>146</v>
      </c>
      <c r="B93" s="131" t="s">
        <v>716</v>
      </c>
      <c r="C93" s="130" t="s">
        <v>63</v>
      </c>
      <c r="D93" s="485" t="e">
        <f>'материал - работа'!D52</f>
        <v>#VALUE!</v>
      </c>
      <c r="E93" s="132">
        <f>'Данные - Крыша'!C67</f>
        <v>0</v>
      </c>
      <c r="F93" s="130" t="e">
        <f>D93*E93</f>
        <v>#VALUE!</v>
      </c>
      <c r="G93" s="406" t="s">
        <v>807</v>
      </c>
      <c r="H93" s="190" t="s">
        <v>167</v>
      </c>
      <c r="I93" s="449" t="e">
        <f>ROUNDUP('материал - работа'!E52,0)</f>
        <v>#VALUE!</v>
      </c>
      <c r="J93" s="115">
        <f>'Данные - Крыша'!E47</f>
        <v>0</v>
      </c>
      <c r="K93" s="130" t="e">
        <f t="shared" ref="K93:K94" si="19">I93*J93</f>
        <v>#VALUE!</v>
      </c>
      <c r="M93" t="str">
        <f t="shared" ca="1" si="17"/>
        <v>='Данные - Крыша'!E47</v>
      </c>
      <c r="O93" t="str">
        <f t="shared" ca="1" si="18"/>
        <v>'Данные - Крыша'!A47</v>
      </c>
      <c r="P93" s="1385" t="str" cm="1">
        <f t="array" aca="1" ref="P93" ca="1">INDIRECT(O93)</f>
        <v>Доставка пиломатериал до 10т.</v>
      </c>
      <c r="R93" t="str">
        <f t="shared" ca="1" si="13"/>
        <v>E47</v>
      </c>
      <c r="S93" t="str">
        <f ca="1">VLOOKUP(P93,'Данные - Крыша'!AC77:AE657,3,FALSE)</f>
        <v>F326</v>
      </c>
      <c r="T93" t="s">
        <v>2924</v>
      </c>
      <c r="U93" t="str">
        <f t="shared" ca="1" si="14"/>
        <v>ff326</v>
      </c>
      <c r="V93" s="1387" t="str">
        <f t="shared" ca="1" si="15"/>
        <v>='материал - работа'!E74/1000*1.05</v>
      </c>
    </row>
    <row r="94" spans="1:22" ht="19">
      <c r="A94" s="130" t="s">
        <v>164</v>
      </c>
      <c r="B94" s="131" t="s">
        <v>717</v>
      </c>
      <c r="C94" s="130" t="s">
        <v>423</v>
      </c>
      <c r="D94" s="485" t="e">
        <f>'материал - работа'!E74/1000*1.05</f>
        <v>#VALUE!</v>
      </c>
      <c r="E94" s="132">
        <f>'Данные - Крыша'!C68</f>
        <v>0</v>
      </c>
      <c r="F94" s="130" t="e">
        <f>D94*E94</f>
        <v>#VALUE!</v>
      </c>
      <c r="G94" s="133" t="s">
        <v>808</v>
      </c>
      <c r="H94" s="190" t="s">
        <v>167</v>
      </c>
      <c r="I94" s="207" t="e">
        <f>'материал - работа'!D53</f>
        <v>#VALUE!</v>
      </c>
      <c r="J94" s="115">
        <f>'Данные - Крыша'!E48</f>
        <v>10000</v>
      </c>
      <c r="K94" s="130" t="e">
        <f t="shared" si="19"/>
        <v>#VALUE!</v>
      </c>
      <c r="M94" t="str">
        <f t="shared" ca="1" si="17"/>
        <v>='Данные - Крыша'!E48</v>
      </c>
      <c r="O94" t="str">
        <f t="shared" ca="1" si="18"/>
        <v>'Данные - Крыша'!A48</v>
      </c>
      <c r="P94" s="1385" t="str" cm="1">
        <f t="array" aca="1" ref="P94" ca="1">INDIRECT(O94)</f>
        <v>Доставка кровля/утепдитель/водосток/комплектующие</v>
      </c>
      <c r="R94" t="str">
        <f t="shared" ca="1" si="13"/>
        <v>E48</v>
      </c>
      <c r="S94" t="str">
        <f ca="1">VLOOKUP(P94,'Данные - Крыша'!AC78:AE658,3,FALSE)</f>
        <v>F327</v>
      </c>
      <c r="T94" t="s">
        <v>2925</v>
      </c>
      <c r="U94" t="str">
        <f t="shared" ca="1" si="14"/>
        <v>ff327</v>
      </c>
      <c r="V94" s="1387" t="e">
        <f t="shared" ca="1" si="15"/>
        <v>#N/A</v>
      </c>
    </row>
    <row r="95" spans="1:22" ht="19">
      <c r="A95" s="126"/>
      <c r="B95" s="125"/>
      <c r="C95" s="126"/>
      <c r="D95" s="1287" t="s">
        <v>157</v>
      </c>
      <c r="E95" s="1288"/>
      <c r="F95" s="538" t="e">
        <f>SUM(F93:F94)</f>
        <v>#VALUE!</v>
      </c>
      <c r="G95" s="125"/>
      <c r="H95" s="126"/>
      <c r="I95" s="1244" t="s">
        <v>20</v>
      </c>
      <c r="J95" s="1245"/>
      <c r="K95" s="138" t="e">
        <f>SUM(K93:K94)</f>
        <v>#VALUE!</v>
      </c>
      <c r="O95" t="str">
        <f t="shared" si="18"/>
        <v/>
      </c>
      <c r="P95" s="1385" t="e" cm="1">
        <f t="array" aca="1" ref="P95" ca="1">INDIRECT(O95)</f>
        <v>#REF!</v>
      </c>
      <c r="R95" t="e">
        <f t="shared" si="13"/>
        <v>#VALUE!</v>
      </c>
      <c r="S95" t="e">
        <f ca="1">VLOOKUP(P95,'Данные - Крыша'!AC79:AE659,3,FALSE)</f>
        <v>#REF!</v>
      </c>
      <c r="V95" s="1387" t="e">
        <f t="shared" ca="1" si="15"/>
        <v>#N/A</v>
      </c>
    </row>
    <row r="96" spans="1:22">
      <c r="A96" s="126"/>
      <c r="B96" s="125"/>
      <c r="C96" s="126"/>
      <c r="D96" s="127"/>
      <c r="E96" s="127"/>
      <c r="F96" s="128"/>
      <c r="G96" s="125"/>
      <c r="H96" s="126"/>
      <c r="I96" s="129"/>
      <c r="J96" s="129"/>
      <c r="K96" s="128"/>
    </row>
    <row r="97" spans="1:11" ht="13.75" customHeight="1"/>
    <row r="98" spans="1:11">
      <c r="C98" s="1195" t="s">
        <v>170</v>
      </c>
      <c r="D98" s="1195"/>
      <c r="E98" s="1195"/>
      <c r="F98" s="1195"/>
      <c r="G98" s="450" t="e">
        <f>F16+F39+F61+F95</f>
        <v>#VALUE!</v>
      </c>
    </row>
    <row r="99" spans="1:11">
      <c r="C99" s="1195" t="s">
        <v>171</v>
      </c>
      <c r="D99" s="1195"/>
      <c r="E99" s="1195"/>
      <c r="F99" s="1195"/>
      <c r="G99" s="450" t="e">
        <f>G98*0.03</f>
        <v>#VALUE!</v>
      </c>
    </row>
    <row r="100" spans="1:11">
      <c r="C100" s="1195" t="s">
        <v>789</v>
      </c>
      <c r="D100" s="1195"/>
      <c r="E100" s="1195"/>
      <c r="F100" s="1195"/>
      <c r="G100" s="450" t="e">
        <f>G98*0.1</f>
        <v>#VALUE!</v>
      </c>
    </row>
    <row r="101" spans="1:11" ht="13.75" customHeight="1">
      <c r="C101" s="1195" t="s">
        <v>20</v>
      </c>
      <c r="D101" s="1195"/>
      <c r="E101" s="1195"/>
      <c r="F101" s="1195"/>
      <c r="G101" s="450" t="e">
        <f>G98+G99+G100</f>
        <v>#VALUE!</v>
      </c>
    </row>
    <row r="102" spans="1:11">
      <c r="C102" s="1195" t="s">
        <v>173</v>
      </c>
      <c r="D102" s="1195"/>
      <c r="E102" s="1195"/>
      <c r="F102" s="1195"/>
      <c r="G102" s="450" t="e">
        <f>K16+K39+K61</f>
        <v>#VALUE!</v>
      </c>
    </row>
    <row r="103" spans="1:11">
      <c r="C103" s="1195" t="s">
        <v>174</v>
      </c>
      <c r="D103" s="1195"/>
      <c r="E103" s="1195"/>
      <c r="F103" s="1195"/>
      <c r="G103" s="450" t="e">
        <f>K95</f>
        <v>#VALUE!</v>
      </c>
    </row>
    <row r="104" spans="1:11">
      <c r="C104" s="1195" t="s">
        <v>20</v>
      </c>
      <c r="D104" s="1195"/>
      <c r="E104" s="1195"/>
      <c r="F104" s="1195"/>
      <c r="G104" s="450" t="e">
        <f>G102+G103</f>
        <v>#VALUE!</v>
      </c>
    </row>
    <row r="105" spans="1:11">
      <c r="C105" s="1246" t="s">
        <v>790</v>
      </c>
      <c r="D105" s="1246"/>
      <c r="E105" s="1246"/>
      <c r="F105" s="1246"/>
      <c r="G105" s="451" t="e">
        <f>G101+G104</f>
        <v>#VALUE!</v>
      </c>
    </row>
    <row r="106" spans="1:11" ht="16" thickBot="1">
      <c r="C106" s="1247" t="s">
        <v>176</v>
      </c>
      <c r="D106" s="1247"/>
      <c r="E106" s="1247"/>
      <c r="F106" s="1247"/>
      <c r="G106" s="454" t="e">
        <f>G98*0.03</f>
        <v>#VALUE!</v>
      </c>
    </row>
    <row r="107" spans="1:11" ht="17" thickBot="1">
      <c r="C107" s="1248" t="s">
        <v>791</v>
      </c>
      <c r="D107" s="1249"/>
      <c r="E107" s="1249"/>
      <c r="F107" s="1250"/>
      <c r="G107" s="455" t="e">
        <f>G105+G106</f>
        <v>#VALUE!</v>
      </c>
      <c r="I107" s="145"/>
      <c r="J107" s="146"/>
    </row>
    <row r="108" spans="1:11" s="147" customFormat="1">
      <c r="A108"/>
      <c r="B108"/>
      <c r="C108"/>
      <c r="D108"/>
      <c r="E108"/>
      <c r="F108"/>
      <c r="G108"/>
      <c r="H108"/>
      <c r="I108"/>
      <c r="J108"/>
      <c r="K108"/>
    </row>
    <row r="109" spans="1:11" s="147" customFormat="1" ht="14">
      <c r="F109" s="148"/>
      <c r="G109" s="149"/>
    </row>
    <row r="110" spans="1:11" s="147" customFormat="1" ht="14">
      <c r="F110" s="148"/>
      <c r="G110" s="150"/>
    </row>
    <row r="111" spans="1:11" s="147" customFormat="1" ht="16">
      <c r="F111" s="148"/>
      <c r="G111" s="151"/>
    </row>
    <row r="112" spans="1:11">
      <c r="A112" s="147"/>
      <c r="B112" s="147"/>
      <c r="C112" s="147"/>
      <c r="D112" s="147"/>
      <c r="E112" s="147"/>
      <c r="F112" s="148"/>
      <c r="G112" s="150"/>
      <c r="H112" s="147"/>
      <c r="I112" s="147"/>
      <c r="J112" s="147"/>
      <c r="K112" s="147"/>
    </row>
    <row r="113" spans="6:7">
      <c r="F113" s="152"/>
      <c r="G113" s="153"/>
    </row>
    <row r="114" spans="6:7">
      <c r="G114" s="154"/>
    </row>
    <row r="115" spans="6:7">
      <c r="G115" s="321"/>
    </row>
    <row r="116" spans="6:7">
      <c r="G116" s="155"/>
    </row>
    <row r="117" spans="6:7">
      <c r="G117" s="321"/>
    </row>
    <row r="118" spans="6:7">
      <c r="G118" s="155"/>
    </row>
    <row r="119" spans="6:7">
      <c r="G119" s="321"/>
    </row>
    <row r="120" spans="6:7">
      <c r="G120" s="155"/>
    </row>
    <row r="121" spans="6:7">
      <c r="G121" s="321"/>
    </row>
    <row r="122" spans="6:7">
      <c r="G122" s="155"/>
    </row>
    <row r="123" spans="6:7">
      <c r="G123" s="321"/>
    </row>
    <row r="124" spans="6:7">
      <c r="G124" s="37"/>
    </row>
  </sheetData>
  <customSheetViews>
    <customSheetView guid="{3274156B-1D2A-4448-883E-F1EEF1AAE0AF}" topLeftCell="A16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0">
    <mergeCell ref="D16:E16"/>
    <mergeCell ref="I16:J16"/>
    <mergeCell ref="C102:F102"/>
    <mergeCell ref="C103:F103"/>
    <mergeCell ref="C104:F104"/>
    <mergeCell ref="D76:E76"/>
    <mergeCell ref="I76:J76"/>
    <mergeCell ref="C105:F105"/>
    <mergeCell ref="C106:F106"/>
    <mergeCell ref="C107:F107"/>
    <mergeCell ref="D95:E95"/>
    <mergeCell ref="I95:J95"/>
    <mergeCell ref="C98:F98"/>
    <mergeCell ref="C99:F99"/>
    <mergeCell ref="C100:F100"/>
    <mergeCell ref="C101:F101"/>
    <mergeCell ref="A77:B77"/>
    <mergeCell ref="D91:E91"/>
    <mergeCell ref="I91:J91"/>
    <mergeCell ref="A92:B92"/>
    <mergeCell ref="D39:E39"/>
    <mergeCell ref="I39:J39"/>
    <mergeCell ref="A40:B40"/>
    <mergeCell ref="D61:E61"/>
    <mergeCell ref="I61:J61"/>
    <mergeCell ref="A62:B62"/>
    <mergeCell ref="A12:B12"/>
    <mergeCell ref="A1:K1"/>
    <mergeCell ref="A2:K2"/>
    <mergeCell ref="A3:B3"/>
    <mergeCell ref="D3:F3"/>
    <mergeCell ref="H3:J3"/>
    <mergeCell ref="A4:B4"/>
    <mergeCell ref="D4:F4"/>
    <mergeCell ref="H4:K4"/>
    <mergeCell ref="A6:B6"/>
    <mergeCell ref="D6:F6"/>
    <mergeCell ref="I6:K6"/>
    <mergeCell ref="A7:K7"/>
    <mergeCell ref="A8:G8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527-676C-4FD7-A515-ACB21468694D}">
  <sheetPr codeName="Sheet11"/>
  <dimension ref="A1:K143"/>
  <sheetViews>
    <sheetView topLeftCell="A8" workbookViewId="0">
      <selection activeCell="G57" sqref="G57"/>
    </sheetView>
  </sheetViews>
  <sheetFormatPr baseColWidth="10" defaultColWidth="8.83203125" defaultRowHeight="15"/>
  <cols>
    <col min="2" max="2" width="45.33203125" bestFit="1" customWidth="1"/>
    <col min="4" max="4" width="10.5" bestFit="1" customWidth="1"/>
    <col min="5" max="6" width="12.6640625" customWidth="1"/>
    <col min="7" max="7" width="59.33203125" customWidth="1"/>
    <col min="9" max="9" width="11.1640625" bestFit="1" customWidth="1"/>
    <col min="10" max="10" width="12.83203125" customWidth="1"/>
    <col min="11" max="11" width="15.832031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761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762</v>
      </c>
      <c r="B5" s="58"/>
      <c r="C5" s="55"/>
      <c r="D5" s="318"/>
      <c r="E5" s="318"/>
      <c r="F5" s="318"/>
      <c r="G5" s="56"/>
      <c r="H5" s="56"/>
      <c r="I5" s="59"/>
      <c r="J5" s="60" t="s">
        <v>763</v>
      </c>
      <c r="K5" s="61"/>
    </row>
    <row r="6" spans="1:11">
      <c r="A6" s="1225" t="s">
        <v>764</v>
      </c>
      <c r="B6" s="1225"/>
      <c r="C6" s="55"/>
      <c r="D6" s="1226" t="s">
        <v>133</v>
      </c>
      <c r="E6" s="1226"/>
      <c r="F6" s="1226"/>
      <c r="G6" s="62"/>
      <c r="H6" s="62"/>
      <c r="I6" s="1227" t="s">
        <v>765</v>
      </c>
      <c r="J6" s="1227"/>
      <c r="K6" s="1227"/>
    </row>
    <row r="7" spans="1:11" ht="16">
      <c r="A7" s="1281" t="s">
        <v>135</v>
      </c>
      <c r="B7" s="1281"/>
      <c r="C7" s="1281"/>
      <c r="D7" s="1281"/>
      <c r="E7" s="1281"/>
      <c r="F7" s="1281"/>
      <c r="G7" s="1281"/>
      <c r="H7" s="1281"/>
      <c r="I7" s="1281"/>
      <c r="J7" s="1281"/>
      <c r="K7" s="1281"/>
    </row>
    <row r="8" spans="1:11" ht="16">
      <c r="A8" s="1282" t="s">
        <v>766</v>
      </c>
      <c r="B8" s="1282"/>
      <c r="C8" s="1282"/>
      <c r="D8" s="1282"/>
      <c r="E8" s="1282"/>
      <c r="F8" s="1282"/>
      <c r="G8" s="1282"/>
      <c r="H8" s="488"/>
      <c r="I8" s="489"/>
      <c r="J8" s="489"/>
      <c r="K8" s="490"/>
    </row>
    <row r="9" spans="1:11" ht="42">
      <c r="A9" s="330" t="s">
        <v>137</v>
      </c>
      <c r="B9" s="330" t="s">
        <v>138</v>
      </c>
      <c r="C9" s="330" t="s">
        <v>139</v>
      </c>
      <c r="D9" s="331" t="s">
        <v>2</v>
      </c>
      <c r="E9" s="331" t="s">
        <v>140</v>
      </c>
      <c r="F9" s="331" t="s">
        <v>141</v>
      </c>
      <c r="G9" s="330" t="s">
        <v>142</v>
      </c>
      <c r="H9" s="330" t="s">
        <v>139</v>
      </c>
      <c r="I9" s="331" t="s">
        <v>2</v>
      </c>
      <c r="J9" s="331" t="s">
        <v>143</v>
      </c>
      <c r="K9" s="331" t="s">
        <v>144</v>
      </c>
    </row>
    <row r="10" spans="1:11">
      <c r="A10" s="333">
        <v>1</v>
      </c>
      <c r="B10" s="333">
        <v>2</v>
      </c>
      <c r="C10" s="333">
        <v>3</v>
      </c>
      <c r="D10" s="334">
        <v>4</v>
      </c>
      <c r="E10" s="334">
        <v>5</v>
      </c>
      <c r="F10" s="334">
        <v>6</v>
      </c>
      <c r="G10" s="334">
        <v>7</v>
      </c>
      <c r="H10" s="334">
        <v>8</v>
      </c>
      <c r="I10" s="334">
        <v>9</v>
      </c>
      <c r="J10" s="334">
        <v>10</v>
      </c>
      <c r="K10" s="334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80" t="s">
        <v>767</v>
      </c>
      <c r="B12" s="1280"/>
      <c r="C12" s="126"/>
      <c r="D12" s="127"/>
      <c r="E12" s="127"/>
      <c r="F12" s="128"/>
      <c r="G12" s="125"/>
      <c r="H12" s="126"/>
      <c r="I12" s="129"/>
      <c r="J12" s="127"/>
      <c r="K12" s="128"/>
    </row>
    <row r="13" spans="1:11">
      <c r="A13" s="491" t="s">
        <v>146</v>
      </c>
      <c r="B13" s="131" t="s">
        <v>768</v>
      </c>
      <c r="C13" s="130" t="s">
        <v>160</v>
      </c>
      <c r="D13" s="130" t="str">
        <f>'Данные - Крыша'!K25</f>
        <v>DB-size</v>
      </c>
      <c r="E13" s="132">
        <f>'Данные - Крыша'!K70</f>
        <v>600</v>
      </c>
      <c r="F13" s="130" t="e">
        <f>D13*E13</f>
        <v>#VALUE!</v>
      </c>
      <c r="G13" s="96" t="s">
        <v>792</v>
      </c>
      <c r="H13" s="193" t="s">
        <v>63</v>
      </c>
      <c r="I13" s="531" t="str">
        <f>'Данные - Крыша'!K47</f>
        <v>DB-srtropValue</v>
      </c>
      <c r="J13" s="342">
        <f>'Данные - Крыша'!M47</f>
        <v>25000</v>
      </c>
      <c r="K13" s="130" t="e">
        <f t="shared" ref="K13" si="0">I13*J13</f>
        <v>#VALUE!</v>
      </c>
    </row>
    <row r="14" spans="1:11" ht="30">
      <c r="A14" s="491" t="s">
        <v>164</v>
      </c>
      <c r="B14" s="131" t="s">
        <v>770</v>
      </c>
      <c r="C14" s="130" t="s">
        <v>160</v>
      </c>
      <c r="D14" s="130" t="e">
        <f>'материал - работа'!F48</f>
        <v>#VALUE!</v>
      </c>
      <c r="E14" s="132">
        <f>'Данные - Крыша'!K74</f>
        <v>45</v>
      </c>
      <c r="F14" s="130" t="e">
        <f>D14*E14</f>
        <v>#VALUE!</v>
      </c>
      <c r="G14" s="96" t="s">
        <v>771</v>
      </c>
      <c r="H14" s="193" t="s">
        <v>85</v>
      </c>
      <c r="I14" s="531" t="e">
        <f>'материал - работа'!J64</f>
        <v>#VALUE!</v>
      </c>
      <c r="J14" s="342">
        <f>'Данные - Крыша'!M59</f>
        <v>3500</v>
      </c>
      <c r="K14" s="130" t="e">
        <f>I14*J14</f>
        <v>#VALUE!</v>
      </c>
    </row>
    <row r="15" spans="1:11">
      <c r="A15" s="491"/>
      <c r="B15" s="131"/>
      <c r="C15" s="130"/>
      <c r="D15" s="130"/>
      <c r="E15" s="132"/>
      <c r="F15" s="130"/>
      <c r="G15" s="96"/>
      <c r="H15" s="97"/>
      <c r="I15" s="213"/>
      <c r="J15" s="98"/>
      <c r="K15" s="130"/>
    </row>
    <row r="16" spans="1:11">
      <c r="A16" s="492"/>
      <c r="B16" s="492"/>
      <c r="C16" s="493"/>
      <c r="D16" s="1289" t="s">
        <v>157</v>
      </c>
      <c r="E16" s="1290"/>
      <c r="F16" s="494" t="e">
        <f>SUM(F13:F15)</f>
        <v>#VALUE!</v>
      </c>
      <c r="G16" s="492"/>
      <c r="H16" s="492"/>
      <c r="I16" s="1291" t="s">
        <v>158</v>
      </c>
      <c r="J16" s="1292"/>
      <c r="K16" s="494" t="e">
        <f>SUM(K13:K15)</f>
        <v>#VALUE!</v>
      </c>
    </row>
    <row r="17" spans="1:11">
      <c r="A17" s="497" t="s">
        <v>772</v>
      </c>
      <c r="B17" s="492"/>
      <c r="C17" s="493"/>
      <c r="D17" s="338"/>
      <c r="E17" s="338"/>
      <c r="F17" s="337"/>
      <c r="G17" s="492"/>
      <c r="H17" s="492"/>
      <c r="I17" s="495"/>
      <c r="J17" s="496"/>
      <c r="K17" s="337"/>
    </row>
    <row r="18" spans="1:11">
      <c r="A18" s="491" t="s">
        <v>146</v>
      </c>
      <c r="B18" s="447" t="s">
        <v>703</v>
      </c>
      <c r="C18" s="476" t="s">
        <v>160</v>
      </c>
      <c r="D18" s="163" t="str">
        <f>D13</f>
        <v>DB-size</v>
      </c>
      <c r="E18" s="396">
        <f>'Данные - Крыша'!K66</f>
        <v>200</v>
      </c>
      <c r="F18" s="162" t="e">
        <f>D18*E18</f>
        <v>#VALUE!</v>
      </c>
      <c r="G18" s="470" t="s">
        <v>668</v>
      </c>
      <c r="H18" s="190" t="s">
        <v>85</v>
      </c>
      <c r="I18" s="449">
        <f>'Данные - Крыша'!K37</f>
        <v>4</v>
      </c>
      <c r="J18" s="163">
        <f>'Данные - Крыша'!M37</f>
        <v>1000</v>
      </c>
      <c r="K18" s="88">
        <f t="shared" ref="K18:K35" si="1">I18*J18</f>
        <v>4000</v>
      </c>
    </row>
    <row r="19" spans="1:11">
      <c r="A19" s="491"/>
      <c r="B19" s="447"/>
      <c r="C19" s="476"/>
      <c r="D19" s="163"/>
      <c r="E19" s="396"/>
      <c r="F19" s="162"/>
      <c r="G19" s="470" t="s">
        <v>669</v>
      </c>
      <c r="H19" s="190" t="s">
        <v>85</v>
      </c>
      <c r="I19" s="449">
        <f>'Данные - Крыша'!K42</f>
        <v>1</v>
      </c>
      <c r="J19" s="163">
        <f>'Данные - Крыша'!M42</f>
        <v>1500</v>
      </c>
      <c r="K19" s="88">
        <f t="shared" si="1"/>
        <v>1500</v>
      </c>
    </row>
    <row r="20" spans="1:11">
      <c r="A20" s="491" t="s">
        <v>164</v>
      </c>
      <c r="B20" s="447" t="s">
        <v>705</v>
      </c>
      <c r="C20" s="476" t="s">
        <v>160</v>
      </c>
      <c r="D20" s="163" t="e">
        <f>'материал - работа'!D21/4*5.76</f>
        <v>#VALUE!</v>
      </c>
      <c r="E20" s="396">
        <f>'Данные - Крыша'!K68</f>
        <v>240</v>
      </c>
      <c r="F20" s="162" t="e">
        <f>D20*E20</f>
        <v>#VALUE!</v>
      </c>
      <c r="G20" s="470" t="s">
        <v>667</v>
      </c>
      <c r="H20" s="190" t="s">
        <v>182</v>
      </c>
      <c r="I20" s="449">
        <f>'Данные - Крыша'!K40</f>
        <v>92</v>
      </c>
      <c r="J20" s="163">
        <f>'Данные - Крыша'!M40</f>
        <v>980</v>
      </c>
      <c r="K20" s="88">
        <f t="shared" si="1"/>
        <v>90160</v>
      </c>
    </row>
    <row r="21" spans="1:11">
      <c r="A21" s="491" t="s">
        <v>196</v>
      </c>
      <c r="B21" s="447" t="s">
        <v>706</v>
      </c>
      <c r="C21" s="476" t="s">
        <v>160</v>
      </c>
      <c r="D21" s="163" t="str">
        <f>D18</f>
        <v>DB-size</v>
      </c>
      <c r="E21" s="396">
        <f>'Данные - Крыша'!K69</f>
        <v>200</v>
      </c>
      <c r="F21" s="162" t="e">
        <f>D21*E21</f>
        <v>#VALUE!</v>
      </c>
      <c r="G21" s="470" t="s">
        <v>664</v>
      </c>
      <c r="H21" s="190" t="s">
        <v>85</v>
      </c>
      <c r="I21" s="449">
        <f>'Данные - Крыша'!K37</f>
        <v>4</v>
      </c>
      <c r="J21" s="163">
        <f>'Данные - Крыша'!M37</f>
        <v>1000</v>
      </c>
      <c r="K21" s="88">
        <f t="shared" si="1"/>
        <v>4000</v>
      </c>
    </row>
    <row r="22" spans="1:11">
      <c r="A22" s="491"/>
      <c r="B22" s="447"/>
      <c r="C22" s="476"/>
      <c r="D22" s="163"/>
      <c r="E22" s="396"/>
      <c r="F22" s="162"/>
      <c r="G22" s="470" t="s">
        <v>665</v>
      </c>
      <c r="H22" s="190" t="s">
        <v>85</v>
      </c>
      <c r="I22" s="449">
        <f>'Данные - Крыша'!K38</f>
        <v>0</v>
      </c>
      <c r="J22" s="163">
        <f>'Данные - Крыша'!M38</f>
        <v>1000</v>
      </c>
      <c r="K22" s="88">
        <f t="shared" si="1"/>
        <v>0</v>
      </c>
    </row>
    <row r="23" spans="1:11">
      <c r="A23" s="491" t="s">
        <v>225</v>
      </c>
      <c r="B23" s="447" t="s">
        <v>708</v>
      </c>
      <c r="C23" s="476" t="s">
        <v>160</v>
      </c>
      <c r="D23" s="163" t="str">
        <f>D21</f>
        <v>DB-size</v>
      </c>
      <c r="E23" s="396">
        <f>'Данные - Крыша'!K71</f>
        <v>150</v>
      </c>
      <c r="F23" s="162" t="e">
        <f>D23*E23</f>
        <v>#VALUE!</v>
      </c>
      <c r="G23" s="470" t="s">
        <v>773</v>
      </c>
      <c r="H23" s="190" t="s">
        <v>85</v>
      </c>
      <c r="I23" s="207" t="e">
        <f>'материал - работа'!J53</f>
        <v>#VALUE!</v>
      </c>
      <c r="J23" s="163">
        <f>'Данные - Крыша'!M48</f>
        <v>180</v>
      </c>
      <c r="K23" s="88" t="e">
        <f t="shared" si="1"/>
        <v>#VALUE!</v>
      </c>
    </row>
    <row r="24" spans="1:11">
      <c r="A24" s="491"/>
      <c r="B24" s="447" t="s">
        <v>709</v>
      </c>
      <c r="C24" s="476" t="s">
        <v>86</v>
      </c>
      <c r="D24" s="449" t="e">
        <f>'материал - работа'!J53*3</f>
        <v>#VALUE!</v>
      </c>
      <c r="E24" s="396">
        <f>'Данные - Крыша'!K72</f>
        <v>5</v>
      </c>
      <c r="F24" s="162" t="e">
        <f>D24*E24</f>
        <v>#VALUE!</v>
      </c>
      <c r="G24" s="470" t="s">
        <v>774</v>
      </c>
      <c r="H24" s="190" t="s">
        <v>156</v>
      </c>
      <c r="I24" s="207" t="e">
        <f>'материал - работа'!D42</f>
        <v>#VALUE!</v>
      </c>
      <c r="J24" s="163">
        <f>'Данные - Крыша'!E33</f>
        <v>0</v>
      </c>
      <c r="K24" s="88" t="e">
        <f t="shared" si="1"/>
        <v>#VALUE!</v>
      </c>
    </row>
    <row r="25" spans="1:11">
      <c r="A25" s="491" t="s">
        <v>224</v>
      </c>
      <c r="B25" s="447" t="s">
        <v>710</v>
      </c>
      <c r="C25" s="476" t="s">
        <v>160</v>
      </c>
      <c r="D25" s="163" t="str">
        <f>D18</f>
        <v>DB-size</v>
      </c>
      <c r="E25" s="396">
        <f>'Данные - Крыша'!K73</f>
        <v>180</v>
      </c>
      <c r="F25" s="162" t="e">
        <f>D25*E25</f>
        <v>#VALUE!</v>
      </c>
      <c r="G25" s="470" t="s">
        <v>775</v>
      </c>
      <c r="H25" s="190" t="s">
        <v>85</v>
      </c>
      <c r="I25" s="449" t="e">
        <f>'материал - работа'!J59</f>
        <v>#VALUE!</v>
      </c>
      <c r="J25" s="163">
        <f>'Данные - Крыша'!M54</f>
        <v>455</v>
      </c>
      <c r="K25" s="88" t="e">
        <f t="shared" si="1"/>
        <v>#VALUE!</v>
      </c>
    </row>
    <row r="26" spans="1:11">
      <c r="A26" s="491"/>
      <c r="B26" s="447"/>
      <c r="C26" s="476"/>
      <c r="D26" s="163"/>
      <c r="E26" s="396"/>
      <c r="F26" s="162"/>
      <c r="G26" s="470" t="s">
        <v>793</v>
      </c>
      <c r="H26" s="190" t="s">
        <v>63</v>
      </c>
      <c r="I26" s="449" t="e">
        <f>'материал - работа'!J54</f>
        <v>#VALUE!</v>
      </c>
      <c r="J26" s="163">
        <f>'Данные - Крыша'!M49</f>
        <v>25000</v>
      </c>
      <c r="K26" s="88" t="e">
        <f t="shared" si="1"/>
        <v>#VALUE!</v>
      </c>
    </row>
    <row r="27" spans="1:11">
      <c r="A27" s="491"/>
      <c r="B27" s="447"/>
      <c r="C27" s="476"/>
      <c r="D27" s="163"/>
      <c r="E27" s="396"/>
      <c r="F27" s="162"/>
      <c r="G27" s="470" t="s">
        <v>688</v>
      </c>
      <c r="H27" s="190" t="s">
        <v>156</v>
      </c>
      <c r="I27" s="449" t="e">
        <f>'материал - работа'!D43</f>
        <v>#VALUE!</v>
      </c>
      <c r="J27" s="163">
        <f>'Данные - Крыша'!E35</f>
        <v>0</v>
      </c>
      <c r="K27" s="88" t="e">
        <f t="shared" si="1"/>
        <v>#VALUE!</v>
      </c>
    </row>
    <row r="28" spans="1:11">
      <c r="A28" s="491"/>
      <c r="B28" s="447"/>
      <c r="C28" s="476"/>
      <c r="D28" s="163"/>
      <c r="E28" s="396"/>
      <c r="F28" s="162"/>
      <c r="G28" s="470" t="s">
        <v>689</v>
      </c>
      <c r="H28" s="190" t="s">
        <v>85</v>
      </c>
      <c r="I28" s="449">
        <f>'материал - работа'!J55</f>
        <v>0</v>
      </c>
      <c r="J28" s="163">
        <f>'Данные - Крыша'!M50</f>
        <v>50</v>
      </c>
      <c r="K28" s="88">
        <f t="shared" si="1"/>
        <v>0</v>
      </c>
    </row>
    <row r="29" spans="1:11">
      <c r="A29" s="491"/>
      <c r="B29" s="447"/>
      <c r="C29" s="476"/>
      <c r="D29" s="163"/>
      <c r="E29" s="396"/>
      <c r="F29" s="162"/>
      <c r="G29" s="470" t="s">
        <v>197</v>
      </c>
      <c r="H29" s="190" t="s">
        <v>85</v>
      </c>
      <c r="I29" s="449">
        <f>'материал - работа'!J56</f>
        <v>0</v>
      </c>
      <c r="J29" s="163">
        <f>'Данные - Крыша'!M51</f>
        <v>240</v>
      </c>
      <c r="K29" s="88">
        <f t="shared" si="1"/>
        <v>0</v>
      </c>
    </row>
    <row r="30" spans="1:11">
      <c r="A30" s="491"/>
      <c r="B30" s="447"/>
      <c r="C30" s="476"/>
      <c r="D30" s="163"/>
      <c r="E30" s="396"/>
      <c r="F30" s="162"/>
      <c r="G30" s="470" t="s">
        <v>187</v>
      </c>
      <c r="H30" s="190" t="s">
        <v>85</v>
      </c>
      <c r="I30" s="449">
        <f>'материал - работа'!J57</f>
        <v>0</v>
      </c>
      <c r="J30" s="163">
        <f>'Данные - Крыша'!M52</f>
        <v>3.5</v>
      </c>
      <c r="K30" s="88">
        <f t="shared" si="1"/>
        <v>0</v>
      </c>
    </row>
    <row r="31" spans="1:11">
      <c r="A31" s="491"/>
      <c r="B31" s="447"/>
      <c r="C31" s="476"/>
      <c r="D31" s="163"/>
      <c r="E31" s="396"/>
      <c r="F31" s="162"/>
      <c r="G31" s="470" t="s">
        <v>198</v>
      </c>
      <c r="H31" s="190" t="s">
        <v>85</v>
      </c>
      <c r="I31" s="449">
        <f>'материал - работа'!J58</f>
        <v>0</v>
      </c>
      <c r="J31" s="163">
        <f>'Данные - Крыша'!M53</f>
        <v>7</v>
      </c>
      <c r="K31" s="88">
        <f t="shared" si="1"/>
        <v>0</v>
      </c>
    </row>
    <row r="32" spans="1:11">
      <c r="A32" s="491"/>
      <c r="B32" s="447"/>
      <c r="C32" s="476"/>
      <c r="D32" s="163"/>
      <c r="E32" s="396"/>
      <c r="F32" s="162"/>
      <c r="G32" s="470" t="s">
        <v>779</v>
      </c>
      <c r="H32" s="190" t="s">
        <v>85</v>
      </c>
      <c r="I32" s="207">
        <f>'материал - работа'!J60</f>
        <v>65</v>
      </c>
      <c r="J32" s="163">
        <f>'Данные - Крыша'!M55</f>
        <v>57</v>
      </c>
      <c r="K32" s="88">
        <f t="shared" si="1"/>
        <v>3705</v>
      </c>
    </row>
    <row r="33" spans="1:11">
      <c r="A33" s="491"/>
      <c r="B33" s="447"/>
      <c r="C33" s="476"/>
      <c r="D33" s="163"/>
      <c r="E33" s="396"/>
      <c r="F33" s="162"/>
      <c r="G33" s="470" t="s">
        <v>695</v>
      </c>
      <c r="H33" s="190" t="s">
        <v>156</v>
      </c>
      <c r="I33" s="207" t="e">
        <f>'материал - работа'!D40</f>
        <v>#VALUE!</v>
      </c>
      <c r="J33" s="163">
        <f>'Данные - Крыша'!E42</f>
        <v>0</v>
      </c>
      <c r="K33" s="88" t="e">
        <f t="shared" si="1"/>
        <v>#VALUE!</v>
      </c>
    </row>
    <row r="34" spans="1:11">
      <c r="A34" s="491"/>
      <c r="B34" s="447"/>
      <c r="C34" s="476"/>
      <c r="D34" s="163"/>
      <c r="E34" s="396"/>
      <c r="F34" s="162"/>
      <c r="G34" s="470" t="s">
        <v>780</v>
      </c>
      <c r="H34" s="190" t="s">
        <v>156</v>
      </c>
      <c r="I34" s="207">
        <f>'материал - работа'!J61</f>
        <v>1.9006329113924052</v>
      </c>
      <c r="J34" s="163">
        <f>'Данные - Крыша'!M56</f>
        <v>380</v>
      </c>
      <c r="K34" s="88">
        <f t="shared" si="1"/>
        <v>722.24050632911394</v>
      </c>
    </row>
    <row r="35" spans="1:11">
      <c r="A35" s="491"/>
      <c r="B35" s="447"/>
      <c r="C35" s="476"/>
      <c r="D35" s="163"/>
      <c r="E35" s="396"/>
      <c r="F35" s="162"/>
      <c r="G35" s="470" t="s">
        <v>180</v>
      </c>
      <c r="H35" s="190" t="s">
        <v>85</v>
      </c>
      <c r="I35" s="449" t="e">
        <f>'материал - работа'!J63</f>
        <v>#VALUE!</v>
      </c>
      <c r="J35" s="163">
        <f>'Данные - Крыша'!M58</f>
        <v>65</v>
      </c>
      <c r="K35" s="88" t="e">
        <f t="shared" si="1"/>
        <v>#VALUE!</v>
      </c>
    </row>
    <row r="36" spans="1:11">
      <c r="A36" s="491"/>
      <c r="B36" s="447"/>
      <c r="C36" s="476"/>
      <c r="D36" s="163"/>
      <c r="E36" s="163"/>
      <c r="F36" s="41"/>
      <c r="G36" s="470"/>
      <c r="H36" s="190"/>
      <c r="I36" s="449"/>
      <c r="J36" s="163"/>
      <c r="K36" s="88"/>
    </row>
    <row r="37" spans="1:11">
      <c r="A37" s="126"/>
      <c r="B37" s="125"/>
      <c r="C37" s="126"/>
      <c r="D37" s="1283" t="s">
        <v>157</v>
      </c>
      <c r="E37" s="1284"/>
      <c r="F37" s="124" t="e">
        <f>SUM(F18:F36)</f>
        <v>#VALUE!</v>
      </c>
      <c r="G37" s="125"/>
      <c r="H37" s="126"/>
      <c r="I37" s="1285" t="s">
        <v>158</v>
      </c>
      <c r="J37" s="1285"/>
      <c r="K37" s="124" t="e">
        <f>SUM(K18:K36)</f>
        <v>#VALUE!</v>
      </c>
    </row>
    <row r="38" spans="1:11" ht="19">
      <c r="A38" s="1280" t="s">
        <v>782</v>
      </c>
      <c r="B38" s="1280"/>
      <c r="C38" s="126"/>
      <c r="D38" s="126"/>
      <c r="E38" s="127"/>
      <c r="F38" s="128"/>
      <c r="G38" s="503"/>
      <c r="H38" s="126"/>
      <c r="I38" s="498"/>
      <c r="J38" s="127"/>
      <c r="K38" s="128"/>
    </row>
    <row r="39" spans="1:11" ht="19">
      <c r="A39" s="499" t="s">
        <v>146</v>
      </c>
      <c r="B39" s="478" t="s">
        <v>712</v>
      </c>
      <c r="C39" s="467" t="s">
        <v>160</v>
      </c>
      <c r="D39" s="467" t="str">
        <f>D25</f>
        <v>DB-size</v>
      </c>
      <c r="E39" s="378">
        <f>'Данные - Крыша'!K75</f>
        <v>500</v>
      </c>
      <c r="F39" s="467" t="e">
        <f>D39*E39</f>
        <v>#VALUE!</v>
      </c>
      <c r="G39" s="537" t="s">
        <v>794</v>
      </c>
      <c r="H39" s="536" t="s">
        <v>160</v>
      </c>
      <c r="I39" s="460">
        <f>'материал - работа'!J26</f>
        <v>281.55399999999997</v>
      </c>
      <c r="J39" s="461">
        <f>'Данные - Крыша'!M26</f>
        <v>650</v>
      </c>
      <c r="K39" s="471">
        <f>I39*J39</f>
        <v>183010.09999999998</v>
      </c>
    </row>
    <row r="40" spans="1:11">
      <c r="A40" s="491"/>
      <c r="B40" s="131"/>
      <c r="C40" s="130"/>
      <c r="D40" s="130"/>
      <c r="E40" s="88"/>
      <c r="F40" s="130"/>
      <c r="G40" s="165">
        <v>1</v>
      </c>
      <c r="H40" s="165" t="s">
        <v>800</v>
      </c>
      <c r="I40" s="189">
        <f>'Данные - Крыша'!K2</f>
        <v>3650</v>
      </c>
      <c r="J40" s="189">
        <f>'Данные - Крыша'!L2</f>
        <v>51</v>
      </c>
      <c r="K40" s="395"/>
    </row>
    <row r="41" spans="1:11">
      <c r="A41" s="491"/>
      <c r="B41" s="131"/>
      <c r="C41" s="130"/>
      <c r="D41" s="130"/>
      <c r="E41" s="88"/>
      <c r="F41" s="130"/>
      <c r="G41" s="165">
        <v>2</v>
      </c>
      <c r="H41" s="165" t="s">
        <v>800</v>
      </c>
      <c r="I41" s="189">
        <f>'Данные - Крыша'!K3</f>
        <v>3050</v>
      </c>
      <c r="J41" s="189">
        <f>'Данные - Крыша'!L3</f>
        <v>17</v>
      </c>
      <c r="K41" s="504"/>
    </row>
    <row r="42" spans="1:11">
      <c r="A42" s="491"/>
      <c r="B42" s="131"/>
      <c r="C42" s="130"/>
      <c r="D42" s="130"/>
      <c r="E42" s="88"/>
      <c r="F42" s="130"/>
      <c r="G42" s="165">
        <v>3</v>
      </c>
      <c r="H42" s="165" t="s">
        <v>800</v>
      </c>
      <c r="I42" s="189">
        <f>'Данные - Крыша'!K4</f>
        <v>0</v>
      </c>
      <c r="J42" s="189">
        <f>'Данные - Крыша'!L4</f>
        <v>0</v>
      </c>
      <c r="K42" s="504"/>
    </row>
    <row r="43" spans="1:11">
      <c r="A43" s="491"/>
      <c r="B43" s="131"/>
      <c r="C43" s="130"/>
      <c r="D43" s="130"/>
      <c r="E43" s="88"/>
      <c r="F43" s="130"/>
      <c r="G43" s="165">
        <v>4</v>
      </c>
      <c r="H43" s="165" t="s">
        <v>800</v>
      </c>
      <c r="I43" s="189">
        <f>'Данные - Крыша'!K5</f>
        <v>0</v>
      </c>
      <c r="J43" s="189">
        <f>'Данные - Крыша'!L5</f>
        <v>0</v>
      </c>
      <c r="K43" s="504"/>
    </row>
    <row r="44" spans="1:11">
      <c r="A44" s="491"/>
      <c r="B44" s="131"/>
      <c r="C44" s="130"/>
      <c r="D44" s="130"/>
      <c r="E44" s="88"/>
      <c r="F44" s="130"/>
      <c r="G44" s="165">
        <v>5</v>
      </c>
      <c r="H44" s="165" t="s">
        <v>800</v>
      </c>
      <c r="I44" s="189">
        <f>'Данные - Крыша'!K6</f>
        <v>0</v>
      </c>
      <c r="J44" s="189">
        <f>'Данные - Крыша'!L6</f>
        <v>0</v>
      </c>
      <c r="K44" s="504"/>
    </row>
    <row r="45" spans="1:11">
      <c r="A45" s="491"/>
      <c r="B45" s="131"/>
      <c r="C45" s="130"/>
      <c r="D45" s="130"/>
      <c r="E45" s="88"/>
      <c r="F45" s="130"/>
      <c r="G45" s="165">
        <v>6</v>
      </c>
      <c r="H45" s="165" t="s">
        <v>800</v>
      </c>
      <c r="I45" s="189">
        <f>'Данные - Крыша'!K7</f>
        <v>0</v>
      </c>
      <c r="J45" s="189">
        <f>'Данные - Крыша'!L7</f>
        <v>0</v>
      </c>
      <c r="K45" s="504"/>
    </row>
    <row r="46" spans="1:11">
      <c r="A46" s="491"/>
      <c r="B46" s="131"/>
      <c r="C46" s="130"/>
      <c r="D46" s="130"/>
      <c r="E46" s="88"/>
      <c r="F46" s="130"/>
      <c r="G46" s="165">
        <v>7</v>
      </c>
      <c r="H46" s="165" t="s">
        <v>800</v>
      </c>
      <c r="I46" s="189">
        <f>'Данные - Крыша'!K8</f>
        <v>0</v>
      </c>
      <c r="J46" s="189">
        <f>'Данные - Крыша'!L8</f>
        <v>0</v>
      </c>
      <c r="K46" s="504"/>
    </row>
    <row r="47" spans="1:11">
      <c r="A47" s="491"/>
      <c r="B47" s="131"/>
      <c r="C47" s="130"/>
      <c r="D47" s="130"/>
      <c r="E47" s="88"/>
      <c r="F47" s="130"/>
      <c r="G47" s="165">
        <v>8</v>
      </c>
      <c r="H47" s="165" t="s">
        <v>800</v>
      </c>
      <c r="I47" s="189">
        <f>'Данные - Крыша'!K9</f>
        <v>0</v>
      </c>
      <c r="J47" s="189">
        <f>'Данные - Крыша'!L9</f>
        <v>0</v>
      </c>
      <c r="K47" s="504"/>
    </row>
    <row r="48" spans="1:11">
      <c r="A48" s="491"/>
      <c r="B48" s="131"/>
      <c r="C48" s="130"/>
      <c r="D48" s="130"/>
      <c r="E48" s="88"/>
      <c r="F48" s="130"/>
      <c r="G48" s="165">
        <v>9</v>
      </c>
      <c r="H48" s="165" t="s">
        <v>800</v>
      </c>
      <c r="I48" s="189">
        <f>'Данные - Крыша'!K10</f>
        <v>0</v>
      </c>
      <c r="J48" s="189">
        <f>'Данные - Крыша'!L10</f>
        <v>0</v>
      </c>
      <c r="K48" s="504"/>
    </row>
    <row r="49" spans="1:11">
      <c r="A49" s="491"/>
      <c r="B49" s="131"/>
      <c r="C49" s="130"/>
      <c r="D49" s="130"/>
      <c r="E49" s="88"/>
      <c r="F49" s="130"/>
      <c r="G49" s="165">
        <v>10</v>
      </c>
      <c r="H49" s="165" t="s">
        <v>800</v>
      </c>
      <c r="I49" s="189">
        <f>'Данные - Крыша'!K11</f>
        <v>0</v>
      </c>
      <c r="J49" s="189">
        <f>'Данные - Крыша'!L11</f>
        <v>0</v>
      </c>
      <c r="K49" s="504"/>
    </row>
    <row r="50" spans="1:11">
      <c r="A50" s="491"/>
      <c r="B50" s="131"/>
      <c r="C50" s="130"/>
      <c r="D50" s="130"/>
      <c r="E50" s="88"/>
      <c r="F50" s="130"/>
      <c r="G50" s="165">
        <v>11</v>
      </c>
      <c r="H50" s="165" t="s">
        <v>800</v>
      </c>
      <c r="I50" s="189">
        <f>'Данные - Крыша'!K12</f>
        <v>0</v>
      </c>
      <c r="J50" s="189">
        <f>'Данные - Крыша'!L12</f>
        <v>0</v>
      </c>
      <c r="K50" s="504"/>
    </row>
    <row r="51" spans="1:11">
      <c r="A51" s="491"/>
      <c r="B51" s="131"/>
      <c r="C51" s="130"/>
      <c r="D51" s="130"/>
      <c r="E51" s="88"/>
      <c r="F51" s="130"/>
      <c r="G51" s="165">
        <v>12</v>
      </c>
      <c r="H51" s="165" t="s">
        <v>800</v>
      </c>
      <c r="I51" s="189">
        <f>'Данные - Крыша'!K13</f>
        <v>0</v>
      </c>
      <c r="J51" s="189">
        <f>'Данные - Крыша'!L13</f>
        <v>0</v>
      </c>
      <c r="K51" s="504"/>
    </row>
    <row r="52" spans="1:11">
      <c r="A52" s="491"/>
      <c r="B52" s="131"/>
      <c r="C52" s="130"/>
      <c r="D52" s="130"/>
      <c r="E52" s="88"/>
      <c r="F52" s="130"/>
      <c r="G52" s="165">
        <v>13</v>
      </c>
      <c r="H52" s="165" t="s">
        <v>800</v>
      </c>
      <c r="I52" s="189">
        <f>'Данные - Крыша'!K14</f>
        <v>0</v>
      </c>
      <c r="J52" s="189">
        <f>'Данные - Крыша'!L14</f>
        <v>0</v>
      </c>
      <c r="K52" s="504"/>
    </row>
    <row r="53" spans="1:11">
      <c r="A53" s="491"/>
      <c r="B53" s="131"/>
      <c r="C53" s="130"/>
      <c r="D53" s="130"/>
      <c r="E53" s="88"/>
      <c r="F53" s="130"/>
      <c r="G53" s="165">
        <v>14</v>
      </c>
      <c r="H53" s="165" t="s">
        <v>800</v>
      </c>
      <c r="I53" s="189">
        <f>'Данные - Крыша'!K15</f>
        <v>0</v>
      </c>
      <c r="J53" s="189">
        <f>'Данные - Крыша'!L15</f>
        <v>0</v>
      </c>
      <c r="K53" s="504"/>
    </row>
    <row r="54" spans="1:11">
      <c r="A54" s="491"/>
      <c r="B54" s="131"/>
      <c r="C54" s="130"/>
      <c r="D54" s="130"/>
      <c r="E54" s="88"/>
      <c r="F54" s="130"/>
      <c r="G54" s="165">
        <v>15</v>
      </c>
      <c r="H54" s="165" t="s">
        <v>800</v>
      </c>
      <c r="I54" s="189">
        <f>'Данные - Крыша'!K16</f>
        <v>0</v>
      </c>
      <c r="J54" s="189">
        <f>'Данные - Крыша'!L16</f>
        <v>0</v>
      </c>
      <c r="K54" s="504"/>
    </row>
    <row r="55" spans="1:11">
      <c r="A55" s="491"/>
      <c r="B55" s="131"/>
      <c r="C55" s="130"/>
      <c r="D55" s="130"/>
      <c r="E55" s="88"/>
      <c r="F55" s="130"/>
      <c r="G55" s="165">
        <v>16</v>
      </c>
      <c r="H55" s="165" t="s">
        <v>800</v>
      </c>
      <c r="I55" s="189">
        <f>'Данные - Крыша'!K17</f>
        <v>0</v>
      </c>
      <c r="J55" s="189">
        <f>'Данные - Крыша'!L17</f>
        <v>0</v>
      </c>
      <c r="K55" s="504"/>
    </row>
    <row r="56" spans="1:11">
      <c r="A56" s="491"/>
      <c r="B56" s="131"/>
      <c r="C56" s="130"/>
      <c r="D56" s="130"/>
      <c r="E56" s="88"/>
      <c r="F56" s="130"/>
      <c r="G56" s="165">
        <v>17</v>
      </c>
      <c r="H56" s="165" t="s">
        <v>800</v>
      </c>
      <c r="I56" s="189">
        <f>'Данные - Крыша'!K18</f>
        <v>0</v>
      </c>
      <c r="J56" s="189">
        <f>'Данные - Крыша'!L18</f>
        <v>0</v>
      </c>
      <c r="K56" s="504"/>
    </row>
    <row r="57" spans="1:11">
      <c r="A57" s="491"/>
      <c r="B57" s="131"/>
      <c r="C57" s="130"/>
      <c r="D57" s="130"/>
      <c r="E57" s="88"/>
      <c r="F57" s="130"/>
      <c r="G57" s="165">
        <v>18</v>
      </c>
      <c r="H57" s="165" t="s">
        <v>800</v>
      </c>
      <c r="I57" s="189">
        <f>'Данные - Крыша'!K19</f>
        <v>0</v>
      </c>
      <c r="J57" s="189">
        <f>'Данные - Крыша'!L19</f>
        <v>0</v>
      </c>
      <c r="K57" s="504"/>
    </row>
    <row r="58" spans="1:11">
      <c r="A58" s="491"/>
      <c r="B58" s="131"/>
      <c r="C58" s="130"/>
      <c r="D58" s="130"/>
      <c r="E58" s="88"/>
      <c r="F58" s="130"/>
      <c r="G58" s="165">
        <v>19</v>
      </c>
      <c r="H58" s="165" t="s">
        <v>800</v>
      </c>
      <c r="I58" s="189">
        <f>'Данные - Крыша'!K20</f>
        <v>0</v>
      </c>
      <c r="J58" s="189">
        <f>'Данные - Крыша'!L20</f>
        <v>0</v>
      </c>
      <c r="K58" s="504"/>
    </row>
    <row r="59" spans="1:11">
      <c r="A59" s="491"/>
      <c r="B59" s="131"/>
      <c r="C59" s="130"/>
      <c r="D59" s="130"/>
      <c r="E59" s="88"/>
      <c r="F59" s="130"/>
      <c r="G59" s="165">
        <v>20</v>
      </c>
      <c r="H59" s="165" t="s">
        <v>800</v>
      </c>
      <c r="I59" s="189">
        <f>'Данные - Крыша'!K21</f>
        <v>0</v>
      </c>
      <c r="J59" s="189">
        <f>'Данные - Крыша'!L21</f>
        <v>0</v>
      </c>
      <c r="K59" s="504"/>
    </row>
    <row r="60" spans="1:11">
      <c r="A60" s="491"/>
      <c r="B60" s="131"/>
      <c r="C60" s="130"/>
      <c r="D60" s="130"/>
      <c r="E60" s="88"/>
      <c r="F60" s="130"/>
      <c r="G60" s="165">
        <v>21</v>
      </c>
      <c r="H60" s="165" t="s">
        <v>800</v>
      </c>
      <c r="I60" s="189">
        <f>'Данные - Крыша'!K22</f>
        <v>0</v>
      </c>
      <c r="J60" s="189">
        <f>'Данные - Крыша'!L22</f>
        <v>0</v>
      </c>
      <c r="K60" s="504"/>
    </row>
    <row r="61" spans="1:11">
      <c r="A61" s="491"/>
      <c r="B61" s="131"/>
      <c r="C61" s="130"/>
      <c r="D61" s="130"/>
      <c r="E61" s="88"/>
      <c r="F61" s="130"/>
      <c r="G61" s="165">
        <v>22</v>
      </c>
      <c r="H61" s="165" t="s">
        <v>800</v>
      </c>
      <c r="I61" s="189">
        <f>'Данные - Крыша'!K23</f>
        <v>0</v>
      </c>
      <c r="J61" s="189">
        <f>'Данные - Крыша'!L23</f>
        <v>0</v>
      </c>
      <c r="K61" s="504"/>
    </row>
    <row r="62" spans="1:11">
      <c r="A62" s="491"/>
      <c r="B62" s="131"/>
      <c r="C62" s="130"/>
      <c r="D62" s="130"/>
      <c r="E62" s="88"/>
      <c r="F62" s="130"/>
      <c r="G62" s="470" t="s">
        <v>676</v>
      </c>
      <c r="H62" s="165" t="s">
        <v>85</v>
      </c>
      <c r="I62" s="189">
        <f>'Данные - Крыша'!K27</f>
        <v>0</v>
      </c>
      <c r="J62" s="165">
        <f>'Данные - Крыша'!M27</f>
        <v>1650</v>
      </c>
      <c r="K62" s="378">
        <f>I62*J62</f>
        <v>0</v>
      </c>
    </row>
    <row r="63" spans="1:11">
      <c r="A63" s="491"/>
      <c r="B63" s="131"/>
      <c r="C63" s="130"/>
      <c r="D63" s="130"/>
      <c r="E63" s="88"/>
      <c r="F63" s="130"/>
      <c r="G63" s="470" t="s">
        <v>655</v>
      </c>
      <c r="H63" s="165" t="s">
        <v>85</v>
      </c>
      <c r="I63" s="189">
        <f>'Данные - Крыша'!K28</f>
        <v>10</v>
      </c>
      <c r="J63" s="165">
        <f>'Данные - Крыша'!M28</f>
        <v>3800</v>
      </c>
      <c r="K63" s="378">
        <f t="shared" ref="K63:K78" si="2">I63*J63</f>
        <v>38000</v>
      </c>
    </row>
    <row r="64" spans="1:11">
      <c r="A64" s="491"/>
      <c r="B64" s="131"/>
      <c r="C64" s="130"/>
      <c r="D64" s="130"/>
      <c r="E64" s="88"/>
      <c r="F64" s="130"/>
      <c r="G64" s="470" t="s">
        <v>657</v>
      </c>
      <c r="H64" s="165" t="s">
        <v>85</v>
      </c>
      <c r="I64" s="189">
        <f>'Данные - Крыша'!K29</f>
        <v>15</v>
      </c>
      <c r="J64" s="165">
        <f>'Данные - Крыша'!M29</f>
        <v>2271</v>
      </c>
      <c r="K64" s="378">
        <f t="shared" si="2"/>
        <v>34065</v>
      </c>
    </row>
    <row r="65" spans="1:11">
      <c r="A65" s="491"/>
      <c r="B65" s="131"/>
      <c r="C65" s="130"/>
      <c r="D65" s="130"/>
      <c r="E65" s="88"/>
      <c r="F65" s="130"/>
      <c r="G65" s="470" t="s">
        <v>658</v>
      </c>
      <c r="H65" s="165" t="s">
        <v>85</v>
      </c>
      <c r="I65" s="189">
        <f>'Данные - Крыша'!K30</f>
        <v>10</v>
      </c>
      <c r="J65" s="165">
        <f>'Данные - Крыша'!M30</f>
        <v>4500</v>
      </c>
      <c r="K65" s="378">
        <f t="shared" si="2"/>
        <v>45000</v>
      </c>
    </row>
    <row r="66" spans="1:11">
      <c r="A66" s="491"/>
      <c r="B66" s="131"/>
      <c r="C66" s="130"/>
      <c r="D66" s="130"/>
      <c r="E66" s="88"/>
      <c r="F66" s="130"/>
      <c r="G66" s="470" t="s">
        <v>681</v>
      </c>
      <c r="H66" s="165" t="s">
        <v>85</v>
      </c>
      <c r="I66" s="189">
        <f>'Данные - Крыша'!K31</f>
        <v>10</v>
      </c>
      <c r="J66" s="165">
        <f>'Данные - Крыша'!M31</f>
        <v>1315</v>
      </c>
      <c r="K66" s="378">
        <f t="shared" si="2"/>
        <v>13150</v>
      </c>
    </row>
    <row r="67" spans="1:11">
      <c r="A67" s="491"/>
      <c r="B67" s="131"/>
      <c r="C67" s="130"/>
      <c r="D67" s="130"/>
      <c r="E67" s="88"/>
      <c r="F67" s="130"/>
      <c r="G67" s="470" t="s">
        <v>683</v>
      </c>
      <c r="H67" s="165" t="s">
        <v>85</v>
      </c>
      <c r="I67" s="189">
        <f>'Данные - Крыша'!K32</f>
        <v>0</v>
      </c>
      <c r="J67" s="165">
        <f>'Данные - Крыша'!M32</f>
        <v>500</v>
      </c>
      <c r="K67" s="378">
        <f t="shared" si="2"/>
        <v>0</v>
      </c>
    </row>
    <row r="68" spans="1:11">
      <c r="A68" s="491"/>
      <c r="B68" s="131"/>
      <c r="C68" s="130"/>
      <c r="D68" s="130"/>
      <c r="E68" s="88"/>
      <c r="F68" s="130"/>
      <c r="G68" s="470" t="s">
        <v>685</v>
      </c>
      <c r="H68" s="165" t="s">
        <v>85</v>
      </c>
      <c r="I68" s="189">
        <f>'Данные - Крыша'!K33</f>
        <v>0</v>
      </c>
      <c r="J68" s="165">
        <f>'Данные - Крыша'!M33</f>
        <v>500</v>
      </c>
      <c r="K68" s="378">
        <f t="shared" si="2"/>
        <v>0</v>
      </c>
    </row>
    <row r="69" spans="1:11">
      <c r="A69" s="491"/>
      <c r="B69" s="131"/>
      <c r="C69" s="130"/>
      <c r="D69" s="130"/>
      <c r="E69" s="88"/>
      <c r="F69" s="130"/>
      <c r="G69" s="470" t="s">
        <v>687</v>
      </c>
      <c r="H69" s="165" t="s">
        <v>642</v>
      </c>
      <c r="I69" s="189">
        <f>'Данные - Крыша'!K34</f>
        <v>7</v>
      </c>
      <c r="J69" s="165">
        <f>'Данные - Крыша'!M34</f>
        <v>500</v>
      </c>
      <c r="K69" s="378">
        <f t="shared" si="2"/>
        <v>3500</v>
      </c>
    </row>
    <row r="70" spans="1:11">
      <c r="A70" s="491"/>
      <c r="B70" s="131"/>
      <c r="C70" s="130"/>
      <c r="D70" s="130"/>
      <c r="E70" s="88"/>
      <c r="F70" s="130"/>
      <c r="G70" s="470" t="s">
        <v>662</v>
      </c>
      <c r="H70" s="165" t="s">
        <v>642</v>
      </c>
      <c r="I70" s="189">
        <f>'Данные - Крыша'!K35</f>
        <v>1</v>
      </c>
      <c r="J70" s="165">
        <f>'Данные - Крыша'!M35</f>
        <v>500</v>
      </c>
      <c r="K70" s="378">
        <f t="shared" si="2"/>
        <v>500</v>
      </c>
    </row>
    <row r="71" spans="1:11">
      <c r="A71" s="491"/>
      <c r="B71" s="131"/>
      <c r="C71" s="130"/>
      <c r="D71" s="130"/>
      <c r="E71" s="88"/>
      <c r="F71" s="130"/>
      <c r="G71" s="470" t="s">
        <v>663</v>
      </c>
      <c r="H71" s="165" t="s">
        <v>85</v>
      </c>
      <c r="I71" s="189">
        <f>'Данные - Крыша'!K36</f>
        <v>1</v>
      </c>
      <c r="J71" s="165">
        <f>'Данные - Крыша'!M36</f>
        <v>500</v>
      </c>
      <c r="K71" s="378">
        <f t="shared" si="2"/>
        <v>500</v>
      </c>
    </row>
    <row r="72" spans="1:11">
      <c r="A72" s="491"/>
      <c r="B72" s="131"/>
      <c r="C72" s="130"/>
      <c r="D72" s="130"/>
      <c r="E72" s="88"/>
      <c r="F72" s="130"/>
      <c r="G72" s="470" t="s">
        <v>664</v>
      </c>
      <c r="H72" s="165" t="s">
        <v>85</v>
      </c>
      <c r="I72" s="189">
        <f>'Данные - Крыша'!K37</f>
        <v>4</v>
      </c>
      <c r="J72" s="165">
        <f>'Данные - Крыша'!M37</f>
        <v>1000</v>
      </c>
      <c r="K72" s="378">
        <f t="shared" si="2"/>
        <v>4000</v>
      </c>
    </row>
    <row r="73" spans="1:11">
      <c r="A73" s="491"/>
      <c r="B73" s="131"/>
      <c r="C73" s="130"/>
      <c r="D73" s="130"/>
      <c r="E73" s="88"/>
      <c r="F73" s="130"/>
      <c r="G73" s="470" t="s">
        <v>665</v>
      </c>
      <c r="H73" s="165" t="s">
        <v>85</v>
      </c>
      <c r="I73" s="189">
        <f>'Данные - Крыша'!K38</f>
        <v>0</v>
      </c>
      <c r="J73" s="165">
        <f>'Данные - Крыша'!M38</f>
        <v>1000</v>
      </c>
      <c r="K73" s="378">
        <f t="shared" si="2"/>
        <v>0</v>
      </c>
    </row>
    <row r="74" spans="1:11">
      <c r="A74" s="491"/>
      <c r="B74" s="131"/>
      <c r="C74" s="130"/>
      <c r="D74" s="130"/>
      <c r="E74" s="88"/>
      <c r="F74" s="130"/>
      <c r="G74" s="470" t="s">
        <v>692</v>
      </c>
      <c r="H74" s="165" t="s">
        <v>85</v>
      </c>
      <c r="I74" s="189">
        <f>'Данные - Крыша'!K39</f>
        <v>12</v>
      </c>
      <c r="J74" s="165">
        <f>'Данные - Крыша'!M39</f>
        <v>2500</v>
      </c>
      <c r="K74" s="378">
        <f t="shared" si="2"/>
        <v>30000</v>
      </c>
    </row>
    <row r="75" spans="1:11">
      <c r="A75" s="491"/>
      <c r="B75" s="131"/>
      <c r="C75" s="130"/>
      <c r="D75" s="130"/>
      <c r="E75" s="88"/>
      <c r="F75" s="130"/>
      <c r="G75" s="470" t="s">
        <v>667</v>
      </c>
      <c r="H75" s="165" t="s">
        <v>85</v>
      </c>
      <c r="I75" s="189">
        <f>'Данные - Крыша'!K40</f>
        <v>92</v>
      </c>
      <c r="J75" s="165">
        <f>'Данные - Крыша'!M40</f>
        <v>980</v>
      </c>
      <c r="K75" s="378">
        <f t="shared" si="2"/>
        <v>90160</v>
      </c>
    </row>
    <row r="76" spans="1:11">
      <c r="A76" s="491"/>
      <c r="B76" s="131"/>
      <c r="C76" s="130"/>
      <c r="D76" s="130"/>
      <c r="E76" s="88"/>
      <c r="F76" s="130"/>
      <c r="G76" s="470" t="s">
        <v>668</v>
      </c>
      <c r="H76" s="165" t="s">
        <v>85</v>
      </c>
      <c r="I76" s="189">
        <f>'Данные - Крыша'!K41</f>
        <v>2</v>
      </c>
      <c r="J76" s="165">
        <f>'Данные - Крыша'!M41</f>
        <v>2250</v>
      </c>
      <c r="K76" s="378">
        <f t="shared" si="2"/>
        <v>4500</v>
      </c>
    </row>
    <row r="77" spans="1:11">
      <c r="A77" s="491"/>
      <c r="B77" s="131"/>
      <c r="C77" s="130"/>
      <c r="D77" s="130"/>
      <c r="E77" s="88"/>
      <c r="F77" s="130"/>
      <c r="G77" s="470" t="s">
        <v>669</v>
      </c>
      <c r="H77" s="165" t="s">
        <v>85</v>
      </c>
      <c r="I77" s="189">
        <f>'Данные - Крыша'!K42</f>
        <v>1</v>
      </c>
      <c r="J77" s="165">
        <f>'Данные - Крыша'!M42</f>
        <v>1500</v>
      </c>
      <c r="K77" s="378">
        <f t="shared" si="2"/>
        <v>1500</v>
      </c>
    </row>
    <row r="78" spans="1:11">
      <c r="A78" s="491"/>
      <c r="B78" s="131"/>
      <c r="C78" s="130"/>
      <c r="D78" s="130"/>
      <c r="E78" s="88"/>
      <c r="F78" s="130"/>
      <c r="G78" s="470" t="s">
        <v>671</v>
      </c>
      <c r="H78" s="165" t="s">
        <v>85</v>
      </c>
      <c r="I78" s="189">
        <f>'Данные - Крыша'!K43</f>
        <v>0</v>
      </c>
      <c r="J78" s="165">
        <f>'Данные - Крыша'!M43</f>
        <v>980</v>
      </c>
      <c r="K78" s="378">
        <f t="shared" si="2"/>
        <v>0</v>
      </c>
    </row>
    <row r="79" spans="1:11">
      <c r="A79" s="491"/>
      <c r="B79" s="131"/>
      <c r="C79" s="130"/>
      <c r="D79" s="130"/>
      <c r="E79" s="88"/>
      <c r="F79" s="130"/>
      <c r="G79" s="470" t="s">
        <v>672</v>
      </c>
      <c r="H79" s="165" t="s">
        <v>85</v>
      </c>
      <c r="I79" s="189">
        <f>'Данные - Крыша'!K44</f>
        <v>0</v>
      </c>
      <c r="J79" s="165">
        <f>'Данные - Крыша'!M44</f>
        <v>2500</v>
      </c>
      <c r="K79" s="88">
        <f>[1]Данные!N44</f>
        <v>0</v>
      </c>
    </row>
    <row r="80" spans="1:11">
      <c r="A80" s="126"/>
      <c r="B80" s="125"/>
      <c r="C80" s="126"/>
      <c r="D80" s="1283" t="s">
        <v>157</v>
      </c>
      <c r="E80" s="1284"/>
      <c r="F80" s="124" t="e">
        <f>SUM(F39:F79)</f>
        <v>#VALUE!</v>
      </c>
      <c r="G80" s="125"/>
      <c r="H80" s="126"/>
      <c r="I80" s="1285" t="s">
        <v>158</v>
      </c>
      <c r="J80" s="1285"/>
      <c r="K80" s="505">
        <f>SUM(K39:K79)</f>
        <v>447885.1</v>
      </c>
    </row>
    <row r="81" spans="1:11">
      <c r="A81" s="1280" t="s">
        <v>783</v>
      </c>
      <c r="B81" s="1280"/>
      <c r="C81" s="126"/>
      <c r="D81" s="126"/>
      <c r="E81" s="127"/>
      <c r="F81" s="128"/>
      <c r="G81" s="125"/>
      <c r="H81" s="126"/>
      <c r="I81" s="498"/>
      <c r="J81" s="127"/>
      <c r="K81" s="128"/>
    </row>
    <row r="82" spans="1:11">
      <c r="A82" s="491" t="s">
        <v>146</v>
      </c>
      <c r="B82" s="131" t="s">
        <v>784</v>
      </c>
      <c r="C82" s="130" t="s">
        <v>86</v>
      </c>
      <c r="D82" s="130">
        <f>'материал - работа'!E72</f>
        <v>24</v>
      </c>
      <c r="E82" s="88">
        <f>'Данные - Крыша'!K77</f>
        <v>650</v>
      </c>
      <c r="F82" s="130">
        <f>D82*E82</f>
        <v>15600</v>
      </c>
      <c r="G82" s="470" t="s">
        <v>719</v>
      </c>
      <c r="H82" s="165" t="s">
        <v>85</v>
      </c>
      <c r="I82" s="88">
        <f>'Данные - Крыша'!C71</f>
        <v>8</v>
      </c>
      <c r="J82" s="88">
        <f>'Данные - Крыша'!E71</f>
        <v>5</v>
      </c>
      <c r="K82" s="378">
        <f>I82*J82</f>
        <v>40</v>
      </c>
    </row>
    <row r="83" spans="1:11">
      <c r="A83" s="491" t="s">
        <v>164</v>
      </c>
      <c r="B83" s="131" t="s">
        <v>785</v>
      </c>
      <c r="C83" s="130" t="s">
        <v>86</v>
      </c>
      <c r="D83" s="130">
        <f>'материал - работа'!E71</f>
        <v>16</v>
      </c>
      <c r="E83" s="88">
        <f>'Данные - Крыша'!K76</f>
        <v>350</v>
      </c>
      <c r="F83" s="130">
        <f>D83*E83</f>
        <v>5600</v>
      </c>
      <c r="G83" s="470" t="s">
        <v>720</v>
      </c>
      <c r="H83" s="165" t="s">
        <v>85</v>
      </c>
      <c r="I83" s="88">
        <f>'Данные - Крыша'!C72</f>
        <v>2</v>
      </c>
      <c r="J83" s="88">
        <f>'Данные - Крыша'!E72</f>
        <v>5</v>
      </c>
      <c r="K83" s="378">
        <f t="shared" ref="K83:K93" si="3">I83*J83</f>
        <v>10</v>
      </c>
    </row>
    <row r="84" spans="1:11">
      <c r="A84" s="491"/>
      <c r="B84" s="131"/>
      <c r="C84" s="130"/>
      <c r="D84" s="130"/>
      <c r="E84" s="88"/>
      <c r="F84" s="130"/>
      <c r="G84" s="470" t="s">
        <v>721</v>
      </c>
      <c r="H84" s="165" t="s">
        <v>85</v>
      </c>
      <c r="I84" s="88">
        <f>'Данные - Крыша'!C73</f>
        <v>38</v>
      </c>
      <c r="J84" s="88">
        <f>'Данные - Крыша'!E73</f>
        <v>5</v>
      </c>
      <c r="K84" s="378">
        <f t="shared" si="3"/>
        <v>190</v>
      </c>
    </row>
    <row r="85" spans="1:11">
      <c r="A85" s="491"/>
      <c r="B85" s="131"/>
      <c r="C85" s="130"/>
      <c r="D85" s="130"/>
      <c r="E85" s="88"/>
      <c r="F85" s="130"/>
      <c r="G85" s="470" t="s">
        <v>722</v>
      </c>
      <c r="H85" s="165" t="s">
        <v>85</v>
      </c>
      <c r="I85" s="88">
        <f>'Данные - Крыша'!C74</f>
        <v>10</v>
      </c>
      <c r="J85" s="88">
        <f>'Данные - Крыша'!E74</f>
        <v>5</v>
      </c>
      <c r="K85" s="378">
        <f t="shared" si="3"/>
        <v>50</v>
      </c>
    </row>
    <row r="86" spans="1:11">
      <c r="A86" s="491"/>
      <c r="B86" s="131"/>
      <c r="C86" s="130"/>
      <c r="D86" s="130"/>
      <c r="E86" s="88"/>
      <c r="F86" s="130"/>
      <c r="G86" s="470" t="s">
        <v>723</v>
      </c>
      <c r="H86" s="165" t="s">
        <v>85</v>
      </c>
      <c r="I86" s="88">
        <f>'Данные - Крыша'!C75</f>
        <v>4</v>
      </c>
      <c r="J86" s="88">
        <f>'Данные - Крыша'!E75</f>
        <v>5</v>
      </c>
      <c r="K86" s="378">
        <f t="shared" si="3"/>
        <v>20</v>
      </c>
    </row>
    <row r="87" spans="1:11">
      <c r="A87" s="491"/>
      <c r="B87" s="131"/>
      <c r="C87" s="130"/>
      <c r="D87" s="130"/>
      <c r="E87" s="88"/>
      <c r="F87" s="130"/>
      <c r="G87" s="470" t="s">
        <v>724</v>
      </c>
      <c r="H87" s="165" t="s">
        <v>85</v>
      </c>
      <c r="I87" s="88">
        <f>'Данные - Крыша'!C76</f>
        <v>8</v>
      </c>
      <c r="J87" s="88">
        <f>'Данные - Крыша'!E76</f>
        <v>5</v>
      </c>
      <c r="K87" s="378">
        <f t="shared" si="3"/>
        <v>40</v>
      </c>
    </row>
    <row r="88" spans="1:11">
      <c r="A88" s="491"/>
      <c r="B88" s="131"/>
      <c r="C88" s="130"/>
      <c r="D88" s="130"/>
      <c r="E88" s="88"/>
      <c r="F88" s="130"/>
      <c r="G88" s="470" t="s">
        <v>725</v>
      </c>
      <c r="H88" s="165" t="s">
        <v>85</v>
      </c>
      <c r="I88" s="88">
        <f>'Данные - Крыша'!C77</f>
        <v>4</v>
      </c>
      <c r="J88" s="88">
        <f>'Данные - Крыша'!E77</f>
        <v>5</v>
      </c>
      <c r="K88" s="378">
        <f t="shared" si="3"/>
        <v>20</v>
      </c>
    </row>
    <row r="89" spans="1:11">
      <c r="A89" s="491"/>
      <c r="B89" s="131"/>
      <c r="C89" s="130"/>
      <c r="D89" s="130"/>
      <c r="E89" s="88"/>
      <c r="F89" s="130"/>
      <c r="G89" s="470" t="s">
        <v>726</v>
      </c>
      <c r="H89" s="165" t="s">
        <v>85</v>
      </c>
      <c r="I89" s="88">
        <f>'Данные - Крыша'!C78</f>
        <v>4</v>
      </c>
      <c r="J89" s="88">
        <f>'Данные - Крыша'!E78</f>
        <v>5</v>
      </c>
      <c r="K89" s="378">
        <f t="shared" si="3"/>
        <v>20</v>
      </c>
    </row>
    <row r="90" spans="1:11">
      <c r="A90" s="491"/>
      <c r="B90" s="131"/>
      <c r="C90" s="130"/>
      <c r="D90" s="130"/>
      <c r="E90" s="88"/>
      <c r="F90" s="130"/>
      <c r="G90" s="470" t="s">
        <v>727</v>
      </c>
      <c r="H90" s="165" t="s">
        <v>85</v>
      </c>
      <c r="I90" s="88">
        <f>'Данные - Крыша'!C79</f>
        <v>4</v>
      </c>
      <c r="J90" s="88">
        <f>'Данные - Крыша'!E79</f>
        <v>5</v>
      </c>
      <c r="K90" s="378">
        <f t="shared" si="3"/>
        <v>20</v>
      </c>
    </row>
    <row r="91" spans="1:11">
      <c r="A91" s="491"/>
      <c r="B91" s="131"/>
      <c r="C91" s="130"/>
      <c r="D91" s="130"/>
      <c r="E91" s="88"/>
      <c r="F91" s="130"/>
      <c r="G91" s="470" t="s">
        <v>728</v>
      </c>
      <c r="H91" s="165" t="s">
        <v>85</v>
      </c>
      <c r="I91" s="88">
        <f>'Данные - Крыша'!C80</f>
        <v>12</v>
      </c>
      <c r="J91" s="88">
        <f>'Данные - Крыша'!E80</f>
        <v>5</v>
      </c>
      <c r="K91" s="378">
        <f t="shared" si="3"/>
        <v>60</v>
      </c>
    </row>
    <row r="92" spans="1:11">
      <c r="A92" s="491"/>
      <c r="B92" s="131"/>
      <c r="C92" s="130"/>
      <c r="D92" s="130"/>
      <c r="E92" s="88"/>
      <c r="F92" s="130"/>
      <c r="G92" s="470" t="s">
        <v>729</v>
      </c>
      <c r="H92" s="165" t="s">
        <v>85</v>
      </c>
      <c r="I92" s="88">
        <f>'Данные - Крыша'!C81</f>
        <v>0</v>
      </c>
      <c r="J92" s="88">
        <f>'Данные - Крыша'!E81</f>
        <v>5</v>
      </c>
      <c r="K92" s="378">
        <f t="shared" si="3"/>
        <v>0</v>
      </c>
    </row>
    <row r="93" spans="1:11" ht="16">
      <c r="A93" s="491"/>
      <c r="B93" s="131"/>
      <c r="C93" s="130"/>
      <c r="D93" s="130"/>
      <c r="E93" s="88"/>
      <c r="F93" s="130"/>
      <c r="G93" s="470" t="s">
        <v>730</v>
      </c>
      <c r="H93" s="165" t="s">
        <v>85</v>
      </c>
      <c r="I93" s="88">
        <f>'Данные - Крыша'!C82</f>
        <v>2</v>
      </c>
      <c r="J93" s="88">
        <f>'Данные - Крыша'!E82</f>
        <v>5</v>
      </c>
      <c r="K93" s="378">
        <f t="shared" si="3"/>
        <v>10</v>
      </c>
    </row>
    <row r="94" spans="1:11" ht="16">
      <c r="A94" s="491"/>
      <c r="B94" s="131"/>
      <c r="C94" s="130"/>
      <c r="D94" s="130"/>
      <c r="E94" s="88"/>
      <c r="F94" s="130"/>
      <c r="G94" s="470" t="s">
        <v>731</v>
      </c>
      <c r="H94" s="165" t="s">
        <v>85</v>
      </c>
      <c r="I94" s="88">
        <f>'Данные - Крыша'!C83</f>
        <v>0</v>
      </c>
      <c r="J94" s="88">
        <f>'Данные - Крыша'!E83</f>
        <v>5</v>
      </c>
      <c r="K94" s="88">
        <f>I94*J94</f>
        <v>0</v>
      </c>
    </row>
    <row r="95" spans="1:11">
      <c r="A95" s="500"/>
      <c r="B95" s="125"/>
      <c r="C95" s="126"/>
      <c r="D95" s="1283" t="s">
        <v>157</v>
      </c>
      <c r="E95" s="1284"/>
      <c r="F95" s="124">
        <f>SUM(F82:F94)</f>
        <v>21200</v>
      </c>
      <c r="G95" s="501"/>
      <c r="H95" s="502"/>
      <c r="I95" s="1285" t="s">
        <v>158</v>
      </c>
      <c r="J95" s="1286"/>
      <c r="K95" s="227">
        <f>SUM(K82:K94)</f>
        <v>480</v>
      </c>
    </row>
    <row r="96" spans="1:11">
      <c r="A96" s="1231" t="s">
        <v>786</v>
      </c>
      <c r="B96" s="1231"/>
      <c r="C96" s="126"/>
      <c r="D96" s="127"/>
      <c r="E96" s="127"/>
      <c r="F96" s="128"/>
      <c r="G96" s="125"/>
      <c r="H96" s="126"/>
      <c r="I96" s="129"/>
      <c r="J96" s="129"/>
      <c r="K96" s="128"/>
    </row>
    <row r="97" spans="1:11">
      <c r="A97" s="491" t="s">
        <v>146</v>
      </c>
      <c r="B97" s="131" t="s">
        <v>784</v>
      </c>
      <c r="C97" s="130" t="s">
        <v>86</v>
      </c>
      <c r="D97" s="130">
        <f>'материал - работа'!F72</f>
        <v>24</v>
      </c>
      <c r="E97" s="88">
        <f>'Данные - Крыша'!K77</f>
        <v>650</v>
      </c>
      <c r="F97" s="130">
        <f>D97*E97</f>
        <v>15600</v>
      </c>
      <c r="G97" s="470" t="s">
        <v>719</v>
      </c>
      <c r="H97" s="165" t="s">
        <v>85</v>
      </c>
      <c r="I97" s="407">
        <f>'Данные - Крыша'!C87</f>
        <v>8</v>
      </c>
      <c r="J97" s="88">
        <f>'Данные - Крыша'!E87</f>
        <v>5</v>
      </c>
      <c r="K97" s="378">
        <f>I97*J97</f>
        <v>40</v>
      </c>
    </row>
    <row r="98" spans="1:11">
      <c r="A98" s="491" t="s">
        <v>164</v>
      </c>
      <c r="B98" s="131" t="s">
        <v>785</v>
      </c>
      <c r="C98" s="130" t="s">
        <v>86</v>
      </c>
      <c r="D98" s="130">
        <f>'материал - работа'!F71</f>
        <v>16</v>
      </c>
      <c r="E98" s="88">
        <f>'Данные - Крыша'!K76</f>
        <v>350</v>
      </c>
      <c r="F98" s="130">
        <f>D98*E98</f>
        <v>5600</v>
      </c>
      <c r="G98" s="470" t="s">
        <v>720</v>
      </c>
      <c r="H98" s="165" t="s">
        <v>85</v>
      </c>
      <c r="I98" s="407">
        <f>'Данные - Крыша'!C88</f>
        <v>6</v>
      </c>
      <c r="J98" s="88">
        <f>'Данные - Крыша'!E88</f>
        <v>5</v>
      </c>
      <c r="K98" s="378">
        <f t="shared" ref="K98:K109" si="4">I98*J98</f>
        <v>30</v>
      </c>
    </row>
    <row r="99" spans="1:11">
      <c r="A99" s="491"/>
      <c r="B99" s="131"/>
      <c r="C99" s="130"/>
      <c r="D99" s="130"/>
      <c r="E99" s="88"/>
      <c r="F99" s="130"/>
      <c r="G99" s="470" t="s">
        <v>721</v>
      </c>
      <c r="H99" s="165" t="s">
        <v>85</v>
      </c>
      <c r="I99" s="407">
        <f>'Данные - Крыша'!C89</f>
        <v>32</v>
      </c>
      <c r="J99" s="88">
        <f>'Данные - Крыша'!E89</f>
        <v>5</v>
      </c>
      <c r="K99" s="378">
        <f t="shared" si="4"/>
        <v>160</v>
      </c>
    </row>
    <row r="100" spans="1:11">
      <c r="A100" s="491"/>
      <c r="B100" s="131"/>
      <c r="C100" s="130"/>
      <c r="D100" s="130"/>
      <c r="E100" s="88"/>
      <c r="F100" s="130"/>
      <c r="G100" s="470" t="s">
        <v>722</v>
      </c>
      <c r="H100" s="165" t="s">
        <v>85</v>
      </c>
      <c r="I100" s="407">
        <f>'Данные - Крыша'!C90</f>
        <v>10</v>
      </c>
      <c r="J100" s="88">
        <f>'Данные - Крыша'!E90</f>
        <v>5</v>
      </c>
      <c r="K100" s="378">
        <f t="shared" si="4"/>
        <v>50</v>
      </c>
    </row>
    <row r="101" spans="1:11">
      <c r="A101" s="491"/>
      <c r="B101" s="131"/>
      <c r="C101" s="130"/>
      <c r="D101" s="130"/>
      <c r="E101" s="88"/>
      <c r="F101" s="130"/>
      <c r="G101" s="470" t="s">
        <v>723</v>
      </c>
      <c r="H101" s="165" t="s">
        <v>85</v>
      </c>
      <c r="I101" s="407">
        <f>'Данные - Крыша'!C91</f>
        <v>4</v>
      </c>
      <c r="J101" s="88">
        <f>'Данные - Крыша'!E91</f>
        <v>5</v>
      </c>
      <c r="K101" s="378">
        <f t="shared" si="4"/>
        <v>20</v>
      </c>
    </row>
    <row r="102" spans="1:11">
      <c r="A102" s="491"/>
      <c r="B102" s="131"/>
      <c r="C102" s="130"/>
      <c r="D102" s="130"/>
      <c r="E102" s="88"/>
      <c r="F102" s="130"/>
      <c r="G102" s="535" t="s">
        <v>724</v>
      </c>
      <c r="H102" s="165" t="s">
        <v>85</v>
      </c>
      <c r="I102" s="407">
        <f>'Данные - Крыша'!C92</f>
        <v>8</v>
      </c>
      <c r="J102" s="88">
        <f>'Данные - Крыша'!E92</f>
        <v>5</v>
      </c>
      <c r="K102" s="378">
        <f t="shared" si="4"/>
        <v>40</v>
      </c>
    </row>
    <row r="103" spans="1:11">
      <c r="A103" s="491"/>
      <c r="B103" s="131"/>
      <c r="C103" s="130"/>
      <c r="D103" s="130"/>
      <c r="E103" s="88"/>
      <c r="F103" s="130"/>
      <c r="G103" s="535" t="s">
        <v>725</v>
      </c>
      <c r="H103" s="165" t="s">
        <v>85</v>
      </c>
      <c r="I103" s="407">
        <f>'Данные - Крыша'!C93</f>
        <v>4</v>
      </c>
      <c r="J103" s="88">
        <f>'Данные - Крыша'!E93</f>
        <v>5</v>
      </c>
      <c r="K103" s="378">
        <f t="shared" si="4"/>
        <v>20</v>
      </c>
    </row>
    <row r="104" spans="1:11">
      <c r="A104" s="491"/>
      <c r="B104" s="131"/>
      <c r="C104" s="130"/>
      <c r="D104" s="130"/>
      <c r="E104" s="88"/>
      <c r="F104" s="130"/>
      <c r="G104" s="535" t="s">
        <v>726</v>
      </c>
      <c r="H104" s="165" t="s">
        <v>85</v>
      </c>
      <c r="I104" s="407">
        <f>'Данные - Крыша'!C94</f>
        <v>4</v>
      </c>
      <c r="J104" s="88">
        <f>'Данные - Крыша'!E94</f>
        <v>5</v>
      </c>
      <c r="K104" s="378">
        <f t="shared" si="4"/>
        <v>20</v>
      </c>
    </row>
    <row r="105" spans="1:11">
      <c r="A105" s="491"/>
      <c r="B105" s="131"/>
      <c r="C105" s="130"/>
      <c r="D105" s="130"/>
      <c r="E105" s="88"/>
      <c r="F105" s="130"/>
      <c r="G105" s="535" t="s">
        <v>727</v>
      </c>
      <c r="H105" s="165" t="s">
        <v>85</v>
      </c>
      <c r="I105" s="407">
        <f>'Данные - Крыша'!C95</f>
        <v>4</v>
      </c>
      <c r="J105" s="88">
        <f>'Данные - Крыша'!E95</f>
        <v>5</v>
      </c>
      <c r="K105" s="378">
        <f t="shared" si="4"/>
        <v>20</v>
      </c>
    </row>
    <row r="106" spans="1:11">
      <c r="A106" s="491"/>
      <c r="B106" s="131"/>
      <c r="C106" s="130"/>
      <c r="D106" s="130"/>
      <c r="E106" s="88"/>
      <c r="F106" s="130"/>
      <c r="G106" s="535" t="s">
        <v>728</v>
      </c>
      <c r="H106" s="165" t="s">
        <v>85</v>
      </c>
      <c r="I106" s="407">
        <f>'Данные - Крыша'!C96</f>
        <v>12</v>
      </c>
      <c r="J106" s="88">
        <f>'Данные - Крыша'!E96</f>
        <v>5</v>
      </c>
      <c r="K106" s="378">
        <f t="shared" si="4"/>
        <v>60</v>
      </c>
    </row>
    <row r="107" spans="1:11">
      <c r="A107" s="491"/>
      <c r="B107" s="131"/>
      <c r="C107" s="130"/>
      <c r="D107" s="130"/>
      <c r="E107" s="88"/>
      <c r="F107" s="130"/>
      <c r="G107" s="535" t="s">
        <v>733</v>
      </c>
      <c r="H107" s="165" t="s">
        <v>85</v>
      </c>
      <c r="I107" s="407">
        <f>'Данные - Крыша'!C97</f>
        <v>2</v>
      </c>
      <c r="J107" s="88">
        <f>'Данные - Крыша'!E97</f>
        <v>5</v>
      </c>
      <c r="K107" s="378">
        <f t="shared" si="4"/>
        <v>10</v>
      </c>
    </row>
    <row r="108" spans="1:11">
      <c r="A108" s="491"/>
      <c r="B108" s="131"/>
      <c r="C108" s="130"/>
      <c r="D108" s="130"/>
      <c r="E108" s="88"/>
      <c r="F108" s="130"/>
      <c r="G108" s="535" t="s">
        <v>734</v>
      </c>
      <c r="H108" s="165" t="s">
        <v>85</v>
      </c>
      <c r="I108" s="407">
        <f>'Данные - Крыша'!C98</f>
        <v>0</v>
      </c>
      <c r="J108" s="88">
        <f>'Данные - Крыша'!E98</f>
        <v>5</v>
      </c>
      <c r="K108" s="378">
        <f t="shared" si="4"/>
        <v>0</v>
      </c>
    </row>
    <row r="109" spans="1:11">
      <c r="A109" s="491"/>
      <c r="B109" s="131"/>
      <c r="C109" s="130"/>
      <c r="D109" s="130"/>
      <c r="E109" s="88"/>
      <c r="F109" s="130"/>
      <c r="G109" s="535" t="s">
        <v>735</v>
      </c>
      <c r="H109" s="165" t="s">
        <v>85</v>
      </c>
      <c r="I109" s="407">
        <f>'Данные - Крыша'!C99</f>
        <v>0</v>
      </c>
      <c r="J109" s="88">
        <f>'Данные - Крыша'!E99</f>
        <v>5</v>
      </c>
      <c r="K109" s="378">
        <f t="shared" si="4"/>
        <v>0</v>
      </c>
    </row>
    <row r="110" spans="1:11">
      <c r="A110" s="126"/>
      <c r="B110" s="125"/>
      <c r="C110" s="126"/>
      <c r="D110" s="1283" t="s">
        <v>157</v>
      </c>
      <c r="E110" s="1284"/>
      <c r="F110" s="124">
        <f>SUM(F97:F109)</f>
        <v>21200</v>
      </c>
      <c r="G110" s="125"/>
      <c r="H110" s="126"/>
      <c r="I110" s="1285" t="s">
        <v>158</v>
      </c>
      <c r="J110" s="1286"/>
      <c r="K110" s="227">
        <f>SUM(K97:K109)</f>
        <v>470</v>
      </c>
    </row>
    <row r="111" spans="1:11">
      <c r="A111" s="1231" t="s">
        <v>226</v>
      </c>
      <c r="B111" s="1231"/>
      <c r="C111" s="126"/>
      <c r="D111" s="127"/>
      <c r="E111" s="127"/>
      <c r="F111" s="128"/>
      <c r="G111" s="125"/>
      <c r="H111" s="126"/>
      <c r="I111" s="129"/>
      <c r="J111" s="129"/>
      <c r="K111" s="128"/>
    </row>
    <row r="112" spans="1:11">
      <c r="A112" s="130"/>
      <c r="B112" s="131" t="s">
        <v>716</v>
      </c>
      <c r="C112" s="130" t="s">
        <v>63</v>
      </c>
      <c r="D112" s="486" t="e">
        <f>'материал - работа'!J65</f>
        <v>#VALUE!</v>
      </c>
      <c r="E112" s="132">
        <f>'Данные - Крыша'!K78</f>
        <v>500</v>
      </c>
      <c r="F112" s="130" t="e">
        <f>D112*E112</f>
        <v>#VALUE!</v>
      </c>
      <c r="G112" s="406" t="s">
        <v>787</v>
      </c>
      <c r="H112" s="190" t="s">
        <v>167</v>
      </c>
      <c r="I112" s="449" t="e">
        <f>ROUNDUP('материал - работа'!E52,0)</f>
        <v>#VALUE!</v>
      </c>
      <c r="J112" s="115">
        <f>'Данные - Крыша'!E47</f>
        <v>0</v>
      </c>
      <c r="K112" s="130" t="e">
        <f t="shared" ref="K112:K113" si="5">I112*J112</f>
        <v>#VALUE!</v>
      </c>
    </row>
    <row r="113" spans="1:11">
      <c r="A113" s="130"/>
      <c r="B113" s="131" t="s">
        <v>717</v>
      </c>
      <c r="C113" s="130" t="s">
        <v>654</v>
      </c>
      <c r="D113" s="486" t="e">
        <f>'материал - работа'!E75/1000*1.05</f>
        <v>#VALUE!</v>
      </c>
      <c r="E113" s="132">
        <f>'Данные - Крыша'!C68</f>
        <v>0</v>
      </c>
      <c r="F113" s="543" t="e">
        <f>D113*E113</f>
        <v>#VALUE!</v>
      </c>
      <c r="G113" s="406" t="s">
        <v>788</v>
      </c>
      <c r="H113" s="190" t="s">
        <v>167</v>
      </c>
      <c r="I113" s="135">
        <f>'материал - работа'!E53</f>
        <v>1</v>
      </c>
      <c r="J113" s="135">
        <f>'Данные - Крыша'!E48</f>
        <v>10000</v>
      </c>
      <c r="K113" s="130">
        <f t="shared" si="5"/>
        <v>10000</v>
      </c>
    </row>
    <row r="114" spans="1:11">
      <c r="A114" s="126"/>
      <c r="B114" s="125"/>
      <c r="C114" s="126"/>
      <c r="D114" s="1287" t="s">
        <v>157</v>
      </c>
      <c r="E114" s="1288"/>
      <c r="F114" s="138" t="e">
        <f>SUM(F112:F113)</f>
        <v>#VALUE!</v>
      </c>
      <c r="G114" s="125"/>
      <c r="H114" s="126"/>
      <c r="I114" s="1244" t="s">
        <v>20</v>
      </c>
      <c r="J114" s="1245"/>
      <c r="K114" s="138" t="e">
        <f>SUM(K112:K113)</f>
        <v>#VALUE!</v>
      </c>
    </row>
    <row r="115" spans="1:11" ht="13.75" customHeight="1">
      <c r="A115" s="126"/>
      <c r="B115" s="125"/>
      <c r="C115" s="126"/>
      <c r="D115" s="127"/>
      <c r="E115" s="127"/>
      <c r="F115" s="128"/>
      <c r="G115" s="125"/>
      <c r="H115" s="126"/>
      <c r="I115" s="129"/>
      <c r="J115" s="129"/>
      <c r="K115" s="128"/>
    </row>
    <row r="117" spans="1:11">
      <c r="C117" s="1195" t="s">
        <v>170</v>
      </c>
      <c r="D117" s="1195"/>
      <c r="E117" s="1195"/>
      <c r="F117" s="1195"/>
      <c r="G117" s="539" t="e">
        <f>F16+F37+F80+F114+F95+F110</f>
        <v>#VALUE!</v>
      </c>
    </row>
    <row r="118" spans="1:11">
      <c r="C118" s="1195" t="s">
        <v>171</v>
      </c>
      <c r="D118" s="1195"/>
      <c r="E118" s="1195"/>
      <c r="F118" s="1195"/>
      <c r="G118" s="539" t="e">
        <f>G117*0.03</f>
        <v>#VALUE!</v>
      </c>
    </row>
    <row r="119" spans="1:11" ht="13.75" customHeight="1">
      <c r="C119" s="1195" t="s">
        <v>789</v>
      </c>
      <c r="D119" s="1195"/>
      <c r="E119" s="1195"/>
      <c r="F119" s="1195"/>
      <c r="G119" s="539" t="e">
        <f>G117*0.1</f>
        <v>#VALUE!</v>
      </c>
    </row>
    <row r="120" spans="1:11">
      <c r="C120" s="1195" t="s">
        <v>20</v>
      </c>
      <c r="D120" s="1195"/>
      <c r="E120" s="1195"/>
      <c r="F120" s="1195"/>
      <c r="G120" s="539" t="e">
        <f>G117+G118+G119</f>
        <v>#VALUE!</v>
      </c>
    </row>
    <row r="121" spans="1:11">
      <c r="C121" s="1195" t="s">
        <v>173</v>
      </c>
      <c r="D121" s="1195"/>
      <c r="E121" s="1195"/>
      <c r="F121" s="1195"/>
      <c r="G121" s="539" t="e">
        <f>K16+K37+K80</f>
        <v>#VALUE!</v>
      </c>
    </row>
    <row r="122" spans="1:11">
      <c r="C122" s="1195" t="s">
        <v>174</v>
      </c>
      <c r="D122" s="1195"/>
      <c r="E122" s="1195"/>
      <c r="F122" s="1195"/>
      <c r="G122" s="539" t="e">
        <f>K114</f>
        <v>#VALUE!</v>
      </c>
    </row>
    <row r="123" spans="1:11">
      <c r="C123" s="1195" t="s">
        <v>20</v>
      </c>
      <c r="D123" s="1195"/>
      <c r="E123" s="1195"/>
      <c r="F123" s="1195"/>
      <c r="G123" s="539" t="e">
        <f>G121+G122</f>
        <v>#VALUE!</v>
      </c>
    </row>
    <row r="124" spans="1:11">
      <c r="C124" s="1246" t="s">
        <v>790</v>
      </c>
      <c r="D124" s="1246"/>
      <c r="E124" s="1246"/>
      <c r="F124" s="1246"/>
      <c r="G124" s="540" t="e">
        <f>G120+G123</f>
        <v>#VALUE!</v>
      </c>
    </row>
    <row r="125" spans="1:11" ht="16" thickBot="1">
      <c r="C125" s="1198" t="s">
        <v>176</v>
      </c>
      <c r="D125" s="1293"/>
      <c r="E125" s="1293"/>
      <c r="F125" s="1199"/>
      <c r="G125" s="541" t="e">
        <f>G117*0.03</f>
        <v>#VALUE!</v>
      </c>
    </row>
    <row r="126" spans="1:11" s="147" customFormat="1" ht="17" thickBot="1">
      <c r="A126"/>
      <c r="B126"/>
      <c r="C126" s="1248" t="s">
        <v>791</v>
      </c>
      <c r="D126" s="1249"/>
      <c r="E126" s="1249"/>
      <c r="F126" s="1250"/>
      <c r="G126" s="542" t="e">
        <f>G124+G125</f>
        <v>#VALUE!</v>
      </c>
      <c r="H126"/>
      <c r="I126" s="145"/>
      <c r="J126" s="146"/>
      <c r="K126"/>
    </row>
    <row r="127" spans="1:11" s="147" customFormat="1">
      <c r="A127"/>
      <c r="B127"/>
      <c r="C127"/>
      <c r="D127"/>
      <c r="E127"/>
      <c r="F127"/>
      <c r="G127"/>
      <c r="H127"/>
      <c r="I127"/>
      <c r="J127"/>
      <c r="K127"/>
    </row>
    <row r="128" spans="1:11" s="147" customFormat="1" ht="14">
      <c r="F128" s="148"/>
      <c r="G128" s="149"/>
    </row>
    <row r="129" spans="1:11" s="147" customFormat="1" ht="14">
      <c r="F129" s="148"/>
      <c r="G129" s="150"/>
    </row>
    <row r="130" spans="1:11" ht="16">
      <c r="A130" s="147"/>
      <c r="B130" s="147"/>
      <c r="C130" s="147"/>
      <c r="D130" s="147"/>
      <c r="E130" s="147"/>
      <c r="F130" s="148"/>
      <c r="G130" s="151"/>
      <c r="H130" s="147"/>
      <c r="I130" s="147"/>
      <c r="J130" s="147"/>
      <c r="K130" s="147"/>
    </row>
    <row r="131" spans="1:11">
      <c r="A131" s="147"/>
      <c r="B131" s="147"/>
      <c r="C131" s="147"/>
      <c r="D131" s="147"/>
      <c r="E131" s="147"/>
      <c r="F131" s="148"/>
      <c r="G131" s="150"/>
      <c r="H131" s="147"/>
      <c r="I131" s="147"/>
      <c r="J131" s="147"/>
      <c r="K131" s="147"/>
    </row>
    <row r="132" spans="1:11">
      <c r="F132" s="152"/>
      <c r="G132" s="153"/>
    </row>
    <row r="133" spans="1:11">
      <c r="G133" s="154"/>
    </row>
    <row r="134" spans="1:11">
      <c r="G134" s="321"/>
    </row>
    <row r="135" spans="1:11">
      <c r="G135" s="155"/>
    </row>
    <row r="136" spans="1:11">
      <c r="G136" s="321"/>
    </row>
    <row r="137" spans="1:11">
      <c r="G137" s="155"/>
    </row>
    <row r="138" spans="1:11">
      <c r="G138" s="321"/>
    </row>
    <row r="139" spans="1:11">
      <c r="G139" s="155"/>
    </row>
    <row r="140" spans="1:11">
      <c r="G140" s="321"/>
    </row>
    <row r="141" spans="1:11">
      <c r="G141" s="155"/>
    </row>
    <row r="142" spans="1:11">
      <c r="G142" s="321"/>
    </row>
    <row r="143" spans="1:11">
      <c r="G143" s="37"/>
    </row>
  </sheetData>
  <customSheetViews>
    <customSheetView guid="{3274156B-1D2A-4448-883E-F1EEF1AAE0AF}" topLeftCell="A100">
      <selection activeCell="I11" sqref="I11"/>
      <pageMargins left="0.7" right="0.7" top="0.75" bottom="0.75" header="0.3" footer="0.3"/>
    </customSheetView>
  </customSheetViews>
  <mergeCells count="40">
    <mergeCell ref="C126:F126"/>
    <mergeCell ref="C120:F120"/>
    <mergeCell ref="C121:F121"/>
    <mergeCell ref="C122:F122"/>
    <mergeCell ref="C123:F123"/>
    <mergeCell ref="C124:F124"/>
    <mergeCell ref="C125:F125"/>
    <mergeCell ref="C119:F119"/>
    <mergeCell ref="A81:B81"/>
    <mergeCell ref="D95:E95"/>
    <mergeCell ref="I95:J95"/>
    <mergeCell ref="A96:B96"/>
    <mergeCell ref="D110:E110"/>
    <mergeCell ref="I110:J110"/>
    <mergeCell ref="A111:B111"/>
    <mergeCell ref="D114:E114"/>
    <mergeCell ref="I114:J114"/>
    <mergeCell ref="C117:F117"/>
    <mergeCell ref="C118:F118"/>
    <mergeCell ref="D80:E80"/>
    <mergeCell ref="I80:J80"/>
    <mergeCell ref="A6:B6"/>
    <mergeCell ref="D6:F6"/>
    <mergeCell ref="I6:K6"/>
    <mergeCell ref="A7:K7"/>
    <mergeCell ref="A8:G8"/>
    <mergeCell ref="A12:B12"/>
    <mergeCell ref="D16:E16"/>
    <mergeCell ref="I16:J16"/>
    <mergeCell ref="D37:E37"/>
    <mergeCell ref="I37:J37"/>
    <mergeCell ref="A38:B38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526C-0DE2-4BFB-94A6-62E9918171F9}">
  <sheetPr codeName="Sheet12"/>
  <dimension ref="A1:K73"/>
  <sheetViews>
    <sheetView topLeftCell="A7" workbookViewId="0">
      <selection activeCell="E24" sqref="E24"/>
    </sheetView>
  </sheetViews>
  <sheetFormatPr baseColWidth="10" defaultColWidth="9.1640625" defaultRowHeight="14"/>
  <cols>
    <col min="1" max="1" width="7" style="506" customWidth="1"/>
    <col min="2" max="2" width="45.33203125" style="506" bestFit="1" customWidth="1"/>
    <col min="3" max="4" width="9.1640625" style="506"/>
    <col min="5" max="5" width="12.6640625" style="506" customWidth="1"/>
    <col min="6" max="6" width="16.1640625" style="506" customWidth="1"/>
    <col min="7" max="7" width="41.5" style="506" customWidth="1"/>
    <col min="8" max="8" width="11.83203125" style="506" customWidth="1"/>
    <col min="9" max="9" width="11.1640625" style="506" bestFit="1" customWidth="1"/>
    <col min="10" max="10" width="12.1640625" style="506" customWidth="1"/>
    <col min="11" max="11" width="13.6640625" style="506" customWidth="1"/>
    <col min="12" max="16384" width="9.1640625" style="506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>
      <c r="A8" s="1232" t="s">
        <v>795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507"/>
      <c r="B11" s="507"/>
      <c r="C11" s="507"/>
      <c r="D11" s="508"/>
      <c r="E11" s="508"/>
      <c r="F11" s="508"/>
      <c r="G11" s="508"/>
      <c r="H11" s="508"/>
      <c r="I11" s="508"/>
      <c r="J11" s="508"/>
      <c r="K11" s="508"/>
    </row>
    <row r="12" spans="1:11">
      <c r="A12" s="1280" t="s">
        <v>767</v>
      </c>
      <c r="B12" s="1280"/>
      <c r="C12" s="126"/>
      <c r="D12" s="127"/>
      <c r="E12" s="127"/>
      <c r="F12" s="128"/>
      <c r="G12" s="125"/>
      <c r="H12" s="126"/>
      <c r="I12" s="129"/>
      <c r="J12" s="127"/>
      <c r="K12" s="128"/>
    </row>
    <row r="13" spans="1:11" ht="15">
      <c r="A13" s="491" t="s">
        <v>146</v>
      </c>
      <c r="B13" s="131" t="s">
        <v>768</v>
      </c>
      <c r="C13" s="130" t="s">
        <v>160</v>
      </c>
      <c r="D13" s="130" t="str">
        <f>'Данные - Крыша'!C4</f>
        <v>DB-size</v>
      </c>
      <c r="E13" s="132">
        <f>'Данные - Крыша'!C57</f>
        <v>0</v>
      </c>
      <c r="F13" s="130" t="e">
        <f>D13*E13</f>
        <v>#VALUE!</v>
      </c>
      <c r="G13" s="96" t="s">
        <v>755</v>
      </c>
      <c r="H13" s="193" t="s">
        <v>63</v>
      </c>
      <c r="I13" s="531" t="str">
        <f>'Данные - Крыша'!C31</f>
        <v>DB-srtropValue</v>
      </c>
      <c r="J13" s="342">
        <f>'Данные - Крыша'!S4</f>
        <v>16000</v>
      </c>
      <c r="K13" s="130" t="e">
        <f t="shared" ref="K13:K25" si="0">I13*J13</f>
        <v>#VALUE!</v>
      </c>
    </row>
    <row r="14" spans="1:11" ht="15">
      <c r="A14" s="491"/>
      <c r="B14" s="131"/>
      <c r="C14" s="130"/>
      <c r="D14" s="130"/>
      <c r="E14" s="132"/>
      <c r="F14" s="130"/>
      <c r="G14" s="509" t="s">
        <v>779</v>
      </c>
      <c r="H14" s="88" t="s">
        <v>85</v>
      </c>
      <c r="I14" s="164">
        <f>'материал - работа'!J60</f>
        <v>65</v>
      </c>
      <c r="J14" s="405">
        <f>'Данные - Крыша'!E41</f>
        <v>0</v>
      </c>
      <c r="K14" s="88">
        <f t="shared" si="0"/>
        <v>0</v>
      </c>
    </row>
    <row r="15" spans="1:11" ht="15">
      <c r="A15" s="491"/>
      <c r="B15" s="131"/>
      <c r="C15" s="130"/>
      <c r="D15" s="130"/>
      <c r="E15" s="132"/>
      <c r="F15" s="130"/>
      <c r="G15" s="509" t="s">
        <v>695</v>
      </c>
      <c r="H15" s="88" t="s">
        <v>156</v>
      </c>
      <c r="I15" s="164" t="e">
        <f>'материал - работа'!D40</f>
        <v>#VALUE!</v>
      </c>
      <c r="J15" s="405">
        <f>'Данные - Крыша'!E42</f>
        <v>0</v>
      </c>
      <c r="K15" s="88" t="e">
        <f t="shared" si="0"/>
        <v>#VALUE!</v>
      </c>
    </row>
    <row r="16" spans="1:11" ht="15">
      <c r="A16" s="491"/>
      <c r="B16" s="131"/>
      <c r="C16" s="130"/>
      <c r="D16" s="130"/>
      <c r="E16" s="132"/>
      <c r="F16" s="130"/>
      <c r="G16" s="509" t="s">
        <v>161</v>
      </c>
      <c r="H16" s="88" t="s">
        <v>156</v>
      </c>
      <c r="I16" s="164">
        <f>'материал - работа'!J61</f>
        <v>1.9006329113924052</v>
      </c>
      <c r="J16" s="405">
        <f>'Данные - Крыша'!E43</f>
        <v>0</v>
      </c>
      <c r="K16" s="88">
        <f t="shared" si="0"/>
        <v>0</v>
      </c>
    </row>
    <row r="17" spans="1:11" ht="15">
      <c r="A17" s="491"/>
      <c r="B17" s="131"/>
      <c r="C17" s="130"/>
      <c r="D17" s="130"/>
      <c r="E17" s="130"/>
      <c r="F17" s="130"/>
      <c r="G17" s="131" t="s">
        <v>689</v>
      </c>
      <c r="H17" s="130" t="s">
        <v>150</v>
      </c>
      <c r="I17" s="135">
        <f>'материал - работа'!J55</f>
        <v>0</v>
      </c>
      <c r="J17" s="130">
        <f>'Данные - Крыша'!E36</f>
        <v>0</v>
      </c>
      <c r="K17" s="130">
        <f t="shared" si="0"/>
        <v>0</v>
      </c>
    </row>
    <row r="18" spans="1:11" ht="15">
      <c r="A18" s="491"/>
      <c r="B18" s="131"/>
      <c r="C18" s="130"/>
      <c r="D18" s="130"/>
      <c r="E18" s="130"/>
      <c r="F18" s="130"/>
      <c r="G18" s="131" t="s">
        <v>197</v>
      </c>
      <c r="H18" s="130" t="s">
        <v>85</v>
      </c>
      <c r="I18" s="135">
        <f>'материал - работа'!J56</f>
        <v>0</v>
      </c>
      <c r="J18" s="130">
        <f>'Данные - Крыша'!E37</f>
        <v>0</v>
      </c>
      <c r="K18" s="130">
        <f t="shared" si="0"/>
        <v>0</v>
      </c>
    </row>
    <row r="19" spans="1:11" ht="15">
      <c r="A19" s="491"/>
      <c r="B19" s="131"/>
      <c r="C19" s="130"/>
      <c r="D19" s="130"/>
      <c r="E19" s="130"/>
      <c r="F19" s="130"/>
      <c r="G19" s="131" t="s">
        <v>690</v>
      </c>
      <c r="H19" s="130" t="s">
        <v>85</v>
      </c>
      <c r="I19" s="135">
        <f>'материал - работа'!J57</f>
        <v>0</v>
      </c>
      <c r="J19" s="130">
        <f>'Данные - Крыша'!E38</f>
        <v>0</v>
      </c>
      <c r="K19" s="130">
        <f t="shared" si="0"/>
        <v>0</v>
      </c>
    </row>
    <row r="20" spans="1:11" ht="15">
      <c r="A20" s="491"/>
      <c r="B20" s="131"/>
      <c r="C20" s="130"/>
      <c r="D20" s="130"/>
      <c r="E20" s="130"/>
      <c r="F20" s="130"/>
      <c r="G20" s="133" t="s">
        <v>198</v>
      </c>
      <c r="H20" s="130" t="s">
        <v>85</v>
      </c>
      <c r="I20" s="135">
        <f>'материал - работа'!J58</f>
        <v>0</v>
      </c>
      <c r="J20" s="132">
        <f>'Данные - Крыша'!E39</f>
        <v>0</v>
      </c>
      <c r="K20" s="130">
        <f t="shared" si="0"/>
        <v>0</v>
      </c>
    </row>
    <row r="21" spans="1:11" ht="15">
      <c r="A21" s="491" t="s">
        <v>164</v>
      </c>
      <c r="B21" s="131" t="s">
        <v>799</v>
      </c>
      <c r="C21" s="130" t="s">
        <v>160</v>
      </c>
      <c r="D21" s="130" t="str">
        <f>D13</f>
        <v>DB-size</v>
      </c>
      <c r="E21" s="130">
        <f>'Данные - Крыша'!S9</f>
        <v>350</v>
      </c>
      <c r="F21" s="130" t="e">
        <f>D21*E21</f>
        <v>#VALUE!</v>
      </c>
      <c r="G21" s="131" t="s">
        <v>778</v>
      </c>
      <c r="H21" s="130" t="s">
        <v>63</v>
      </c>
      <c r="I21" s="135" t="e">
        <f>'материал - работа'!J89</f>
        <v>#VALUE!</v>
      </c>
      <c r="J21" s="132">
        <f>'Данные - Крыша'!S5</f>
        <v>16000</v>
      </c>
      <c r="K21" s="130" t="e">
        <f t="shared" si="0"/>
        <v>#VALUE!</v>
      </c>
    </row>
    <row r="22" spans="1:11" ht="15">
      <c r="A22" s="491"/>
      <c r="B22" s="131"/>
      <c r="C22" s="130"/>
      <c r="D22" s="130"/>
      <c r="E22" s="130"/>
      <c r="F22" s="130"/>
      <c r="G22" s="131" t="s">
        <v>161</v>
      </c>
      <c r="H22" s="130" t="s">
        <v>63</v>
      </c>
      <c r="I22" s="487" t="e">
        <f>'материал - работа'!J89*44.44*10/395</f>
        <v>#VALUE!</v>
      </c>
      <c r="J22" s="130">
        <f>'Данные - Крыша'!E43</f>
        <v>0</v>
      </c>
      <c r="K22" s="130" t="e">
        <f t="shared" si="0"/>
        <v>#VALUE!</v>
      </c>
    </row>
    <row r="23" spans="1:11" ht="15">
      <c r="A23" s="491" t="s">
        <v>196</v>
      </c>
      <c r="B23" s="131" t="s">
        <v>796</v>
      </c>
      <c r="C23" s="130" t="s">
        <v>160</v>
      </c>
      <c r="D23" s="130" t="str">
        <f>D13</f>
        <v>DB-size</v>
      </c>
      <c r="E23" s="130">
        <f>'Данные - Крыша'!S10</f>
        <v>200</v>
      </c>
      <c r="F23" s="130" t="e">
        <f t="shared" ref="F23:F24" si="1">D23*E23</f>
        <v>#VALUE!</v>
      </c>
      <c r="G23" s="131" t="s">
        <v>645</v>
      </c>
      <c r="H23" s="130" t="s">
        <v>184</v>
      </c>
      <c r="I23" s="135" t="e">
        <f>'материал - работа'!J91</f>
        <v>#VALUE!</v>
      </c>
      <c r="J23" s="130">
        <f>'Данные - Крыша'!S6</f>
        <v>1200</v>
      </c>
      <c r="K23" s="130" t="e">
        <f t="shared" si="0"/>
        <v>#VALUE!</v>
      </c>
    </row>
    <row r="24" spans="1:11" ht="15">
      <c r="A24" s="491" t="s">
        <v>225</v>
      </c>
      <c r="B24" s="131" t="s">
        <v>650</v>
      </c>
      <c r="C24" s="130" t="s">
        <v>160</v>
      </c>
      <c r="D24" s="130" t="str">
        <f>D23</f>
        <v>DB-size</v>
      </c>
      <c r="E24" s="130">
        <f>'Данные - Крыша'!S8</f>
        <v>50</v>
      </c>
      <c r="F24" s="130" t="e">
        <f t="shared" si="1"/>
        <v>#VALUE!</v>
      </c>
      <c r="G24" s="131" t="s">
        <v>647</v>
      </c>
      <c r="H24" s="130" t="s">
        <v>148</v>
      </c>
      <c r="I24" s="135" t="e">
        <f>'материал - работа'!J92</f>
        <v>#VALUE!</v>
      </c>
      <c r="J24" s="130">
        <f>'Данные - Крыша'!S7</f>
        <v>60</v>
      </c>
      <c r="K24" s="130" t="e">
        <f t="shared" si="0"/>
        <v>#VALUE!</v>
      </c>
    </row>
    <row r="25" spans="1:11">
      <c r="A25" s="491"/>
      <c r="B25" s="131"/>
      <c r="C25" s="130"/>
      <c r="D25" s="130"/>
      <c r="E25" s="130"/>
      <c r="F25" s="130"/>
      <c r="G25" s="161" t="s">
        <v>161</v>
      </c>
      <c r="H25" s="190" t="s">
        <v>156</v>
      </c>
      <c r="I25" s="449" t="e">
        <f>'материал - работа'!J94</f>
        <v>#VALUE!</v>
      </c>
      <c r="J25" s="219">
        <f>'Данные - Крыша'!M56</f>
        <v>380</v>
      </c>
      <c r="K25" s="130" t="e">
        <f t="shared" si="0"/>
        <v>#VALUE!</v>
      </c>
    </row>
    <row r="26" spans="1:11">
      <c r="A26" s="492"/>
      <c r="B26" s="492"/>
      <c r="C26" s="493"/>
      <c r="D26" s="1294" t="s">
        <v>157</v>
      </c>
      <c r="E26" s="1294"/>
      <c r="F26" s="510" t="e">
        <f>SUM(F13:F25)</f>
        <v>#VALUE!</v>
      </c>
      <c r="G26" s="492"/>
      <c r="H26" s="492"/>
      <c r="I26" s="1285" t="s">
        <v>158</v>
      </c>
      <c r="J26" s="1285"/>
      <c r="K26" s="124" t="e">
        <f>SUM(K13:K25)</f>
        <v>#VALUE!</v>
      </c>
    </row>
    <row r="27" spans="1:11">
      <c r="A27" s="492"/>
      <c r="B27" s="492"/>
      <c r="C27" s="493"/>
      <c r="D27" s="511"/>
      <c r="E27" s="511"/>
      <c r="F27" s="512"/>
      <c r="G27" s="492"/>
      <c r="H27" s="492"/>
      <c r="I27" s="129"/>
      <c r="J27" s="129"/>
      <c r="K27" s="128"/>
    </row>
    <row r="28" spans="1:11">
      <c r="A28" s="1231" t="s">
        <v>226</v>
      </c>
      <c r="B28" s="1231"/>
      <c r="C28" s="126"/>
      <c r="D28" s="127"/>
      <c r="E28" s="127"/>
      <c r="F28" s="128"/>
      <c r="G28" s="125"/>
      <c r="H28" s="126"/>
      <c r="I28" s="129"/>
      <c r="J28" s="129"/>
      <c r="K28" s="128"/>
    </row>
    <row r="29" spans="1:11" ht="15">
      <c r="A29" s="130" t="s">
        <v>146</v>
      </c>
      <c r="B29" s="131" t="s">
        <v>797</v>
      </c>
      <c r="C29" s="130" t="s">
        <v>63</v>
      </c>
      <c r="D29" s="130" t="e">
        <f>I13+I21+I24*0.025*0.05*1</f>
        <v>#VALUE!</v>
      </c>
      <c r="E29" s="132">
        <f>'Данные - Крыша'!C67</f>
        <v>0</v>
      </c>
      <c r="F29" s="130" t="e">
        <f>D29*E29</f>
        <v>#VALUE!</v>
      </c>
      <c r="G29" s="133" t="s">
        <v>787</v>
      </c>
      <c r="H29" s="130" t="s">
        <v>167</v>
      </c>
      <c r="I29" s="135" t="e">
        <f>'материал - работа'!J96</f>
        <v>#VALUE!</v>
      </c>
      <c r="J29" s="135">
        <f>'Данные - Крыша'!E47</f>
        <v>0</v>
      </c>
      <c r="K29" s="130" t="e">
        <f>I29*J29</f>
        <v>#VALUE!</v>
      </c>
    </row>
    <row r="30" spans="1:11" ht="15">
      <c r="A30" s="130" t="s">
        <v>164</v>
      </c>
      <c r="B30" s="131" t="s">
        <v>798</v>
      </c>
      <c r="C30" s="130" t="s">
        <v>150</v>
      </c>
      <c r="D30" s="130">
        <f>'Данные - Крыша'!R12</f>
        <v>1</v>
      </c>
      <c r="E30" s="132">
        <f>'Данные - Крыша'!S12</f>
        <v>2500</v>
      </c>
      <c r="F30" s="130">
        <f t="shared" ref="F30" si="2">D30*E30</f>
        <v>2500</v>
      </c>
      <c r="G30" s="131" t="s">
        <v>656</v>
      </c>
      <c r="H30" s="130" t="s">
        <v>167</v>
      </c>
      <c r="I30" s="135">
        <f>'материал - работа'!J97</f>
        <v>1</v>
      </c>
      <c r="J30" s="135">
        <f>'Данные - Крыша'!S13</f>
        <v>10000</v>
      </c>
      <c r="K30" s="130">
        <f>I30*J30</f>
        <v>10000</v>
      </c>
    </row>
    <row r="31" spans="1:11">
      <c r="A31" s="130"/>
      <c r="B31" s="131"/>
      <c r="C31" s="130"/>
      <c r="D31" s="130"/>
      <c r="E31" s="132"/>
      <c r="F31" s="130"/>
      <c r="G31" s="133"/>
      <c r="H31" s="130"/>
      <c r="I31" s="135"/>
      <c r="J31" s="135"/>
      <c r="K31" s="130"/>
    </row>
    <row r="32" spans="1:11">
      <c r="A32" s="126"/>
      <c r="B32" s="125"/>
      <c r="C32" s="126"/>
      <c r="D32" s="1284" t="s">
        <v>157</v>
      </c>
      <c r="E32" s="1295"/>
      <c r="F32" s="124" t="e">
        <f>SUM(F29:F31)</f>
        <v>#VALUE!</v>
      </c>
      <c r="G32" s="125"/>
      <c r="H32" s="126"/>
      <c r="I32" s="1285" t="s">
        <v>169</v>
      </c>
      <c r="J32" s="1286"/>
      <c r="K32" s="124" t="e">
        <f>SUM(K29:K31)</f>
        <v>#VALUE!</v>
      </c>
    </row>
    <row r="33" spans="1:11" ht="15" thickBot="1">
      <c r="A33" s="126"/>
      <c r="B33" s="125"/>
      <c r="C33" s="126"/>
      <c r="D33" s="127"/>
      <c r="E33" s="127"/>
      <c r="F33" s="128"/>
      <c r="G33" s="125"/>
      <c r="H33" s="126"/>
      <c r="I33" s="129"/>
      <c r="J33" s="129"/>
      <c r="K33" s="128"/>
    </row>
    <row r="34" spans="1:11">
      <c r="E34" s="1301" t="s">
        <v>170</v>
      </c>
      <c r="F34" s="1302"/>
      <c r="G34" s="527" t="e">
        <f>F26</f>
        <v>#VALUE!</v>
      </c>
    </row>
    <row r="35" spans="1:11">
      <c r="E35" s="1296" t="s">
        <v>171</v>
      </c>
      <c r="F35" s="1195"/>
      <c r="G35" s="528" t="e">
        <f>G34*0.015</f>
        <v>#VALUE!</v>
      </c>
    </row>
    <row r="36" spans="1:11">
      <c r="E36" s="1296" t="s">
        <v>789</v>
      </c>
      <c r="F36" s="1195"/>
      <c r="G36" s="528" t="e">
        <f>G34*0.1</f>
        <v>#VALUE!</v>
      </c>
    </row>
    <row r="37" spans="1:11">
      <c r="E37" s="1296" t="s">
        <v>20</v>
      </c>
      <c r="F37" s="1195"/>
      <c r="G37" s="528" t="e">
        <f>G34+G35+G36</f>
        <v>#VALUE!</v>
      </c>
    </row>
    <row r="38" spans="1:11">
      <c r="E38" s="1303"/>
      <c r="F38" s="1197"/>
      <c r="G38" s="528"/>
    </row>
    <row r="39" spans="1:11">
      <c r="E39" s="1296" t="s">
        <v>173</v>
      </c>
      <c r="F39" s="1195"/>
      <c r="G39" s="528" t="e">
        <f>K26</f>
        <v>#VALUE!</v>
      </c>
    </row>
    <row r="40" spans="1:11">
      <c r="E40" s="1296" t="s">
        <v>542</v>
      </c>
      <c r="F40" s="1195"/>
      <c r="G40" s="528" t="e">
        <f>K32</f>
        <v>#VALUE!</v>
      </c>
    </row>
    <row r="41" spans="1:11">
      <c r="E41" s="1296" t="s">
        <v>20</v>
      </c>
      <c r="F41" s="1195"/>
      <c r="G41" s="528" t="e">
        <f>G39+G40</f>
        <v>#VALUE!</v>
      </c>
      <c r="H41" s="513"/>
    </row>
    <row r="42" spans="1:11">
      <c r="E42" s="1297"/>
      <c r="F42" s="1298"/>
      <c r="G42" s="529"/>
    </row>
    <row r="43" spans="1:11" ht="15" thickBot="1">
      <c r="E43" s="1299" t="s">
        <v>790</v>
      </c>
      <c r="F43" s="1300"/>
      <c r="G43" s="530" t="e">
        <f>G37+G41</f>
        <v>#VALUE!</v>
      </c>
      <c r="J43" s="514"/>
    </row>
    <row r="44" spans="1:11">
      <c r="E44" s="515"/>
      <c r="F44" s="515"/>
      <c r="G44" s="516"/>
      <c r="J44" s="514"/>
    </row>
    <row r="45" spans="1:11">
      <c r="E45" s="515"/>
      <c r="F45" s="515"/>
      <c r="G45" s="516"/>
      <c r="J45" s="514"/>
    </row>
    <row r="46" spans="1:11">
      <c r="E46" s="515"/>
      <c r="F46" s="515"/>
      <c r="G46" s="516"/>
      <c r="J46" s="514"/>
    </row>
    <row r="47" spans="1:11">
      <c r="E47" s="515"/>
      <c r="F47" s="515"/>
      <c r="G47" s="516"/>
      <c r="J47" s="514"/>
    </row>
    <row r="48" spans="1:11">
      <c r="E48" s="515"/>
      <c r="F48" s="515"/>
      <c r="G48" s="516"/>
      <c r="J48" s="514"/>
    </row>
    <row r="49" spans="5:10">
      <c r="E49" s="515"/>
      <c r="F49" s="515"/>
      <c r="G49" s="516"/>
      <c r="J49" s="514"/>
    </row>
    <row r="50" spans="5:10">
      <c r="E50" s="515"/>
      <c r="F50" s="515"/>
      <c r="G50" s="516"/>
      <c r="J50" s="514"/>
    </row>
    <row r="51" spans="5:10">
      <c r="E51" s="517"/>
      <c r="F51" s="515"/>
      <c r="G51" s="515"/>
      <c r="I51" s="514"/>
    </row>
    <row r="52" spans="5:10">
      <c r="F52" s="515"/>
      <c r="G52" s="515"/>
      <c r="H52" s="518"/>
      <c r="I52" s="514"/>
    </row>
    <row r="53" spans="5:10">
      <c r="E53" s="519"/>
      <c r="F53" s="515"/>
      <c r="G53" s="515"/>
      <c r="H53" s="520"/>
      <c r="I53" s="513"/>
    </row>
    <row r="54" spans="5:10">
      <c r="E54" s="519"/>
      <c r="F54" s="515"/>
      <c r="G54" s="515"/>
      <c r="H54" s="520"/>
    </row>
    <row r="55" spans="5:10">
      <c r="F55" s="515"/>
      <c r="G55" s="515"/>
      <c r="H55" s="520"/>
    </row>
    <row r="56" spans="5:10">
      <c r="F56" s="515"/>
      <c r="G56" s="515"/>
      <c r="H56" s="520"/>
    </row>
    <row r="57" spans="5:10">
      <c r="F57" s="515"/>
      <c r="G57" s="515"/>
      <c r="H57" s="520"/>
    </row>
    <row r="58" spans="5:10">
      <c r="F58" s="515"/>
      <c r="G58" s="515"/>
      <c r="H58" s="520"/>
    </row>
    <row r="59" spans="5:10">
      <c r="F59" s="515"/>
      <c r="G59" s="515"/>
      <c r="H59" s="518"/>
    </row>
    <row r="60" spans="5:10">
      <c r="F60" s="515"/>
      <c r="G60" s="515"/>
      <c r="H60" s="518"/>
    </row>
    <row r="61" spans="5:10" ht="16">
      <c r="F61" s="145"/>
      <c r="G61" s="521"/>
      <c r="H61" s="520"/>
    </row>
    <row r="62" spans="5:10" ht="16">
      <c r="F62" s="522"/>
      <c r="G62" s="523"/>
      <c r="H62" s="518"/>
    </row>
    <row r="63" spans="5:10" ht="16">
      <c r="F63" s="522"/>
      <c r="G63" s="524"/>
      <c r="H63" s="518"/>
    </row>
    <row r="64" spans="5:10">
      <c r="G64" s="525"/>
      <c r="H64" s="518"/>
    </row>
    <row r="65" spans="7:7">
      <c r="G65" s="526"/>
    </row>
    <row r="66" spans="7:7">
      <c r="G66" s="526"/>
    </row>
    <row r="67" spans="7:7">
      <c r="G67" s="526"/>
    </row>
    <row r="68" spans="7:7">
      <c r="G68" s="526"/>
    </row>
    <row r="69" spans="7:7">
      <c r="G69" s="526"/>
    </row>
    <row r="70" spans="7:7">
      <c r="G70" s="526"/>
    </row>
    <row r="71" spans="7:7">
      <c r="G71" s="526"/>
    </row>
    <row r="72" spans="7:7">
      <c r="G72" s="526"/>
    </row>
    <row r="73" spans="7:7">
      <c r="G73" s="526"/>
    </row>
  </sheetData>
  <customSheetViews>
    <customSheetView guid="{3274156B-1D2A-4448-883E-F1EEF1AAE0AF}" topLeftCell="A10">
      <selection activeCell="I11" sqref="I11"/>
      <pageMargins left="0.7" right="0.7" top="0.75" bottom="0.75" header="0.3" footer="0.3"/>
    </customSheetView>
  </customSheetViews>
  <mergeCells count="30"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39:F39"/>
    <mergeCell ref="A12:B12"/>
    <mergeCell ref="D26:E26"/>
    <mergeCell ref="I26:J26"/>
    <mergeCell ref="A28:B28"/>
    <mergeCell ref="D32:E32"/>
    <mergeCell ref="I32:J32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557D-3EBC-4DE0-A2B2-A2DE680E7926}">
  <sheetPr codeName="Worksheet____8">
    <tabColor rgb="FFFFFF00"/>
  </sheetPr>
  <dimension ref="B251:I290"/>
  <sheetViews>
    <sheetView topLeftCell="A205" workbookViewId="0">
      <selection activeCell="M262" sqref="M262"/>
    </sheetView>
  </sheetViews>
  <sheetFormatPr baseColWidth="10" defaultColWidth="8.83203125" defaultRowHeight="15"/>
  <cols>
    <col min="1" max="1" width="9.33203125" customWidth="1"/>
    <col min="2" max="2" width="35.6640625" customWidth="1"/>
  </cols>
  <sheetData>
    <row r="251" spans="2:9">
      <c r="C251" s="36" t="s">
        <v>91</v>
      </c>
      <c r="D251" s="36" t="s">
        <v>361</v>
      </c>
      <c r="E251" s="36" t="s">
        <v>362</v>
      </c>
      <c r="F251" s="1304" t="s">
        <v>379</v>
      </c>
      <c r="G251" s="1304"/>
      <c r="H251" s="1304" t="s">
        <v>380</v>
      </c>
      <c r="I251" s="1304"/>
    </row>
    <row r="252" spans="2:9">
      <c r="C252" s="36"/>
      <c r="D252" s="36"/>
      <c r="E252" s="36"/>
    </row>
    <row r="253" spans="2:9">
      <c r="B253" s="49" t="s">
        <v>363</v>
      </c>
      <c r="C253" s="50">
        <v>180</v>
      </c>
      <c r="D253" s="244"/>
      <c r="E253" s="50"/>
      <c r="F253" s="1305">
        <v>80000</v>
      </c>
      <c r="G253" s="1306"/>
      <c r="H253" s="1305">
        <v>70000</v>
      </c>
      <c r="I253" s="1306"/>
    </row>
    <row r="254" spans="2:9">
      <c r="B254" s="49" t="s">
        <v>363</v>
      </c>
      <c r="C254" s="50">
        <v>200</v>
      </c>
      <c r="D254" s="244"/>
      <c r="E254" s="50"/>
      <c r="F254" s="1305">
        <v>80001</v>
      </c>
      <c r="G254" s="1306"/>
      <c r="H254" s="1305">
        <v>70001</v>
      </c>
      <c r="I254" s="1306"/>
    </row>
    <row r="255" spans="2:9">
      <c r="B255" s="49" t="s">
        <v>363</v>
      </c>
      <c r="C255" s="50">
        <v>220</v>
      </c>
      <c r="D255" s="244"/>
      <c r="E255" s="50"/>
      <c r="F255" s="1305">
        <v>80002</v>
      </c>
      <c r="G255" s="1306"/>
      <c r="H255" s="1305">
        <v>70002</v>
      </c>
      <c r="I255" s="1306"/>
    </row>
    <row r="256" spans="2:9">
      <c r="B256" s="49" t="s">
        <v>363</v>
      </c>
      <c r="C256" s="50">
        <v>240</v>
      </c>
      <c r="D256" s="244"/>
      <c r="E256" s="50"/>
      <c r="F256" s="1305">
        <v>80003</v>
      </c>
      <c r="G256" s="1306"/>
      <c r="H256" s="1305">
        <v>70003</v>
      </c>
      <c r="I256" s="1306"/>
    </row>
    <row r="257" spans="2:9">
      <c r="B257" s="49" t="s">
        <v>363</v>
      </c>
      <c r="C257" s="50">
        <v>260</v>
      </c>
      <c r="D257" s="244"/>
      <c r="E257" s="50"/>
      <c r="F257" s="1305">
        <v>80004</v>
      </c>
      <c r="G257" s="1306"/>
      <c r="H257" s="1305">
        <v>70004</v>
      </c>
      <c r="I257" s="1306"/>
    </row>
    <row r="258" spans="2:9">
      <c r="B258" s="49" t="s">
        <v>363</v>
      </c>
      <c r="C258" s="50">
        <v>280</v>
      </c>
      <c r="D258" s="244"/>
      <c r="E258" s="50"/>
      <c r="F258" s="1305">
        <v>80005</v>
      </c>
      <c r="G258" s="1306"/>
      <c r="H258" s="1305">
        <v>70005</v>
      </c>
      <c r="I258" s="1306"/>
    </row>
    <row r="259" spans="2:9">
      <c r="B259" s="49" t="s">
        <v>363</v>
      </c>
      <c r="C259" s="50">
        <v>300</v>
      </c>
      <c r="D259" s="244"/>
      <c r="E259" s="52"/>
      <c r="F259" s="1305">
        <v>80006</v>
      </c>
      <c r="G259" s="1306"/>
      <c r="H259" s="1305">
        <v>70006</v>
      </c>
      <c r="I259" s="1306"/>
    </row>
    <row r="260" spans="2:9">
      <c r="B260" s="49" t="s">
        <v>363</v>
      </c>
      <c r="C260" s="50">
        <v>320</v>
      </c>
      <c r="D260" s="244"/>
      <c r="E260" s="52"/>
      <c r="F260" s="1305">
        <v>80007</v>
      </c>
      <c r="G260" s="1306"/>
      <c r="H260" s="1305">
        <v>70007</v>
      </c>
      <c r="I260" s="1306"/>
    </row>
    <row r="261" spans="2:9">
      <c r="B261" s="49" t="s">
        <v>363</v>
      </c>
      <c r="C261" s="50">
        <v>340</v>
      </c>
      <c r="D261" s="244"/>
      <c r="E261" s="52"/>
      <c r="F261" s="1305">
        <v>80008</v>
      </c>
      <c r="G261" s="1306"/>
      <c r="H261" s="1305">
        <v>70008</v>
      </c>
      <c r="I261" s="1306"/>
    </row>
    <row r="262" spans="2:9">
      <c r="B262" s="49" t="s">
        <v>363</v>
      </c>
      <c r="C262" s="50">
        <v>360</v>
      </c>
      <c r="D262" s="244"/>
      <c r="E262" s="52"/>
      <c r="F262" s="1305">
        <v>80009</v>
      </c>
      <c r="G262" s="1306"/>
      <c r="H262" s="1305">
        <v>70009</v>
      </c>
      <c r="I262" s="1306"/>
    </row>
    <row r="263" spans="2:9">
      <c r="B263" s="49" t="s">
        <v>363</v>
      </c>
      <c r="C263" s="50">
        <v>380</v>
      </c>
      <c r="D263" s="244"/>
      <c r="E263" s="52"/>
      <c r="F263" s="1305">
        <v>80010</v>
      </c>
      <c r="G263" s="1306"/>
      <c r="H263" s="1305">
        <v>70010</v>
      </c>
      <c r="I263" s="1306"/>
    </row>
    <row r="264" spans="2:9">
      <c r="B264" s="49" t="s">
        <v>363</v>
      </c>
      <c r="C264" s="50">
        <v>400</v>
      </c>
      <c r="D264" s="244"/>
      <c r="E264" s="52"/>
      <c r="F264" s="1305">
        <v>80011</v>
      </c>
      <c r="G264" s="1306"/>
      <c r="H264" s="1305">
        <v>70011</v>
      </c>
      <c r="I264" s="1306"/>
    </row>
    <row r="265" spans="2:9">
      <c r="B265" s="297"/>
      <c r="C265" s="297"/>
      <c r="D265" s="298"/>
      <c r="E265" s="38"/>
      <c r="F265" s="1307"/>
      <c r="G265" s="1308"/>
      <c r="H265" s="1307"/>
      <c r="I265" s="1308"/>
    </row>
    <row r="266" spans="2:9">
      <c r="B266" s="49" t="s">
        <v>364</v>
      </c>
      <c r="C266" s="50">
        <v>200</v>
      </c>
      <c r="D266" s="244"/>
      <c r="E266" s="52"/>
      <c r="F266" s="1305">
        <v>150000</v>
      </c>
      <c r="G266" s="1306"/>
      <c r="H266" s="1305">
        <v>135000</v>
      </c>
      <c r="I266" s="1306"/>
    </row>
    <row r="267" spans="2:9">
      <c r="B267" s="49" t="s">
        <v>364</v>
      </c>
      <c r="C267" s="50">
        <v>220</v>
      </c>
      <c r="D267" s="244"/>
      <c r="E267" s="51"/>
      <c r="F267" s="1305">
        <v>150001</v>
      </c>
      <c r="G267" s="1306"/>
      <c r="H267" s="1305">
        <v>135001</v>
      </c>
      <c r="I267" s="1306"/>
    </row>
    <row r="268" spans="2:9">
      <c r="B268" s="49" t="s">
        <v>364</v>
      </c>
      <c r="C268" s="50">
        <v>240</v>
      </c>
      <c r="D268" s="244"/>
      <c r="E268" s="52"/>
      <c r="F268" s="1305">
        <v>150002</v>
      </c>
      <c r="G268" s="1306"/>
      <c r="H268" s="1305">
        <v>135002</v>
      </c>
      <c r="I268" s="1306"/>
    </row>
    <row r="269" spans="2:9">
      <c r="B269" s="49" t="s">
        <v>364</v>
      </c>
      <c r="C269" s="50">
        <v>260</v>
      </c>
      <c r="D269" s="244"/>
      <c r="E269" s="52"/>
      <c r="F269" s="1305">
        <v>150003</v>
      </c>
      <c r="G269" s="1306"/>
      <c r="H269" s="1305">
        <v>135003</v>
      </c>
      <c r="I269" s="1306"/>
    </row>
    <row r="270" spans="2:9">
      <c r="B270" s="49" t="s">
        <v>364</v>
      </c>
      <c r="C270" s="50">
        <v>280</v>
      </c>
      <c r="D270" s="244"/>
      <c r="E270" s="52"/>
      <c r="F270" s="1305">
        <v>150004</v>
      </c>
      <c r="G270" s="1306"/>
      <c r="H270" s="1305">
        <v>135004</v>
      </c>
      <c r="I270" s="1306"/>
    </row>
    <row r="271" spans="2:9">
      <c r="B271" s="49" t="s">
        <v>364</v>
      </c>
      <c r="C271" s="50">
        <v>300</v>
      </c>
      <c r="D271" s="244"/>
      <c r="E271" s="52"/>
      <c r="F271" s="1305">
        <v>150005</v>
      </c>
      <c r="G271" s="1306"/>
      <c r="H271" s="1305">
        <v>135005</v>
      </c>
      <c r="I271" s="1306"/>
    </row>
    <row r="272" spans="2:9">
      <c r="B272" s="49" t="s">
        <v>364</v>
      </c>
      <c r="C272" s="50">
        <v>320</v>
      </c>
      <c r="D272" s="244"/>
      <c r="E272" s="52"/>
      <c r="F272" s="1305">
        <v>150006</v>
      </c>
      <c r="G272" s="1306"/>
      <c r="H272" s="1305">
        <v>135006</v>
      </c>
      <c r="I272" s="1306"/>
    </row>
    <row r="273" spans="2:9">
      <c r="B273" s="49" t="s">
        <v>364</v>
      </c>
      <c r="C273" s="50">
        <v>340</v>
      </c>
      <c r="D273" s="244"/>
      <c r="E273" s="52"/>
      <c r="F273" s="1305">
        <v>150007</v>
      </c>
      <c r="G273" s="1306"/>
      <c r="H273" s="1305">
        <v>135007</v>
      </c>
      <c r="I273" s="1306"/>
    </row>
    <row r="274" spans="2:9">
      <c r="B274" s="49" t="s">
        <v>364</v>
      </c>
      <c r="C274" s="50">
        <v>360</v>
      </c>
      <c r="D274" s="244"/>
      <c r="E274" s="52"/>
      <c r="F274" s="1305">
        <v>150008</v>
      </c>
      <c r="G274" s="1306"/>
      <c r="H274" s="1305">
        <v>135008</v>
      </c>
      <c r="I274" s="1306"/>
    </row>
    <row r="275" spans="2:9">
      <c r="B275" s="49" t="s">
        <v>364</v>
      </c>
      <c r="C275" s="50">
        <v>380</v>
      </c>
      <c r="D275" s="244"/>
      <c r="E275" s="52"/>
      <c r="F275" s="1305">
        <v>150009</v>
      </c>
      <c r="G275" s="1306"/>
      <c r="H275" s="1305">
        <v>135009</v>
      </c>
      <c r="I275" s="1306"/>
    </row>
    <row r="276" spans="2:9">
      <c r="B276" s="49" t="s">
        <v>364</v>
      </c>
      <c r="C276" s="50">
        <v>400</v>
      </c>
      <c r="D276" s="244"/>
      <c r="E276" s="52"/>
      <c r="F276" s="1305">
        <v>150010</v>
      </c>
      <c r="G276" s="1306"/>
      <c r="H276" s="1305">
        <v>135010</v>
      </c>
      <c r="I276" s="1306"/>
    </row>
    <row r="277" spans="2:9">
      <c r="B277" s="297"/>
      <c r="C277" s="297"/>
      <c r="D277" s="298"/>
      <c r="E277" s="38"/>
      <c r="F277" s="1307"/>
      <c r="G277" s="1308"/>
      <c r="H277" s="1307"/>
      <c r="I277" s="1308"/>
    </row>
    <row r="278" spans="2:9">
      <c r="B278" s="49" t="s">
        <v>365</v>
      </c>
      <c r="C278" s="50">
        <v>200</v>
      </c>
      <c r="D278" s="244"/>
      <c r="E278" s="52"/>
      <c r="F278" s="1305">
        <v>150012</v>
      </c>
      <c r="G278" s="1306"/>
      <c r="H278" s="1305">
        <v>135012</v>
      </c>
      <c r="I278" s="1306"/>
    </row>
    <row r="279" spans="2:9">
      <c r="B279" s="49" t="s">
        <v>365</v>
      </c>
      <c r="C279" s="50">
        <v>220</v>
      </c>
      <c r="D279" s="244"/>
      <c r="E279" s="52"/>
      <c r="F279" s="1305">
        <v>150013</v>
      </c>
      <c r="G279" s="1306"/>
      <c r="H279" s="1305">
        <v>135013</v>
      </c>
      <c r="I279" s="1306"/>
    </row>
    <row r="280" spans="2:9">
      <c r="B280" s="49" t="s">
        <v>365</v>
      </c>
      <c r="C280" s="50">
        <v>240</v>
      </c>
      <c r="D280" s="244"/>
      <c r="E280" s="52"/>
      <c r="F280" s="1305">
        <v>150014</v>
      </c>
      <c r="G280" s="1306"/>
      <c r="H280" s="1305">
        <v>135014</v>
      </c>
      <c r="I280" s="1306"/>
    </row>
    <row r="281" spans="2:9">
      <c r="B281" s="49" t="s">
        <v>365</v>
      </c>
      <c r="C281" s="50">
        <v>260</v>
      </c>
      <c r="D281" s="244"/>
      <c r="E281" s="52"/>
      <c r="F281" s="1305">
        <v>150015</v>
      </c>
      <c r="G281" s="1306"/>
      <c r="H281" s="1305">
        <v>135015</v>
      </c>
      <c r="I281" s="1306"/>
    </row>
    <row r="282" spans="2:9">
      <c r="B282" s="49" t="s">
        <v>365</v>
      </c>
      <c r="C282" s="50">
        <v>280</v>
      </c>
      <c r="D282" s="244"/>
      <c r="E282" s="52"/>
      <c r="F282" s="1305">
        <v>150016</v>
      </c>
      <c r="G282" s="1306"/>
      <c r="H282" s="1305">
        <v>135016</v>
      </c>
      <c r="I282" s="1306"/>
    </row>
    <row r="283" spans="2:9">
      <c r="B283" s="49" t="s">
        <v>365</v>
      </c>
      <c r="C283" s="50">
        <v>300</v>
      </c>
      <c r="D283" s="244"/>
      <c r="E283" s="52"/>
      <c r="F283" s="1305">
        <v>150017</v>
      </c>
      <c r="G283" s="1306"/>
      <c r="H283" s="1305">
        <v>135017</v>
      </c>
      <c r="I283" s="1306"/>
    </row>
    <row r="284" spans="2:9">
      <c r="B284" s="49" t="s">
        <v>365</v>
      </c>
      <c r="C284" s="50">
        <v>320</v>
      </c>
      <c r="D284" s="244"/>
      <c r="E284" s="52"/>
      <c r="F284" s="1305">
        <v>150018</v>
      </c>
      <c r="G284" s="1306"/>
      <c r="H284" s="1305">
        <v>135018</v>
      </c>
      <c r="I284" s="1306"/>
    </row>
    <row r="285" spans="2:9">
      <c r="B285" s="49" t="s">
        <v>365</v>
      </c>
      <c r="C285" s="50">
        <v>340</v>
      </c>
      <c r="D285" s="244"/>
      <c r="E285" s="52"/>
      <c r="F285" s="1305">
        <v>150019</v>
      </c>
      <c r="G285" s="1306"/>
      <c r="H285" s="1305">
        <v>135019</v>
      </c>
      <c r="I285" s="1306"/>
    </row>
    <row r="286" spans="2:9">
      <c r="B286" s="49" t="s">
        <v>365</v>
      </c>
      <c r="C286" s="50">
        <v>360</v>
      </c>
      <c r="D286" s="244"/>
      <c r="E286" s="52"/>
      <c r="F286" s="1305">
        <v>150020</v>
      </c>
      <c r="G286" s="1306"/>
      <c r="H286" s="1305">
        <v>135020</v>
      </c>
      <c r="I286" s="1306"/>
    </row>
    <row r="287" spans="2:9">
      <c r="B287" s="49" t="s">
        <v>365</v>
      </c>
      <c r="C287" s="50">
        <v>380</v>
      </c>
      <c r="D287" s="244"/>
      <c r="E287" s="52"/>
      <c r="F287" s="1305">
        <v>150021</v>
      </c>
      <c r="G287" s="1306"/>
      <c r="H287" s="1305">
        <v>135021</v>
      </c>
      <c r="I287" s="1306"/>
    </row>
    <row r="288" spans="2:9">
      <c r="B288" s="49" t="s">
        <v>365</v>
      </c>
      <c r="C288" s="50">
        <v>400</v>
      </c>
      <c r="D288" s="244"/>
      <c r="E288" s="52"/>
      <c r="F288" s="1305">
        <v>150022</v>
      </c>
      <c r="G288" s="1306"/>
      <c r="H288" s="1305">
        <v>135022</v>
      </c>
      <c r="I288" s="1306"/>
    </row>
    <row r="289" spans="2:9">
      <c r="B289" s="49"/>
      <c r="C289" s="50"/>
      <c r="D289" s="244"/>
      <c r="E289" s="52"/>
      <c r="F289" s="1305"/>
      <c r="G289" s="1306"/>
      <c r="H289" s="1305"/>
      <c r="I289" s="1306"/>
    </row>
    <row r="290" spans="2:9">
      <c r="B290" s="49"/>
      <c r="C290" s="50"/>
      <c r="D290" s="244"/>
      <c r="E290" s="52"/>
      <c r="F290" s="1305"/>
      <c r="G290" s="1306"/>
      <c r="H290" s="1305"/>
      <c r="I290" s="1306"/>
    </row>
  </sheetData>
  <customSheetViews>
    <customSheetView guid="{3274156B-1D2A-4448-883E-F1EEF1AAE0AF}" state="hidden" topLeftCell="A205">
      <selection activeCell="M262" sqref="M262"/>
      <pageMargins left="0.7" right="0.7" top="0.75" bottom="0.75" header="0.3" footer="0.3"/>
    </customSheetView>
  </customSheetViews>
  <mergeCells count="78">
    <mergeCell ref="F288:G288"/>
    <mergeCell ref="H288:I288"/>
    <mergeCell ref="F289:G289"/>
    <mergeCell ref="H289:I289"/>
    <mergeCell ref="F290:G290"/>
    <mergeCell ref="H290:I290"/>
    <mergeCell ref="F285:G285"/>
    <mergeCell ref="H285:I285"/>
    <mergeCell ref="F286:G286"/>
    <mergeCell ref="H286:I286"/>
    <mergeCell ref="F287:G287"/>
    <mergeCell ref="H287:I287"/>
    <mergeCell ref="F282:G282"/>
    <mergeCell ref="H282:I282"/>
    <mergeCell ref="F283:G283"/>
    <mergeCell ref="H283:I283"/>
    <mergeCell ref="F284:G284"/>
    <mergeCell ref="H284:I284"/>
    <mergeCell ref="F279:G279"/>
    <mergeCell ref="H279:I279"/>
    <mergeCell ref="F280:G280"/>
    <mergeCell ref="H280:I280"/>
    <mergeCell ref="F281:G281"/>
    <mergeCell ref="H281:I281"/>
    <mergeCell ref="F276:G276"/>
    <mergeCell ref="H276:I276"/>
    <mergeCell ref="F277:G277"/>
    <mergeCell ref="H277:I277"/>
    <mergeCell ref="F278:G278"/>
    <mergeCell ref="H278:I278"/>
    <mergeCell ref="F273:G273"/>
    <mergeCell ref="H273:I273"/>
    <mergeCell ref="F274:G274"/>
    <mergeCell ref="H274:I274"/>
    <mergeCell ref="F275:G275"/>
    <mergeCell ref="H275:I275"/>
    <mergeCell ref="F270:G270"/>
    <mergeCell ref="H270:I270"/>
    <mergeCell ref="F271:G271"/>
    <mergeCell ref="H271:I271"/>
    <mergeCell ref="F272:G272"/>
    <mergeCell ref="H272:I272"/>
    <mergeCell ref="F267:G267"/>
    <mergeCell ref="H267:I267"/>
    <mergeCell ref="F268:G268"/>
    <mergeCell ref="H268:I268"/>
    <mergeCell ref="F269:G269"/>
    <mergeCell ref="H269:I269"/>
    <mergeCell ref="F264:G264"/>
    <mergeCell ref="H264:I264"/>
    <mergeCell ref="F265:G265"/>
    <mergeCell ref="H265:I265"/>
    <mergeCell ref="F266:G266"/>
    <mergeCell ref="H266:I266"/>
    <mergeCell ref="F261:G261"/>
    <mergeCell ref="H261:I261"/>
    <mergeCell ref="F262:G262"/>
    <mergeCell ref="H262:I262"/>
    <mergeCell ref="F263:G263"/>
    <mergeCell ref="H263:I263"/>
    <mergeCell ref="F258:G258"/>
    <mergeCell ref="H258:I258"/>
    <mergeCell ref="F259:G259"/>
    <mergeCell ref="H259:I259"/>
    <mergeCell ref="F260:G260"/>
    <mergeCell ref="H260:I260"/>
    <mergeCell ref="F255:G255"/>
    <mergeCell ref="H255:I255"/>
    <mergeCell ref="F256:G256"/>
    <mergeCell ref="H256:I256"/>
    <mergeCell ref="F257:G257"/>
    <mergeCell ref="H257:I257"/>
    <mergeCell ref="F251:G251"/>
    <mergeCell ref="H251:I251"/>
    <mergeCell ref="F253:G253"/>
    <mergeCell ref="H253:I253"/>
    <mergeCell ref="F254:G254"/>
    <mergeCell ref="H254:I25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877-8C65-4278-A266-831AFBB9AE60}">
  <sheetPr codeName="Worksheet____7">
    <tabColor rgb="FFFFFF00"/>
  </sheetPr>
  <dimension ref="B2:K294"/>
  <sheetViews>
    <sheetView topLeftCell="A7" workbookViewId="0">
      <selection activeCell="D20" sqref="D20"/>
    </sheetView>
  </sheetViews>
  <sheetFormatPr baseColWidth="10" defaultColWidth="8.83203125" defaultRowHeight="15"/>
  <cols>
    <col min="1" max="1" width="8.83203125" style="544"/>
    <col min="2" max="2" width="30.6640625" style="544" customWidth="1"/>
    <col min="3" max="3" width="8.83203125" style="544"/>
    <col min="4" max="4" width="12.1640625" style="544" customWidth="1"/>
    <col min="5" max="5" width="12.83203125" style="544" customWidth="1"/>
    <col min="6" max="6" width="11.5" style="544" customWidth="1"/>
    <col min="7" max="7" width="8.83203125" style="544"/>
    <col min="8" max="8" width="11.1640625" style="544" customWidth="1"/>
    <col min="9" max="16384" width="8.83203125" style="544"/>
  </cols>
  <sheetData>
    <row r="2" spans="2:11">
      <c r="B2" s="611" t="s">
        <v>208</v>
      </c>
      <c r="C2" s="612" t="s">
        <v>86</v>
      </c>
      <c r="D2" s="595">
        <v>65.2</v>
      </c>
      <c r="E2" s="613"/>
      <c r="F2" s="614"/>
      <c r="H2" s="1309" t="s">
        <v>234</v>
      </c>
      <c r="I2" s="1309"/>
      <c r="J2" s="1309"/>
    </row>
    <row r="3" spans="2:11">
      <c r="B3" s="616" t="s">
        <v>589</v>
      </c>
      <c r="C3" s="612" t="s">
        <v>63</v>
      </c>
      <c r="D3" s="617">
        <v>82.6</v>
      </c>
      <c r="E3" s="613"/>
      <c r="F3" s="614"/>
      <c r="G3" s="1310" t="s">
        <v>591</v>
      </c>
      <c r="H3" s="1311"/>
      <c r="I3" s="1311"/>
      <c r="J3" s="1311"/>
      <c r="K3" s="1311"/>
    </row>
    <row r="4" spans="2:11">
      <c r="B4" s="618" t="s">
        <v>590</v>
      </c>
      <c r="C4" s="612" t="s">
        <v>63</v>
      </c>
      <c r="D4" s="617">
        <v>86.42</v>
      </c>
      <c r="E4" s="613"/>
      <c r="F4" s="614"/>
      <c r="G4" s="1310"/>
      <c r="H4" s="1311"/>
      <c r="I4" s="1311"/>
      <c r="J4" s="1311"/>
      <c r="K4" s="1311"/>
    </row>
    <row r="5" spans="2:11">
      <c r="B5" s="618" t="s">
        <v>147</v>
      </c>
      <c r="C5" s="612" t="s">
        <v>86</v>
      </c>
      <c r="D5" s="619">
        <f>H254</f>
        <v>0</v>
      </c>
      <c r="E5" s="613"/>
      <c r="F5" s="614"/>
    </row>
    <row r="6" spans="2:11">
      <c r="B6" s="620"/>
      <c r="C6" s="621"/>
      <c r="D6" s="600"/>
      <c r="E6" s="613"/>
      <c r="F6" s="614"/>
    </row>
    <row r="7" spans="2:11">
      <c r="B7" s="618" t="s">
        <v>389</v>
      </c>
      <c r="C7" s="612" t="s">
        <v>160</v>
      </c>
      <c r="D7" s="622"/>
      <c r="E7" s="613"/>
      <c r="F7" s="614"/>
    </row>
    <row r="8" spans="2:11">
      <c r="B8" s="618" t="s">
        <v>390</v>
      </c>
      <c r="C8" s="612" t="s">
        <v>160</v>
      </c>
      <c r="D8" s="622">
        <v>35</v>
      </c>
      <c r="E8" s="613"/>
      <c r="F8" s="614"/>
    </row>
    <row r="9" spans="2:11">
      <c r="B9" s="618" t="s">
        <v>391</v>
      </c>
      <c r="C9" s="612" t="s">
        <v>160</v>
      </c>
      <c r="D9" s="622">
        <v>44</v>
      </c>
      <c r="E9" s="613"/>
      <c r="F9" s="614"/>
      <c r="G9" s="1312" t="s">
        <v>394</v>
      </c>
      <c r="H9" s="1313"/>
    </row>
    <row r="10" spans="2:11">
      <c r="B10" s="618" t="s">
        <v>392</v>
      </c>
      <c r="C10" s="612" t="s">
        <v>160</v>
      </c>
      <c r="D10" s="622">
        <v>55</v>
      </c>
      <c r="E10" s="613"/>
      <c r="F10" s="614"/>
    </row>
    <row r="11" spans="2:11">
      <c r="B11" s="618" t="s">
        <v>393</v>
      </c>
      <c r="C11" s="612" t="s">
        <v>160</v>
      </c>
      <c r="D11" s="622">
        <v>30</v>
      </c>
      <c r="E11" s="613"/>
      <c r="F11" s="614"/>
    </row>
    <row r="12" spans="2:11">
      <c r="B12" s="620"/>
      <c r="C12" s="612"/>
      <c r="D12" s="600"/>
      <c r="E12" s="613"/>
      <c r="F12" s="614"/>
    </row>
    <row r="13" spans="2:11" ht="30">
      <c r="B13" s="624" t="s">
        <v>89</v>
      </c>
      <c r="C13" s="612" t="s">
        <v>85</v>
      </c>
      <c r="D13" s="612"/>
      <c r="E13" s="613">
        <v>65</v>
      </c>
      <c r="F13" s="587"/>
    </row>
    <row r="14" spans="2:11">
      <c r="B14" s="624" t="s">
        <v>153</v>
      </c>
      <c r="C14" s="612" t="s">
        <v>85</v>
      </c>
      <c r="D14" s="613"/>
      <c r="E14" s="613">
        <v>13</v>
      </c>
      <c r="F14" s="587"/>
    </row>
    <row r="15" spans="2:11">
      <c r="B15" s="625" t="s">
        <v>161</v>
      </c>
      <c r="C15" s="626"/>
      <c r="D15" s="627"/>
      <c r="E15" s="627">
        <v>380</v>
      </c>
      <c r="F15" s="628"/>
    </row>
    <row r="16" spans="2:11">
      <c r="B16" s="625"/>
      <c r="C16" s="626"/>
      <c r="D16" s="627"/>
      <c r="E16" s="627"/>
      <c r="F16" s="628"/>
    </row>
    <row r="17" spans="2:8">
      <c r="B17" s="625" t="s">
        <v>613</v>
      </c>
      <c r="C17" s="626">
        <v>180</v>
      </c>
      <c r="D17" s="844">
        <f>'Расчёт-Бревно ОЦБ'!H253</f>
        <v>3251.9211189208586</v>
      </c>
      <c r="E17" s="627">
        <v>9</v>
      </c>
      <c r="F17" s="628"/>
    </row>
    <row r="18" spans="2:8">
      <c r="B18" s="625" t="s">
        <v>606</v>
      </c>
      <c r="C18" s="626">
        <v>200</v>
      </c>
      <c r="D18" s="844">
        <f>'Расчёт-Бревно ОЦБ'!H254</f>
        <v>2907.52</v>
      </c>
      <c r="E18" s="627">
        <v>10</v>
      </c>
      <c r="F18" s="628"/>
    </row>
    <row r="19" spans="2:8">
      <c r="B19" s="625" t="s">
        <v>607</v>
      </c>
      <c r="C19" s="626">
        <v>220</v>
      </c>
      <c r="D19" s="844">
        <f>'Расчёт-Бревно ОЦБ'!H255</f>
        <v>2623.9391618440004</v>
      </c>
      <c r="E19" s="627">
        <v>10</v>
      </c>
      <c r="F19" s="628"/>
    </row>
    <row r="20" spans="2:8">
      <c r="B20" s="625" t="s">
        <v>608</v>
      </c>
      <c r="C20" s="626">
        <v>240</v>
      </c>
      <c r="D20" s="844">
        <f>'Расчёт-Бревно ОЦБ'!H256</f>
        <v>2486.824263154163</v>
      </c>
      <c r="E20" s="627">
        <v>11</v>
      </c>
      <c r="F20" s="628"/>
    </row>
    <row r="21" spans="2:8">
      <c r="B21" s="625" t="s">
        <v>609</v>
      </c>
      <c r="C21" s="626">
        <v>260</v>
      </c>
      <c r="D21" s="844">
        <f>'Расчёт-Бревно ОЦБ'!H257</f>
        <v>2354.2152145189511</v>
      </c>
      <c r="E21" s="627">
        <v>12</v>
      </c>
      <c r="F21" s="628"/>
    </row>
    <row r="22" spans="2:8">
      <c r="B22" s="625" t="s">
        <v>610</v>
      </c>
      <c r="C22" s="626">
        <v>280</v>
      </c>
      <c r="D22" s="844">
        <f>'Расчёт-Бревно ОЦБ'!H258</f>
        <v>2014.0696282188685</v>
      </c>
      <c r="E22" s="627">
        <v>13</v>
      </c>
      <c r="F22" s="628"/>
    </row>
    <row r="23" spans="2:8">
      <c r="B23" s="625" t="s">
        <v>611</v>
      </c>
      <c r="C23" s="626">
        <v>300</v>
      </c>
      <c r="D23" s="844">
        <f>'Расчёт-Бревно ОЦБ'!H259</f>
        <v>2079.243023714329</v>
      </c>
      <c r="E23" s="627">
        <v>14</v>
      </c>
      <c r="F23" s="628"/>
    </row>
    <row r="24" spans="2:8">
      <c r="B24" s="629"/>
      <c r="C24" s="630"/>
      <c r="D24" s="631"/>
      <c r="E24" s="632">
        <v>13</v>
      </c>
      <c r="F24" s="633"/>
    </row>
    <row r="25" spans="2:8">
      <c r="B25" s="634" t="s">
        <v>180</v>
      </c>
      <c r="C25" s="630" t="s">
        <v>182</v>
      </c>
      <c r="D25" s="633"/>
      <c r="E25" s="632">
        <v>60</v>
      </c>
      <c r="F25" s="635"/>
    </row>
    <row r="26" spans="2:8">
      <c r="B26" s="634" t="s">
        <v>149</v>
      </c>
      <c r="C26" s="630" t="s">
        <v>85</v>
      </c>
      <c r="D26" s="632">
        <f>ROUNDUP(L254,0)</f>
        <v>0</v>
      </c>
      <c r="E26" s="632">
        <v>21</v>
      </c>
      <c r="F26" s="635"/>
    </row>
    <row r="27" spans="2:8" ht="30">
      <c r="B27" s="636" t="s">
        <v>152</v>
      </c>
      <c r="C27" s="630" t="s">
        <v>85</v>
      </c>
      <c r="D27" s="637">
        <f>'Данные Брус'!D90</f>
        <v>3</v>
      </c>
      <c r="E27" s="632">
        <v>1200</v>
      </c>
      <c r="F27" s="633"/>
      <c r="G27" s="1314" t="s">
        <v>394</v>
      </c>
      <c r="H27" s="1315"/>
    </row>
    <row r="28" spans="2:8">
      <c r="B28" s="629" t="s">
        <v>231</v>
      </c>
      <c r="C28" s="630" t="s">
        <v>85</v>
      </c>
      <c r="D28" s="632"/>
      <c r="E28" s="632">
        <v>13</v>
      </c>
      <c r="F28" s="633"/>
    </row>
    <row r="29" spans="2:8">
      <c r="B29" s="634" t="s">
        <v>195</v>
      </c>
      <c r="C29" s="630" t="s">
        <v>63</v>
      </c>
      <c r="D29" s="632">
        <f>'Расчёт-Бревно ОЦБ'!D23</f>
        <v>2.1733333333333333</v>
      </c>
      <c r="E29" s="632">
        <v>17000</v>
      </c>
      <c r="F29" s="635"/>
    </row>
    <row r="30" spans="2:8">
      <c r="B30" s="634" t="s">
        <v>194</v>
      </c>
      <c r="C30" s="630" t="s">
        <v>156</v>
      </c>
      <c r="D30" s="632"/>
      <c r="E30" s="632">
        <v>150</v>
      </c>
      <c r="F30" s="635"/>
    </row>
    <row r="31" spans="2:8">
      <c r="B31" s="634" t="s">
        <v>163</v>
      </c>
      <c r="C31" s="630" t="s">
        <v>167</v>
      </c>
      <c r="D31" s="632">
        <v>1</v>
      </c>
      <c r="E31" s="632">
        <v>10000</v>
      </c>
      <c r="F31" s="635"/>
    </row>
    <row r="32" spans="2:8">
      <c r="B32" s="634" t="s">
        <v>373</v>
      </c>
      <c r="C32" s="630" t="s">
        <v>167</v>
      </c>
      <c r="D32" s="632">
        <v>1</v>
      </c>
      <c r="E32" s="632">
        <v>12000</v>
      </c>
      <c r="F32" s="635"/>
    </row>
    <row r="33" spans="2:6">
      <c r="B33" s="634" t="s">
        <v>614</v>
      </c>
      <c r="C33" s="630" t="s">
        <v>167</v>
      </c>
      <c r="D33" s="632"/>
      <c r="E33" s="632">
        <v>22000</v>
      </c>
      <c r="F33" s="635"/>
    </row>
    <row r="34" spans="2:6">
      <c r="B34" s="634"/>
      <c r="C34" s="630"/>
      <c r="D34" s="632"/>
      <c r="E34" s="632"/>
      <c r="F34" s="635"/>
    </row>
    <row r="35" spans="2:6">
      <c r="B35" s="630" t="s">
        <v>232</v>
      </c>
      <c r="C35" s="630"/>
      <c r="D35" s="632"/>
      <c r="E35" s="632"/>
      <c r="F35" s="635"/>
    </row>
    <row r="36" spans="2:6">
      <c r="B36" s="638" t="s">
        <v>605</v>
      </c>
      <c r="C36" s="630"/>
      <c r="D36" s="632"/>
      <c r="E36" s="632"/>
      <c r="F36" s="635"/>
    </row>
    <row r="37" spans="2:6">
      <c r="B37" s="620" t="s">
        <v>598</v>
      </c>
      <c r="C37" s="621" t="s">
        <v>63</v>
      </c>
      <c r="D37" s="600"/>
      <c r="E37" s="613">
        <v>5000</v>
      </c>
      <c r="F37" s="635"/>
    </row>
    <row r="38" spans="2:6">
      <c r="B38" s="620" t="s">
        <v>599</v>
      </c>
      <c r="C38" s="621" t="s">
        <v>63</v>
      </c>
      <c r="D38" s="600"/>
      <c r="E38" s="613">
        <v>5000</v>
      </c>
      <c r="F38" s="635"/>
    </row>
    <row r="39" spans="2:6">
      <c r="B39" s="620" t="s">
        <v>600</v>
      </c>
      <c r="C39" s="621" t="s">
        <v>63</v>
      </c>
      <c r="D39" s="600"/>
      <c r="E39" s="613">
        <v>5000</v>
      </c>
      <c r="F39" s="635"/>
    </row>
    <row r="40" spans="2:6">
      <c r="B40" s="620" t="s">
        <v>601</v>
      </c>
      <c r="C40" s="621" t="s">
        <v>63</v>
      </c>
      <c r="D40" s="600"/>
      <c r="E40" s="613">
        <v>5000</v>
      </c>
      <c r="F40" s="635"/>
    </row>
    <row r="41" spans="2:6">
      <c r="B41" s="620" t="s">
        <v>602</v>
      </c>
      <c r="C41" s="621" t="s">
        <v>63</v>
      </c>
      <c r="D41" s="600"/>
      <c r="E41" s="613">
        <v>5000</v>
      </c>
      <c r="F41" s="635"/>
    </row>
    <row r="42" spans="2:6">
      <c r="B42" s="620" t="s">
        <v>603</v>
      </c>
      <c r="C42" s="621" t="s">
        <v>63</v>
      </c>
      <c r="D42" s="600"/>
      <c r="E42" s="613">
        <v>5000</v>
      </c>
      <c r="F42" s="635"/>
    </row>
    <row r="43" spans="2:6">
      <c r="B43" s="620" t="s">
        <v>604</v>
      </c>
      <c r="C43" s="621" t="s">
        <v>63</v>
      </c>
      <c r="D43" s="600"/>
      <c r="E43" s="613">
        <v>5000</v>
      </c>
      <c r="F43" s="635"/>
    </row>
    <row r="44" spans="2:6">
      <c r="B44" s="639" t="s">
        <v>358</v>
      </c>
      <c r="C44" s="621"/>
      <c r="D44" s="600"/>
      <c r="E44" s="613"/>
      <c r="F44" s="635"/>
    </row>
    <row r="45" spans="2:6">
      <c r="B45" s="640" t="s">
        <v>592</v>
      </c>
      <c r="C45" s="621" t="s">
        <v>63</v>
      </c>
      <c r="D45" s="600"/>
      <c r="E45" s="613">
        <v>5000</v>
      </c>
      <c r="F45" s="635"/>
    </row>
    <row r="46" spans="2:6">
      <c r="B46" s="640" t="s">
        <v>593</v>
      </c>
      <c r="C46" s="621" t="s">
        <v>63</v>
      </c>
      <c r="D46" s="600"/>
      <c r="E46" s="613">
        <v>5000</v>
      </c>
      <c r="F46" s="635"/>
    </row>
    <row r="47" spans="2:6">
      <c r="B47" s="640" t="s">
        <v>594</v>
      </c>
      <c r="C47" s="621" t="s">
        <v>63</v>
      </c>
      <c r="D47" s="600"/>
      <c r="E47" s="613">
        <v>5000</v>
      </c>
      <c r="F47" s="635"/>
    </row>
    <row r="48" spans="2:6">
      <c r="B48" s="640" t="s">
        <v>595</v>
      </c>
      <c r="C48" s="621" t="s">
        <v>63</v>
      </c>
      <c r="D48" s="600"/>
      <c r="E48" s="613">
        <v>5000</v>
      </c>
      <c r="F48" s="635"/>
    </row>
    <row r="49" spans="2:6">
      <c r="B49" s="640" t="s">
        <v>596</v>
      </c>
      <c r="C49" s="621" t="s">
        <v>63</v>
      </c>
      <c r="D49" s="600"/>
      <c r="E49" s="613">
        <v>5000</v>
      </c>
      <c r="F49" s="635"/>
    </row>
    <row r="50" spans="2:6">
      <c r="B50" s="640" t="s">
        <v>597</v>
      </c>
      <c r="C50" s="621" t="s">
        <v>63</v>
      </c>
      <c r="D50" s="600"/>
      <c r="E50" s="613">
        <v>5000</v>
      </c>
      <c r="F50" s="635"/>
    </row>
    <row r="51" spans="2:6">
      <c r="B51" s="639" t="s">
        <v>359</v>
      </c>
      <c r="C51" s="621"/>
      <c r="D51" s="600"/>
      <c r="E51" s="613"/>
      <c r="F51" s="635"/>
    </row>
    <row r="52" spans="2:6">
      <c r="B52" s="640" t="s">
        <v>592</v>
      </c>
      <c r="C52" s="621" t="s">
        <v>63</v>
      </c>
      <c r="D52" s="600"/>
      <c r="E52" s="613">
        <v>5000</v>
      </c>
      <c r="F52" s="635"/>
    </row>
    <row r="53" spans="2:6">
      <c r="B53" s="640" t="s">
        <v>593</v>
      </c>
      <c r="C53" s="621" t="s">
        <v>63</v>
      </c>
      <c r="D53" s="600"/>
      <c r="E53" s="613">
        <v>5000</v>
      </c>
      <c r="F53" s="635"/>
    </row>
    <row r="54" spans="2:6">
      <c r="B54" s="640" t="s">
        <v>594</v>
      </c>
      <c r="C54" s="621" t="s">
        <v>63</v>
      </c>
      <c r="D54" s="600"/>
      <c r="E54" s="613">
        <v>5000</v>
      </c>
      <c r="F54" s="635"/>
    </row>
    <row r="55" spans="2:6">
      <c r="B55" s="640" t="s">
        <v>595</v>
      </c>
      <c r="C55" s="621" t="s">
        <v>63</v>
      </c>
      <c r="D55" s="600"/>
      <c r="E55" s="613">
        <v>5000</v>
      </c>
      <c r="F55" s="635"/>
    </row>
    <row r="56" spans="2:6">
      <c r="B56" s="640" t="s">
        <v>596</v>
      </c>
      <c r="C56" s="621" t="s">
        <v>63</v>
      </c>
      <c r="D56" s="600"/>
      <c r="E56" s="613">
        <v>5000</v>
      </c>
      <c r="F56" s="635"/>
    </row>
    <row r="57" spans="2:6">
      <c r="B57" s="640" t="s">
        <v>597</v>
      </c>
      <c r="C57" s="621" t="s">
        <v>63</v>
      </c>
      <c r="D57" s="600"/>
      <c r="E57" s="613">
        <v>5000</v>
      </c>
      <c r="F57" s="635"/>
    </row>
    <row r="58" spans="2:6">
      <c r="B58" s="620"/>
      <c r="C58" s="621"/>
      <c r="D58" s="600"/>
      <c r="E58" s="613"/>
      <c r="F58" s="635"/>
    </row>
    <row r="59" spans="2:6">
      <c r="B59" s="620" t="s">
        <v>221</v>
      </c>
      <c r="C59" s="621" t="s">
        <v>86</v>
      </c>
      <c r="D59" s="600"/>
      <c r="E59" s="613">
        <v>5</v>
      </c>
      <c r="F59" s="635"/>
    </row>
    <row r="60" spans="2:6">
      <c r="B60" s="620" t="s">
        <v>216</v>
      </c>
      <c r="C60" s="621" t="s">
        <v>85</v>
      </c>
      <c r="D60" s="600"/>
      <c r="E60" s="613">
        <v>1500</v>
      </c>
      <c r="F60" s="635"/>
    </row>
    <row r="61" spans="2:6">
      <c r="B61" s="620" t="s">
        <v>154</v>
      </c>
      <c r="C61" s="621" t="s">
        <v>150</v>
      </c>
      <c r="D61" s="600">
        <v>1</v>
      </c>
      <c r="E61" s="613">
        <v>250</v>
      </c>
      <c r="F61" s="635"/>
    </row>
    <row r="62" spans="2:6">
      <c r="B62" s="620" t="s">
        <v>217</v>
      </c>
      <c r="C62" s="621" t="s">
        <v>160</v>
      </c>
      <c r="D62" s="600"/>
      <c r="E62" s="613">
        <v>600</v>
      </c>
      <c r="F62" s="635"/>
    </row>
    <row r="63" spans="2:6">
      <c r="B63" s="620"/>
      <c r="C63" s="621"/>
      <c r="D63" s="600"/>
      <c r="E63" s="613"/>
      <c r="F63" s="635"/>
    </row>
    <row r="64" spans="2:6">
      <c r="B64" s="620" t="s">
        <v>218</v>
      </c>
      <c r="C64" s="621" t="s">
        <v>63</v>
      </c>
      <c r="D64" s="600"/>
      <c r="E64" s="613">
        <v>500</v>
      </c>
      <c r="F64" s="635"/>
    </row>
    <row r="65" spans="2:6">
      <c r="B65" s="620" t="s">
        <v>220</v>
      </c>
      <c r="C65" s="621" t="s">
        <v>150</v>
      </c>
      <c r="D65" s="600">
        <v>1</v>
      </c>
      <c r="E65" s="613">
        <v>2000</v>
      </c>
      <c r="F65" s="635"/>
    </row>
    <row r="66" spans="2:6">
      <c r="B66" s="620" t="s">
        <v>222</v>
      </c>
      <c r="C66" s="621" t="s">
        <v>86</v>
      </c>
      <c r="D66" s="600"/>
      <c r="E66" s="613">
        <v>100</v>
      </c>
      <c r="F66" s="635"/>
    </row>
    <row r="67" spans="2:6">
      <c r="B67" s="634"/>
      <c r="C67" s="630"/>
      <c r="D67" s="632"/>
      <c r="E67" s="632"/>
      <c r="F67" s="635"/>
    </row>
    <row r="68" spans="2:6">
      <c r="B68" s="634"/>
      <c r="C68" s="630"/>
      <c r="D68" s="632"/>
      <c r="E68" s="632"/>
      <c r="F68" s="635"/>
    </row>
    <row r="69" spans="2:6">
      <c r="B69" s="634"/>
      <c r="C69" s="630"/>
      <c r="D69" s="632"/>
      <c r="E69" s="632"/>
      <c r="F69" s="635"/>
    </row>
    <row r="70" spans="2:6">
      <c r="B70" s="634"/>
      <c r="C70" s="630"/>
      <c r="D70" s="632"/>
      <c r="E70" s="632"/>
      <c r="F70" s="635"/>
    </row>
    <row r="269" spans="3:11">
      <c r="D269" s="795"/>
    </row>
    <row r="271" spans="3:11">
      <c r="C271" s="551" t="s">
        <v>360</v>
      </c>
      <c r="D271" s="551" t="s">
        <v>361</v>
      </c>
      <c r="E271" s="551" t="s">
        <v>362</v>
      </c>
      <c r="F271" s="1203" t="s">
        <v>379</v>
      </c>
      <c r="G271" s="1203"/>
      <c r="H271" s="1203" t="s">
        <v>380</v>
      </c>
      <c r="I271" s="1203"/>
      <c r="J271" s="1203" t="s">
        <v>619</v>
      </c>
      <c r="K271" s="1203"/>
    </row>
    <row r="272" spans="3:11">
      <c r="C272" s="551"/>
      <c r="D272" s="551"/>
      <c r="E272" s="551"/>
    </row>
    <row r="273" spans="2:11">
      <c r="B273" s="642" t="s">
        <v>357</v>
      </c>
      <c r="C273" s="643">
        <v>180</v>
      </c>
      <c r="D273" s="845">
        <f>'Расчёт-Бревно ОЦБ'!H284</f>
        <v>2</v>
      </c>
      <c r="E273" s="845">
        <f>'Расчёт-Бревно ОЦБ'!I284</f>
        <v>1</v>
      </c>
      <c r="F273" s="846">
        <v>80000</v>
      </c>
      <c r="G273" s="847"/>
      <c r="H273" s="846">
        <v>70000</v>
      </c>
      <c r="I273" s="847"/>
      <c r="J273" s="846">
        <v>16000</v>
      </c>
      <c r="K273" s="848"/>
    </row>
    <row r="274" spans="2:11">
      <c r="B274" s="642" t="s">
        <v>357</v>
      </c>
      <c r="C274" s="643">
        <v>200</v>
      </c>
      <c r="D274" s="845">
        <f>'Расчёт-Бревно ОЦБ'!H298</f>
        <v>2</v>
      </c>
      <c r="E274" s="845">
        <f>'Расчёт-Бревно ОЦБ'!I298</f>
        <v>1</v>
      </c>
      <c r="F274" s="846">
        <v>80000</v>
      </c>
      <c r="G274" s="847"/>
      <c r="H274" s="846">
        <v>70000</v>
      </c>
      <c r="I274" s="847"/>
      <c r="J274" s="846">
        <v>16000</v>
      </c>
      <c r="K274" s="848"/>
    </row>
    <row r="275" spans="2:11">
      <c r="B275" s="642" t="s">
        <v>357</v>
      </c>
      <c r="C275" s="643">
        <v>220</v>
      </c>
      <c r="D275" s="845">
        <f>'Расчёт-Бревно ОЦБ'!H312</f>
        <v>3</v>
      </c>
      <c r="E275" s="845">
        <f>'Расчёт-Бревно ОЦБ'!I312</f>
        <v>0</v>
      </c>
      <c r="F275" s="846">
        <v>80000</v>
      </c>
      <c r="G275" s="847"/>
      <c r="H275" s="846">
        <v>70000</v>
      </c>
      <c r="I275" s="847"/>
      <c r="J275" s="846">
        <v>16000</v>
      </c>
      <c r="K275" s="848"/>
    </row>
    <row r="276" spans="2:11">
      <c r="B276" s="642" t="s">
        <v>357</v>
      </c>
      <c r="C276" s="643">
        <v>240</v>
      </c>
      <c r="D276" s="845">
        <f>'Расчёт-Бревно ОЦБ'!H326</f>
        <v>3</v>
      </c>
      <c r="E276" s="845">
        <f>'Расчёт-Бревно ОЦБ'!I326</f>
        <v>1</v>
      </c>
      <c r="F276" s="846">
        <v>80000</v>
      </c>
      <c r="G276" s="847"/>
      <c r="H276" s="846">
        <v>70000</v>
      </c>
      <c r="I276" s="847"/>
      <c r="J276" s="846">
        <v>16000</v>
      </c>
      <c r="K276" s="848"/>
    </row>
    <row r="277" spans="2:11">
      <c r="B277" s="642" t="s">
        <v>357</v>
      </c>
      <c r="C277" s="643">
        <v>260</v>
      </c>
      <c r="D277" s="845">
        <f>'Расчёт-Бревно ОЦБ'!H340</f>
        <v>3</v>
      </c>
      <c r="E277" s="845">
        <f>'Расчёт-Бревно ОЦБ'!I340</f>
        <v>1</v>
      </c>
      <c r="F277" s="846">
        <v>80000</v>
      </c>
      <c r="G277" s="847"/>
      <c r="H277" s="846">
        <v>70000</v>
      </c>
      <c r="I277" s="847"/>
      <c r="J277" s="846">
        <v>16500</v>
      </c>
      <c r="K277" s="848"/>
    </row>
    <row r="278" spans="2:11">
      <c r="B278" s="642" t="s">
        <v>357</v>
      </c>
      <c r="C278" s="643">
        <v>280</v>
      </c>
      <c r="D278" s="845">
        <f>'Расчёт-Бревно ОЦБ'!H354</f>
        <v>4</v>
      </c>
      <c r="E278" s="845">
        <f>'Расчёт-Бревно ОЦБ'!I354</f>
        <v>0</v>
      </c>
      <c r="F278" s="846">
        <v>80000</v>
      </c>
      <c r="G278" s="847"/>
      <c r="H278" s="846">
        <v>70000</v>
      </c>
      <c r="I278" s="847"/>
      <c r="J278" s="846">
        <v>16500</v>
      </c>
      <c r="K278" s="848"/>
    </row>
    <row r="279" spans="2:11">
      <c r="B279" s="642" t="s">
        <v>357</v>
      </c>
      <c r="C279" s="643">
        <v>300</v>
      </c>
      <c r="D279" s="845">
        <f>'Расчёт-Бревно ОЦБ'!H368</f>
        <v>4</v>
      </c>
      <c r="E279" s="849">
        <f>'Расчёт-Бревно ОЦБ'!I368</f>
        <v>1</v>
      </c>
      <c r="F279" s="846">
        <v>80000</v>
      </c>
      <c r="G279" s="847"/>
      <c r="H279" s="846">
        <v>70000</v>
      </c>
      <c r="I279" s="847"/>
      <c r="J279" s="846">
        <v>17000</v>
      </c>
      <c r="K279" s="848"/>
    </row>
    <row r="280" spans="2:11">
      <c r="B280" s="653"/>
      <c r="C280" s="653"/>
      <c r="D280" s="850"/>
      <c r="E280" s="658"/>
      <c r="F280" s="851"/>
      <c r="G280" s="852"/>
      <c r="H280" s="851"/>
      <c r="I280" s="852"/>
      <c r="J280" s="851"/>
      <c r="K280" s="853"/>
    </row>
    <row r="281" spans="2:11">
      <c r="B281" s="642" t="s">
        <v>358</v>
      </c>
      <c r="C281" s="643">
        <v>200</v>
      </c>
      <c r="D281" s="845">
        <f>'Расчёт-Бревно ОЦБ'!H382</f>
        <v>3</v>
      </c>
      <c r="E281" s="849">
        <f>'Расчёт-Бревно ОЦБ'!I382</f>
        <v>1</v>
      </c>
      <c r="F281" s="846">
        <v>150000</v>
      </c>
      <c r="G281" s="847"/>
      <c r="H281" s="846">
        <v>130000</v>
      </c>
      <c r="I281" s="847"/>
      <c r="J281" s="846">
        <v>23000</v>
      </c>
      <c r="K281" s="848"/>
    </row>
    <row r="282" spans="2:11">
      <c r="B282" s="642" t="s">
        <v>358</v>
      </c>
      <c r="C282" s="643">
        <v>220</v>
      </c>
      <c r="D282" s="845">
        <f>'Расчёт-Бревно ОЦБ'!H396</f>
        <v>3</v>
      </c>
      <c r="E282" s="849">
        <f>'Расчёт-Бревно ОЦБ'!I396</f>
        <v>1</v>
      </c>
      <c r="F282" s="846">
        <v>150000</v>
      </c>
      <c r="G282" s="847"/>
      <c r="H282" s="846">
        <v>130000</v>
      </c>
      <c r="I282" s="847"/>
      <c r="J282" s="846">
        <v>23000</v>
      </c>
      <c r="K282" s="848"/>
    </row>
    <row r="283" spans="2:11">
      <c r="B283" s="642" t="s">
        <v>358</v>
      </c>
      <c r="C283" s="643">
        <v>240</v>
      </c>
      <c r="D283" s="845">
        <f>'Расчёт-Бревно ОЦБ'!H410</f>
        <v>4</v>
      </c>
      <c r="E283" s="849">
        <f>'Расчёт-Бревно ОЦБ'!I410</f>
        <v>0</v>
      </c>
      <c r="F283" s="846">
        <v>150000</v>
      </c>
      <c r="G283" s="847"/>
      <c r="H283" s="846">
        <v>130000</v>
      </c>
      <c r="I283" s="847"/>
      <c r="J283" s="846">
        <v>23000</v>
      </c>
      <c r="K283" s="848"/>
    </row>
    <row r="284" spans="2:11">
      <c r="B284" s="642" t="s">
        <v>358</v>
      </c>
      <c r="C284" s="643">
        <v>260</v>
      </c>
      <c r="D284" s="845">
        <f>'Расчёт-Бревно ОЦБ'!H424</f>
        <v>4</v>
      </c>
      <c r="E284" s="849">
        <f>'Расчёт-Бревно ОЦБ'!I424</f>
        <v>1</v>
      </c>
      <c r="F284" s="846">
        <v>150000</v>
      </c>
      <c r="G284" s="847"/>
      <c r="H284" s="846">
        <v>130000</v>
      </c>
      <c r="I284" s="847"/>
      <c r="J284" s="846">
        <v>23500</v>
      </c>
      <c r="K284" s="848"/>
    </row>
    <row r="285" spans="2:11">
      <c r="B285" s="642" t="s">
        <v>358</v>
      </c>
      <c r="C285" s="643">
        <v>280</v>
      </c>
      <c r="D285" s="845">
        <f>'Расчёт-Бревно ОЦБ'!H438</f>
        <v>4</v>
      </c>
      <c r="E285" s="849">
        <f>'Расчёт-Бревно ОЦБ'!I438</f>
        <v>1</v>
      </c>
      <c r="F285" s="846">
        <v>150000</v>
      </c>
      <c r="G285" s="847"/>
      <c r="H285" s="846">
        <v>130000</v>
      </c>
      <c r="I285" s="847"/>
      <c r="J285" s="846">
        <v>23500</v>
      </c>
      <c r="K285" s="848"/>
    </row>
    <row r="286" spans="2:11">
      <c r="B286" s="642" t="s">
        <v>358</v>
      </c>
      <c r="C286" s="643">
        <v>300</v>
      </c>
      <c r="D286" s="845">
        <f>'Расчёт-Бревно ОЦБ'!H452</f>
        <v>5</v>
      </c>
      <c r="E286" s="849">
        <f>'Расчёт-Бревно ОЦБ'!I452</f>
        <v>1</v>
      </c>
      <c r="F286" s="846">
        <v>150000</v>
      </c>
      <c r="G286" s="847"/>
      <c r="H286" s="846">
        <v>130000</v>
      </c>
      <c r="I286" s="847"/>
      <c r="J286" s="846">
        <v>24000</v>
      </c>
      <c r="K286" s="848"/>
    </row>
    <row r="287" spans="2:11">
      <c r="B287" s="653"/>
      <c r="C287" s="653"/>
      <c r="D287" s="850"/>
      <c r="E287" s="658"/>
      <c r="F287" s="851"/>
      <c r="G287" s="852"/>
      <c r="H287" s="851"/>
      <c r="I287" s="852"/>
      <c r="J287" s="851"/>
      <c r="K287" s="853"/>
    </row>
    <row r="288" spans="2:11">
      <c r="B288" s="642" t="s">
        <v>359</v>
      </c>
      <c r="C288" s="643">
        <v>200</v>
      </c>
      <c r="D288" s="845">
        <f>'Расчёт-Бревно ОЦБ'!H466</f>
        <v>2</v>
      </c>
      <c r="E288" s="849">
        <f>'Расчёт-Бревно ОЦБ'!I466</f>
        <v>1</v>
      </c>
      <c r="F288" s="846">
        <v>150000</v>
      </c>
      <c r="G288" s="847"/>
      <c r="H288" s="846">
        <v>130000</v>
      </c>
      <c r="I288" s="847"/>
      <c r="J288" s="846">
        <v>23000</v>
      </c>
      <c r="K288" s="848"/>
    </row>
    <row r="289" spans="2:11">
      <c r="B289" s="642" t="s">
        <v>359</v>
      </c>
      <c r="C289" s="643">
        <v>220</v>
      </c>
      <c r="D289" s="845">
        <f>'Расчёт-Бревно ОЦБ'!H480</f>
        <v>3</v>
      </c>
      <c r="E289" s="849">
        <f>'Расчёт-Бревно ОЦБ'!I480</f>
        <v>0</v>
      </c>
      <c r="F289" s="846">
        <v>150000</v>
      </c>
      <c r="G289" s="847"/>
      <c r="H289" s="846">
        <v>130000</v>
      </c>
      <c r="I289" s="847"/>
      <c r="J289" s="846">
        <v>23000</v>
      </c>
      <c r="K289" s="848"/>
    </row>
    <row r="290" spans="2:11">
      <c r="B290" s="642" t="s">
        <v>359</v>
      </c>
      <c r="C290" s="643">
        <v>240</v>
      </c>
      <c r="D290" s="845">
        <f>'Расчёт-Бревно ОЦБ'!H494</f>
        <v>3</v>
      </c>
      <c r="E290" s="849">
        <f>'Расчёт-Бревно ОЦБ'!I494</f>
        <v>1</v>
      </c>
      <c r="F290" s="846">
        <v>150000</v>
      </c>
      <c r="G290" s="847"/>
      <c r="H290" s="846">
        <v>130000</v>
      </c>
      <c r="I290" s="847"/>
      <c r="J290" s="846">
        <v>23000</v>
      </c>
      <c r="K290" s="848"/>
    </row>
    <row r="291" spans="2:11">
      <c r="B291" s="642" t="s">
        <v>359</v>
      </c>
      <c r="C291" s="643">
        <v>260</v>
      </c>
      <c r="D291" s="845">
        <f>'Расчёт-Бревно ОЦБ'!H508</f>
        <v>3</v>
      </c>
      <c r="E291" s="849">
        <f>'Расчёт-Бревно ОЦБ'!I508</f>
        <v>1</v>
      </c>
      <c r="F291" s="846">
        <v>150000</v>
      </c>
      <c r="G291" s="847"/>
      <c r="H291" s="846">
        <v>130000</v>
      </c>
      <c r="I291" s="847"/>
      <c r="J291" s="846">
        <v>23500</v>
      </c>
      <c r="K291" s="848"/>
    </row>
    <row r="292" spans="2:11">
      <c r="B292" s="642" t="s">
        <v>359</v>
      </c>
      <c r="C292" s="643">
        <v>280</v>
      </c>
      <c r="D292" s="845">
        <f>'Расчёт-Бревно ОЦБ'!H522</f>
        <v>4</v>
      </c>
      <c r="E292" s="849">
        <f>'Расчёт-Бревно ОЦБ'!I522</f>
        <v>0</v>
      </c>
      <c r="F292" s="846">
        <v>150000</v>
      </c>
      <c r="G292" s="847"/>
      <c r="H292" s="846">
        <v>130000</v>
      </c>
      <c r="I292" s="847"/>
      <c r="J292" s="846">
        <v>23500</v>
      </c>
      <c r="K292" s="848"/>
    </row>
    <row r="293" spans="2:11">
      <c r="B293" s="642" t="s">
        <v>359</v>
      </c>
      <c r="C293" s="643">
        <v>300</v>
      </c>
      <c r="D293" s="845">
        <f>'Расчёт-Бревно ОЦБ'!H536</f>
        <v>4</v>
      </c>
      <c r="E293" s="849">
        <f>'Расчёт-Бревно ОЦБ'!I536</f>
        <v>1</v>
      </c>
      <c r="F293" s="846">
        <v>150000</v>
      </c>
      <c r="G293" s="847"/>
      <c r="H293" s="846">
        <v>130000</v>
      </c>
      <c r="I293" s="847"/>
      <c r="J293" s="846">
        <v>24000</v>
      </c>
      <c r="K293" s="848"/>
    </row>
    <row r="294" spans="2:11">
      <c r="B294" s="642"/>
      <c r="C294" s="643"/>
      <c r="D294" s="845"/>
      <c r="E294" s="849"/>
      <c r="F294" s="846"/>
      <c r="G294" s="847"/>
      <c r="H294" s="846"/>
      <c r="I294" s="847"/>
      <c r="J294" s="846"/>
      <c r="K294" s="848"/>
    </row>
  </sheetData>
  <sheetProtection algorithmName="SHA-512" hashValue="NCi5vy/bWmdEc4P6qCyMuCo8XXQSR0RrxWdwxVtGJ2Pwt2bnBeLs7nBbYDfPnln7/7DC4s6f1Or6dTXMYpIp6Q==" saltValue="KSV/WRehgVaTlbNaSekGFg==" spinCount="100000" sheet="1" objects="1" scenarios="1"/>
  <customSheetViews>
    <customSheetView guid="{3274156B-1D2A-4448-883E-F1EEF1AAE0AF}" topLeftCell="A58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7">
    <mergeCell ref="H2:J2"/>
    <mergeCell ref="G3:K4"/>
    <mergeCell ref="G9:H9"/>
    <mergeCell ref="G27:H27"/>
    <mergeCell ref="J271:K271"/>
    <mergeCell ref="F271:G271"/>
    <mergeCell ref="H271:I271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F55D-3BE2-4CFD-B5D5-DE13B9388735}">
  <sheetPr codeName="Worksheet____9">
    <tabColor rgb="FFFFFF00"/>
  </sheetPr>
  <dimension ref="A2:W356"/>
  <sheetViews>
    <sheetView workbookViewId="0">
      <selection activeCell="I11" sqref="I11"/>
    </sheetView>
  </sheetViews>
  <sheetFormatPr baseColWidth="10" defaultColWidth="8.83203125" defaultRowHeight="15"/>
  <cols>
    <col min="1" max="1" width="8.83203125" style="544"/>
    <col min="2" max="2" width="43.5" style="544" customWidth="1"/>
    <col min="3" max="3" width="8.83203125" style="544"/>
    <col min="4" max="4" width="12.5" style="544" customWidth="1"/>
    <col min="5" max="5" width="11.1640625" style="544" customWidth="1"/>
    <col min="6" max="6" width="17.33203125" style="544" customWidth="1"/>
    <col min="7" max="7" width="9.83203125" style="544" bestFit="1" customWidth="1"/>
    <col min="8" max="8" width="8.83203125" style="544"/>
    <col min="9" max="12" width="12.33203125" style="544" customWidth="1"/>
    <col min="13" max="14" width="8.83203125" style="544"/>
    <col min="15" max="15" width="8.83203125" style="544" customWidth="1"/>
    <col min="16" max="16384" width="8.83203125" style="544"/>
  </cols>
  <sheetData>
    <row r="2" spans="1:6">
      <c r="B2" s="634"/>
      <c r="C2" s="612"/>
      <c r="D2" s="613"/>
      <c r="E2" s="613"/>
      <c r="F2" s="614"/>
    </row>
    <row r="3" spans="1:6">
      <c r="B3" s="634"/>
      <c r="C3" s="612"/>
      <c r="D3" s="854" t="s">
        <v>213</v>
      </c>
      <c r="E3" s="854" t="s">
        <v>214</v>
      </c>
      <c r="F3" s="614"/>
    </row>
    <row r="4" spans="1:6">
      <c r="B4" s="741" t="s">
        <v>192</v>
      </c>
      <c r="C4" s="742" t="s">
        <v>86</v>
      </c>
      <c r="D4" s="743">
        <v>65.2</v>
      </c>
      <c r="E4" s="744"/>
      <c r="F4" s="745"/>
    </row>
    <row r="5" spans="1:6">
      <c r="A5" s="789"/>
      <c r="B5" s="746" t="s">
        <v>204</v>
      </c>
      <c r="C5" s="612" t="s">
        <v>63</v>
      </c>
      <c r="D5" s="747">
        <f>D301</f>
        <v>0</v>
      </c>
      <c r="E5" s="613"/>
      <c r="F5" s="614"/>
    </row>
    <row r="6" spans="1:6">
      <c r="A6" s="789"/>
      <c r="B6" s="748" t="s">
        <v>205</v>
      </c>
      <c r="C6" s="612" t="s">
        <v>63</v>
      </c>
      <c r="D6" s="747">
        <f>F301</f>
        <v>0</v>
      </c>
      <c r="E6" s="613">
        <f>I301</f>
        <v>0</v>
      </c>
      <c r="F6" s="614"/>
    </row>
    <row r="7" spans="1:6">
      <c r="A7" s="789"/>
      <c r="B7" s="748" t="s">
        <v>147</v>
      </c>
      <c r="C7" s="612" t="s">
        <v>86</v>
      </c>
      <c r="D7" s="749"/>
      <c r="E7" s="613">
        <v>9</v>
      </c>
      <c r="F7" s="614"/>
    </row>
    <row r="8" spans="1:6">
      <c r="A8" s="789"/>
      <c r="B8" s="750" t="s">
        <v>180</v>
      </c>
      <c r="C8" s="612" t="s">
        <v>182</v>
      </c>
      <c r="D8" s="749"/>
      <c r="E8" s="613">
        <v>60</v>
      </c>
      <c r="F8" s="614"/>
    </row>
    <row r="9" spans="1:6">
      <c r="A9" s="789"/>
      <c r="B9" s="750" t="s">
        <v>553</v>
      </c>
      <c r="C9" s="612" t="s">
        <v>85</v>
      </c>
      <c r="D9" s="749">
        <v>4</v>
      </c>
      <c r="E9" s="613"/>
      <c r="F9" s="614"/>
    </row>
    <row r="10" spans="1:6">
      <c r="A10" s="789"/>
      <c r="B10" s="750" t="s">
        <v>554</v>
      </c>
      <c r="C10" s="612" t="s">
        <v>85</v>
      </c>
      <c r="D10" s="749">
        <v>4</v>
      </c>
      <c r="E10" s="613"/>
      <c r="F10" s="614"/>
    </row>
    <row r="11" spans="1:6">
      <c r="A11" s="789"/>
      <c r="B11" s="750" t="s">
        <v>556</v>
      </c>
      <c r="C11" s="612" t="s">
        <v>85</v>
      </c>
      <c r="D11" s="749"/>
      <c r="E11" s="613"/>
      <c r="F11" s="614"/>
    </row>
    <row r="12" spans="1:6">
      <c r="A12" s="789"/>
      <c r="B12" s="750" t="s">
        <v>555</v>
      </c>
      <c r="C12" s="612" t="s">
        <v>85</v>
      </c>
      <c r="D12" s="749"/>
      <c r="E12" s="613"/>
      <c r="F12" s="614"/>
    </row>
    <row r="13" spans="1:6">
      <c r="A13" s="789"/>
      <c r="B13" s="752" t="s">
        <v>197</v>
      </c>
      <c r="C13" s="612" t="s">
        <v>85</v>
      </c>
      <c r="D13" s="749"/>
      <c r="E13" s="613">
        <v>240</v>
      </c>
      <c r="F13" s="614"/>
    </row>
    <row r="14" spans="1:6">
      <c r="A14" s="789"/>
      <c r="B14" s="755" t="s">
        <v>187</v>
      </c>
      <c r="C14" s="612" t="s">
        <v>85</v>
      </c>
      <c r="D14" s="749"/>
      <c r="E14" s="613">
        <v>4</v>
      </c>
      <c r="F14" s="614"/>
    </row>
    <row r="15" spans="1:6">
      <c r="A15" s="789"/>
      <c r="B15" s="755" t="s">
        <v>198</v>
      </c>
      <c r="C15" s="612" t="s">
        <v>85</v>
      </c>
      <c r="D15" s="749"/>
      <c r="E15" s="613">
        <v>7</v>
      </c>
      <c r="F15" s="614"/>
    </row>
    <row r="16" spans="1:6">
      <c r="A16" s="789"/>
      <c r="B16" s="752" t="s">
        <v>191</v>
      </c>
      <c r="C16" s="612" t="s">
        <v>85</v>
      </c>
      <c r="D16" s="749"/>
      <c r="E16" s="613">
        <v>35</v>
      </c>
      <c r="F16" s="614"/>
    </row>
    <row r="17" spans="1:7">
      <c r="A17" s="789"/>
      <c r="B17" s="752" t="s">
        <v>209</v>
      </c>
      <c r="C17" s="612" t="s">
        <v>85</v>
      </c>
      <c r="D17" s="855">
        <v>2</v>
      </c>
      <c r="E17" s="613">
        <v>680</v>
      </c>
      <c r="F17" s="614"/>
      <c r="G17" s="544" t="s">
        <v>223</v>
      </c>
    </row>
    <row r="18" spans="1:7">
      <c r="A18" s="789"/>
      <c r="B18" s="759" t="s">
        <v>210</v>
      </c>
      <c r="C18" s="612" t="s">
        <v>85</v>
      </c>
      <c r="D18" s="749"/>
      <c r="E18" s="613">
        <v>12</v>
      </c>
      <c r="F18" s="614"/>
    </row>
    <row r="19" spans="1:7">
      <c r="A19" s="789"/>
      <c r="B19" s="752"/>
      <c r="C19" s="612"/>
      <c r="D19" s="749"/>
      <c r="E19" s="613"/>
      <c r="F19" s="614"/>
    </row>
    <row r="20" spans="1:7">
      <c r="A20" s="789"/>
      <c r="B20" s="752" t="s">
        <v>155</v>
      </c>
      <c r="C20" s="612" t="s">
        <v>63</v>
      </c>
      <c r="D20" s="749"/>
      <c r="E20" s="856">
        <v>17000</v>
      </c>
      <c r="F20" s="614"/>
    </row>
    <row r="21" spans="1:7">
      <c r="A21" s="789"/>
      <c r="B21" s="748" t="s">
        <v>194</v>
      </c>
      <c r="C21" s="612" t="s">
        <v>156</v>
      </c>
      <c r="D21" s="749"/>
      <c r="E21" s="613">
        <v>150</v>
      </c>
      <c r="F21" s="614"/>
    </row>
    <row r="22" spans="1:7">
      <c r="A22" s="789"/>
      <c r="B22" s="748"/>
      <c r="C22" s="612"/>
      <c r="D22" s="749"/>
      <c r="E22" s="613"/>
      <c r="F22" s="614"/>
    </row>
    <row r="23" spans="1:7">
      <c r="A23" s="789"/>
      <c r="B23" s="748" t="s">
        <v>89</v>
      </c>
      <c r="C23" s="612" t="s">
        <v>85</v>
      </c>
      <c r="D23" s="749"/>
      <c r="E23" s="613">
        <v>65</v>
      </c>
      <c r="F23" s="614"/>
    </row>
    <row r="24" spans="1:7">
      <c r="A24" s="789"/>
      <c r="B24" s="748" t="s">
        <v>229</v>
      </c>
      <c r="C24" s="612" t="s">
        <v>85</v>
      </c>
      <c r="D24" s="749"/>
      <c r="E24" s="613">
        <v>12</v>
      </c>
      <c r="F24" s="614"/>
    </row>
    <row r="25" spans="1:7">
      <c r="A25" s="789"/>
      <c r="B25" s="748" t="s">
        <v>161</v>
      </c>
      <c r="C25" s="612" t="s">
        <v>156</v>
      </c>
      <c r="D25" s="749"/>
      <c r="E25" s="613">
        <v>380</v>
      </c>
      <c r="F25" s="614"/>
    </row>
    <row r="26" spans="1:7">
      <c r="A26" s="789"/>
      <c r="B26" s="748" t="s">
        <v>387</v>
      </c>
      <c r="C26" s="612" t="s">
        <v>63</v>
      </c>
      <c r="D26" s="749"/>
      <c r="E26" s="613">
        <v>24000</v>
      </c>
      <c r="F26" s="614"/>
    </row>
    <row r="27" spans="1:7">
      <c r="A27" s="789"/>
      <c r="B27" s="748" t="s">
        <v>386</v>
      </c>
      <c r="C27" s="612" t="s">
        <v>63</v>
      </c>
      <c r="D27" s="749"/>
      <c r="E27" s="613">
        <v>24000</v>
      </c>
      <c r="F27" s="614"/>
    </row>
    <row r="28" spans="1:7">
      <c r="A28" s="789"/>
      <c r="B28" s="857" t="s">
        <v>193</v>
      </c>
      <c r="C28" s="612"/>
      <c r="D28" s="749"/>
      <c r="E28" s="613"/>
      <c r="F28" s="614"/>
    </row>
    <row r="29" spans="1:7">
      <c r="A29" s="789"/>
      <c r="B29" s="748" t="s">
        <v>215</v>
      </c>
      <c r="C29" s="612" t="s">
        <v>63</v>
      </c>
      <c r="D29" s="749"/>
      <c r="E29" s="613">
        <v>5000</v>
      </c>
      <c r="F29" s="614"/>
    </row>
    <row r="30" spans="1:7">
      <c r="A30" s="789"/>
      <c r="B30" s="748" t="s">
        <v>221</v>
      </c>
      <c r="C30" s="612" t="s">
        <v>86</v>
      </c>
      <c r="D30" s="749"/>
      <c r="E30" s="613">
        <v>5</v>
      </c>
      <c r="F30" s="614"/>
    </row>
    <row r="31" spans="1:7">
      <c r="A31" s="789"/>
      <c r="B31" s="748" t="s">
        <v>216</v>
      </c>
      <c r="C31" s="612" t="s">
        <v>85</v>
      </c>
      <c r="D31" s="749"/>
      <c r="E31" s="613">
        <v>1500</v>
      </c>
      <c r="F31" s="614"/>
    </row>
    <row r="32" spans="1:7">
      <c r="A32" s="789"/>
      <c r="B32" s="748" t="s">
        <v>154</v>
      </c>
      <c r="C32" s="612" t="s">
        <v>150</v>
      </c>
      <c r="D32" s="749">
        <v>1</v>
      </c>
      <c r="E32" s="613">
        <v>200</v>
      </c>
      <c r="F32" s="614"/>
    </row>
    <row r="33" spans="1:7">
      <c r="A33" s="789"/>
      <c r="B33" s="748" t="s">
        <v>217</v>
      </c>
      <c r="C33" s="612" t="s">
        <v>160</v>
      </c>
      <c r="D33" s="749"/>
      <c r="E33" s="613">
        <v>600</v>
      </c>
      <c r="F33" s="614"/>
    </row>
    <row r="34" spans="1:7">
      <c r="A34" s="789"/>
      <c r="B34" s="748" t="s">
        <v>218</v>
      </c>
      <c r="C34" s="612" t="s">
        <v>63</v>
      </c>
      <c r="D34" s="749"/>
      <c r="E34" s="613">
        <v>500</v>
      </c>
      <c r="F34" s="614"/>
    </row>
    <row r="35" spans="1:7">
      <c r="A35" s="789"/>
      <c r="B35" s="748" t="s">
        <v>220</v>
      </c>
      <c r="C35" s="612" t="s">
        <v>150</v>
      </c>
      <c r="D35" s="749">
        <v>1</v>
      </c>
      <c r="E35" s="613">
        <v>2000</v>
      </c>
      <c r="F35" s="614"/>
    </row>
    <row r="36" spans="1:7">
      <c r="A36" s="789"/>
      <c r="B36" s="748" t="s">
        <v>222</v>
      </c>
      <c r="C36" s="612" t="s">
        <v>86</v>
      </c>
      <c r="D36" s="749"/>
      <c r="E36" s="613">
        <v>100</v>
      </c>
      <c r="F36" s="614"/>
    </row>
    <row r="37" spans="1:7">
      <c r="A37" s="789"/>
      <c r="B37" s="748"/>
      <c r="C37" s="612"/>
      <c r="D37" s="749"/>
      <c r="E37" s="613"/>
      <c r="F37" s="614"/>
    </row>
    <row r="38" spans="1:7">
      <c r="A38" s="789"/>
      <c r="B38" s="748"/>
      <c r="C38" s="612"/>
      <c r="D38" s="749"/>
      <c r="E38" s="613"/>
      <c r="F38" s="614"/>
    </row>
    <row r="39" spans="1:7">
      <c r="A39" s="789"/>
      <c r="B39" s="770" t="s">
        <v>192</v>
      </c>
      <c r="C39" s="612" t="s">
        <v>86</v>
      </c>
      <c r="D39" s="777">
        <f>D4</f>
        <v>65.2</v>
      </c>
      <c r="E39" s="613"/>
      <c r="F39" s="614"/>
    </row>
    <row r="40" spans="1:7">
      <c r="A40" s="789"/>
      <c r="B40" s="770" t="s">
        <v>206</v>
      </c>
      <c r="C40" s="612" t="s">
        <v>63</v>
      </c>
      <c r="D40" s="776">
        <f>D302</f>
        <v>0</v>
      </c>
      <c r="E40" s="613"/>
      <c r="F40" s="614"/>
    </row>
    <row r="41" spans="1:7">
      <c r="A41" s="789"/>
      <c r="B41" s="770" t="s">
        <v>207</v>
      </c>
      <c r="C41" s="612" t="s">
        <v>63</v>
      </c>
      <c r="D41" s="776">
        <f>F302</f>
        <v>0</v>
      </c>
      <c r="E41" s="613">
        <f>I302</f>
        <v>0</v>
      </c>
      <c r="F41" s="614"/>
    </row>
    <row r="42" spans="1:7">
      <c r="A42" s="789"/>
      <c r="B42" s="770" t="s">
        <v>147</v>
      </c>
      <c r="C42" s="612" t="s">
        <v>86</v>
      </c>
      <c r="D42" s="778">
        <f>H302</f>
        <v>0</v>
      </c>
      <c r="E42" s="613">
        <v>9</v>
      </c>
      <c r="F42" s="614"/>
    </row>
    <row r="43" spans="1:7">
      <c r="A43" s="789"/>
      <c r="B43" s="772" t="s">
        <v>180</v>
      </c>
      <c r="C43" s="612" t="s">
        <v>182</v>
      </c>
      <c r="D43" s="778"/>
      <c r="E43" s="613">
        <v>60</v>
      </c>
      <c r="F43" s="614"/>
    </row>
    <row r="44" spans="1:7">
      <c r="A44" s="789"/>
      <c r="B44" s="773" t="s">
        <v>197</v>
      </c>
      <c r="C44" s="612" t="s">
        <v>85</v>
      </c>
      <c r="D44" s="778"/>
      <c r="E44" s="613">
        <v>240</v>
      </c>
      <c r="F44" s="614"/>
    </row>
    <row r="45" spans="1:7">
      <c r="A45" s="789"/>
      <c r="B45" s="774" t="s">
        <v>187</v>
      </c>
      <c r="C45" s="612" t="s">
        <v>85</v>
      </c>
      <c r="D45" s="778"/>
      <c r="E45" s="613">
        <v>4</v>
      </c>
      <c r="F45" s="614"/>
    </row>
    <row r="46" spans="1:7">
      <c r="A46" s="789"/>
      <c r="B46" s="774" t="s">
        <v>198</v>
      </c>
      <c r="C46" s="612" t="s">
        <v>85</v>
      </c>
      <c r="D46" s="778"/>
      <c r="E46" s="613">
        <v>7</v>
      </c>
      <c r="F46" s="614"/>
    </row>
    <row r="47" spans="1:7">
      <c r="A47" s="789"/>
      <c r="B47" s="773" t="s">
        <v>191</v>
      </c>
      <c r="C47" s="612" t="s">
        <v>85</v>
      </c>
      <c r="D47" s="778"/>
      <c r="E47" s="613">
        <v>35</v>
      </c>
      <c r="F47" s="614"/>
    </row>
    <row r="48" spans="1:7">
      <c r="A48" s="789"/>
      <c r="B48" s="773" t="s">
        <v>209</v>
      </c>
      <c r="C48" s="612" t="s">
        <v>85</v>
      </c>
      <c r="D48" s="855">
        <f>D17</f>
        <v>2</v>
      </c>
      <c r="E48" s="613">
        <v>680</v>
      </c>
      <c r="F48" s="614"/>
      <c r="G48" s="544" t="s">
        <v>223</v>
      </c>
    </row>
    <row r="49" spans="1:6">
      <c r="A49" s="789"/>
      <c r="B49" s="775" t="s">
        <v>210</v>
      </c>
      <c r="C49" s="612" t="s">
        <v>85</v>
      </c>
      <c r="D49" s="778"/>
      <c r="E49" s="613">
        <v>12</v>
      </c>
      <c r="F49" s="614"/>
    </row>
    <row r="50" spans="1:6">
      <c r="A50" s="789"/>
      <c r="B50" s="773"/>
      <c r="C50" s="612"/>
      <c r="D50" s="778"/>
      <c r="E50" s="613"/>
      <c r="F50" s="614"/>
    </row>
    <row r="51" spans="1:6">
      <c r="A51" s="789"/>
      <c r="B51" s="773" t="s">
        <v>155</v>
      </c>
      <c r="C51" s="612" t="s">
        <v>63</v>
      </c>
      <c r="D51" s="778"/>
      <c r="E51" s="613">
        <v>17000</v>
      </c>
      <c r="F51" s="614"/>
    </row>
    <row r="52" spans="1:6">
      <c r="A52" s="789"/>
      <c r="B52" s="770" t="s">
        <v>194</v>
      </c>
      <c r="C52" s="612" t="s">
        <v>156</v>
      </c>
      <c r="D52" s="778"/>
      <c r="E52" s="613">
        <v>150</v>
      </c>
      <c r="F52" s="614"/>
    </row>
    <row r="53" spans="1:6">
      <c r="A53" s="789"/>
      <c r="B53" s="770"/>
      <c r="C53" s="612"/>
      <c r="D53" s="778"/>
      <c r="E53" s="613"/>
      <c r="F53" s="614"/>
    </row>
    <row r="54" spans="1:6">
      <c r="A54" s="789"/>
      <c r="B54" s="770" t="s">
        <v>89</v>
      </c>
      <c r="C54" s="612" t="s">
        <v>85</v>
      </c>
      <c r="D54" s="778"/>
      <c r="E54" s="613">
        <v>65</v>
      </c>
      <c r="F54" s="614"/>
    </row>
    <row r="55" spans="1:6">
      <c r="A55" s="789"/>
      <c r="B55" s="770" t="s">
        <v>229</v>
      </c>
      <c r="C55" s="612" t="s">
        <v>85</v>
      </c>
      <c r="D55" s="778"/>
      <c r="E55" s="613">
        <v>11</v>
      </c>
      <c r="F55" s="614"/>
    </row>
    <row r="56" spans="1:6">
      <c r="A56" s="789"/>
      <c r="B56" s="770" t="s">
        <v>161</v>
      </c>
      <c r="C56" s="612" t="s">
        <v>156</v>
      </c>
      <c r="D56" s="778"/>
      <c r="E56" s="613">
        <v>380</v>
      </c>
      <c r="F56" s="614"/>
    </row>
    <row r="57" spans="1:6">
      <c r="A57" s="789"/>
      <c r="B57" s="770" t="s">
        <v>387</v>
      </c>
      <c r="C57" s="621" t="s">
        <v>63</v>
      </c>
      <c r="D57" s="778"/>
      <c r="E57" s="587">
        <v>24000</v>
      </c>
      <c r="F57" s="614"/>
    </row>
    <row r="58" spans="1:6">
      <c r="A58" s="789"/>
      <c r="B58" s="770" t="s">
        <v>386</v>
      </c>
      <c r="C58" s="621" t="s">
        <v>63</v>
      </c>
      <c r="D58" s="778"/>
      <c r="E58" s="587">
        <v>24000</v>
      </c>
      <c r="F58" s="614"/>
    </row>
    <row r="59" spans="1:6">
      <c r="A59" s="789"/>
      <c r="B59" s="770"/>
      <c r="C59" s="612"/>
      <c r="D59" s="778"/>
      <c r="E59" s="613"/>
      <c r="F59" s="614"/>
    </row>
    <row r="60" spans="1:6">
      <c r="A60" s="789"/>
      <c r="B60" s="858" t="s">
        <v>193</v>
      </c>
      <c r="C60" s="612"/>
      <c r="D60" s="778"/>
      <c r="E60" s="613"/>
      <c r="F60" s="614"/>
    </row>
    <row r="61" spans="1:6">
      <c r="A61" s="789"/>
      <c r="B61" s="770" t="s">
        <v>215</v>
      </c>
      <c r="C61" s="612" t="s">
        <v>63</v>
      </c>
      <c r="D61" s="778"/>
      <c r="E61" s="613">
        <v>5000</v>
      </c>
      <c r="F61" s="614"/>
    </row>
    <row r="62" spans="1:6">
      <c r="A62" s="789"/>
      <c r="B62" s="770" t="s">
        <v>221</v>
      </c>
      <c r="C62" s="612" t="s">
        <v>86</v>
      </c>
      <c r="D62" s="778"/>
      <c r="E62" s="613">
        <v>5</v>
      </c>
      <c r="F62" s="614"/>
    </row>
    <row r="63" spans="1:6">
      <c r="A63" s="789"/>
      <c r="B63" s="770" t="s">
        <v>216</v>
      </c>
      <c r="C63" s="612" t="s">
        <v>85</v>
      </c>
      <c r="D63" s="778"/>
      <c r="E63" s="613">
        <v>1500</v>
      </c>
      <c r="F63" s="614"/>
    </row>
    <row r="64" spans="1:6">
      <c r="A64" s="789"/>
      <c r="B64" s="770" t="s">
        <v>154</v>
      </c>
      <c r="C64" s="612" t="s">
        <v>150</v>
      </c>
      <c r="D64" s="778">
        <v>1</v>
      </c>
      <c r="E64" s="613">
        <v>200</v>
      </c>
      <c r="F64" s="614"/>
    </row>
    <row r="65" spans="1:11">
      <c r="A65" s="789"/>
      <c r="B65" s="770" t="s">
        <v>217</v>
      </c>
      <c r="C65" s="612" t="s">
        <v>160</v>
      </c>
      <c r="D65" s="778"/>
      <c r="E65" s="613">
        <v>600</v>
      </c>
      <c r="F65" s="614"/>
    </row>
    <row r="66" spans="1:11">
      <c r="A66" s="789"/>
      <c r="B66" s="770" t="s">
        <v>218</v>
      </c>
      <c r="C66" s="612" t="s">
        <v>63</v>
      </c>
      <c r="D66" s="778"/>
      <c r="E66" s="613">
        <v>500</v>
      </c>
      <c r="F66" s="614"/>
    </row>
    <row r="67" spans="1:11">
      <c r="A67" s="789"/>
      <c r="B67" s="770" t="s">
        <v>220</v>
      </c>
      <c r="C67" s="612" t="s">
        <v>150</v>
      </c>
      <c r="D67" s="778">
        <v>1</v>
      </c>
      <c r="E67" s="613">
        <v>2000</v>
      </c>
      <c r="F67" s="614"/>
    </row>
    <row r="68" spans="1:11">
      <c r="A68" s="789"/>
      <c r="B68" s="770" t="s">
        <v>222</v>
      </c>
      <c r="C68" s="612" t="s">
        <v>86</v>
      </c>
      <c r="D68" s="778"/>
      <c r="E68" s="613">
        <v>100</v>
      </c>
      <c r="F68" s="614"/>
    </row>
    <row r="69" spans="1:11">
      <c r="A69" s="789"/>
      <c r="B69" s="770"/>
      <c r="C69" s="612"/>
      <c r="D69" s="778"/>
      <c r="E69" s="613"/>
      <c r="F69" s="614"/>
    </row>
    <row r="70" spans="1:11">
      <c r="A70" s="789"/>
      <c r="B70" s="770"/>
      <c r="C70" s="612"/>
      <c r="D70" s="778"/>
      <c r="E70" s="613"/>
      <c r="F70" s="614"/>
    </row>
    <row r="71" spans="1:11">
      <c r="A71" s="789"/>
      <c r="B71" s="611" t="s">
        <v>208</v>
      </c>
      <c r="C71" s="612" t="s">
        <v>86</v>
      </c>
      <c r="D71" s="595">
        <f>D4</f>
        <v>65.2</v>
      </c>
      <c r="E71" s="613"/>
      <c r="F71" s="614"/>
      <c r="H71" s="1309" t="s">
        <v>234</v>
      </c>
      <c r="I71" s="1309"/>
      <c r="J71" s="1309"/>
    </row>
    <row r="72" spans="1:11">
      <c r="A72" s="789"/>
      <c r="B72" s="616" t="s">
        <v>87</v>
      </c>
      <c r="C72" s="612" t="s">
        <v>63</v>
      </c>
      <c r="D72" s="617">
        <v>67.78</v>
      </c>
      <c r="E72" s="613"/>
      <c r="F72" s="614"/>
      <c r="G72" s="1310" t="s">
        <v>233</v>
      </c>
      <c r="H72" s="1311"/>
      <c r="I72" s="1311"/>
      <c r="J72" s="1311"/>
      <c r="K72" s="1311"/>
    </row>
    <row r="73" spans="1:11">
      <c r="A73" s="789"/>
      <c r="B73" s="618" t="s">
        <v>88</v>
      </c>
      <c r="C73" s="612" t="s">
        <v>63</v>
      </c>
      <c r="D73" s="617">
        <v>70.45</v>
      </c>
      <c r="E73" s="613"/>
      <c r="F73" s="614"/>
      <c r="G73" s="1310"/>
      <c r="H73" s="1311"/>
      <c r="I73" s="1311"/>
      <c r="J73" s="1311"/>
      <c r="K73" s="1311"/>
    </row>
    <row r="74" spans="1:11">
      <c r="A74" s="789"/>
      <c r="B74" s="618" t="s">
        <v>147</v>
      </c>
      <c r="C74" s="612" t="s">
        <v>86</v>
      </c>
      <c r="D74" s="619">
        <f>H303</f>
        <v>0</v>
      </c>
      <c r="E74" s="613"/>
      <c r="F74" s="614"/>
    </row>
    <row r="75" spans="1:11">
      <c r="A75" s="789"/>
      <c r="B75" s="620"/>
      <c r="C75" s="621"/>
      <c r="D75" s="600"/>
      <c r="E75" s="613"/>
      <c r="F75" s="614"/>
    </row>
    <row r="76" spans="1:11">
      <c r="A76" s="789"/>
      <c r="B76" s="618" t="s">
        <v>389</v>
      </c>
      <c r="C76" s="612" t="s">
        <v>160</v>
      </c>
      <c r="D76" s="622"/>
      <c r="E76" s="613"/>
      <c r="F76" s="614"/>
    </row>
    <row r="77" spans="1:11">
      <c r="A77" s="789"/>
      <c r="B77" s="618" t="s">
        <v>390</v>
      </c>
      <c r="C77" s="612" t="s">
        <v>160</v>
      </c>
      <c r="D77" s="622">
        <v>35</v>
      </c>
      <c r="E77" s="613"/>
      <c r="F77" s="614"/>
    </row>
    <row r="78" spans="1:11">
      <c r="A78" s="789"/>
      <c r="B78" s="618" t="s">
        <v>391</v>
      </c>
      <c r="C78" s="612" t="s">
        <v>160</v>
      </c>
      <c r="D78" s="622">
        <v>44</v>
      </c>
      <c r="E78" s="613"/>
      <c r="F78" s="614"/>
      <c r="G78" s="1312" t="s">
        <v>394</v>
      </c>
      <c r="H78" s="1313"/>
    </row>
    <row r="79" spans="1:11">
      <c r="A79" s="789"/>
      <c r="B79" s="618" t="s">
        <v>392</v>
      </c>
      <c r="C79" s="612" t="s">
        <v>160</v>
      </c>
      <c r="D79" s="622">
        <v>55</v>
      </c>
      <c r="E79" s="613"/>
      <c r="F79" s="614"/>
    </row>
    <row r="80" spans="1:11">
      <c r="A80" s="789"/>
      <c r="B80" s="618" t="s">
        <v>393</v>
      </c>
      <c r="C80" s="612" t="s">
        <v>160</v>
      </c>
      <c r="D80" s="622">
        <v>30</v>
      </c>
      <c r="E80" s="613"/>
      <c r="F80" s="614"/>
    </row>
    <row r="81" spans="1:8">
      <c r="A81" s="789"/>
      <c r="B81" s="620"/>
      <c r="C81" s="612"/>
      <c r="D81" s="600"/>
      <c r="E81" s="613"/>
      <c r="F81" s="614"/>
    </row>
    <row r="82" spans="1:8">
      <c r="A82" s="789"/>
      <c r="B82" s="611" t="s">
        <v>549</v>
      </c>
      <c r="C82" s="612" t="s">
        <v>63</v>
      </c>
      <c r="D82" s="623"/>
      <c r="E82" s="613">
        <v>17000</v>
      </c>
      <c r="F82" s="614"/>
    </row>
    <row r="83" spans="1:8">
      <c r="A83" s="789"/>
      <c r="B83" s="618" t="s">
        <v>547</v>
      </c>
      <c r="C83" s="612" t="s">
        <v>63</v>
      </c>
      <c r="D83" s="622"/>
      <c r="E83" s="613">
        <v>24000</v>
      </c>
      <c r="F83" s="614"/>
    </row>
    <row r="84" spans="1:8" ht="29.5" customHeight="1">
      <c r="A84" s="789"/>
      <c r="B84" s="624" t="s">
        <v>89</v>
      </c>
      <c r="C84" s="612" t="s">
        <v>85</v>
      </c>
      <c r="D84" s="612"/>
      <c r="E84" s="613">
        <v>65</v>
      </c>
      <c r="F84" s="587"/>
    </row>
    <row r="85" spans="1:8" ht="15.5" customHeight="1">
      <c r="A85" s="789"/>
      <c r="B85" s="624" t="s">
        <v>153</v>
      </c>
      <c r="C85" s="612" t="s">
        <v>85</v>
      </c>
      <c r="D85" s="613"/>
      <c r="E85" s="613">
        <v>13</v>
      </c>
      <c r="F85" s="587"/>
    </row>
    <row r="86" spans="1:8" ht="16.25" customHeight="1">
      <c r="B86" s="625" t="s">
        <v>161</v>
      </c>
      <c r="C86" s="626"/>
      <c r="D86" s="627"/>
      <c r="E86" s="627">
        <v>380</v>
      </c>
      <c r="F86" s="628"/>
    </row>
    <row r="87" spans="1:8" ht="27" customHeight="1">
      <c r="B87" s="629" t="s">
        <v>90</v>
      </c>
      <c r="C87" s="630" t="s">
        <v>86</v>
      </c>
      <c r="D87" s="631">
        <f>H303</f>
        <v>0</v>
      </c>
      <c r="E87" s="632">
        <v>13</v>
      </c>
      <c r="F87" s="633"/>
    </row>
    <row r="88" spans="1:8">
      <c r="B88" s="634" t="s">
        <v>180</v>
      </c>
      <c r="C88" s="630" t="s">
        <v>182</v>
      </c>
      <c r="D88" s="633"/>
      <c r="E88" s="632">
        <v>60</v>
      </c>
      <c r="F88" s="635"/>
    </row>
    <row r="89" spans="1:8">
      <c r="B89" s="634" t="s">
        <v>149</v>
      </c>
      <c r="C89" s="630" t="s">
        <v>85</v>
      </c>
      <c r="D89" s="632">
        <f>ROUNDUP(L303,0)</f>
        <v>0</v>
      </c>
      <c r="E89" s="632">
        <v>21</v>
      </c>
      <c r="F89" s="635"/>
    </row>
    <row r="90" spans="1:8" ht="28.25" customHeight="1">
      <c r="B90" s="636" t="s">
        <v>152</v>
      </c>
      <c r="C90" s="630" t="s">
        <v>85</v>
      </c>
      <c r="D90" s="637">
        <v>3</v>
      </c>
      <c r="E90" s="632">
        <v>1200</v>
      </c>
      <c r="F90" s="633"/>
      <c r="G90" s="1314" t="s">
        <v>394</v>
      </c>
      <c r="H90" s="1315"/>
    </row>
    <row r="91" spans="1:8" ht="16.25" customHeight="1">
      <c r="B91" s="629" t="s">
        <v>231</v>
      </c>
      <c r="C91" s="630" t="s">
        <v>85</v>
      </c>
      <c r="D91" s="632"/>
      <c r="E91" s="632">
        <v>13</v>
      </c>
      <c r="F91" s="633"/>
    </row>
    <row r="92" spans="1:8" ht="30" customHeight="1">
      <c r="B92" s="629" t="s">
        <v>183</v>
      </c>
      <c r="C92" s="630" t="s">
        <v>184</v>
      </c>
      <c r="D92" s="630">
        <f>J303</f>
        <v>0</v>
      </c>
      <c r="E92" s="632">
        <v>3659</v>
      </c>
      <c r="F92" s="633"/>
    </row>
    <row r="93" spans="1:8" ht="18.5" customHeight="1">
      <c r="B93" s="629" t="s">
        <v>161</v>
      </c>
      <c r="C93" s="630" t="s">
        <v>156</v>
      </c>
      <c r="D93" s="859">
        <f>G303*D303/10*8/395</f>
        <v>0</v>
      </c>
      <c r="E93" s="632">
        <v>380</v>
      </c>
      <c r="F93" s="633"/>
    </row>
    <row r="94" spans="1:8">
      <c r="B94" s="634" t="s">
        <v>188</v>
      </c>
      <c r="C94" s="630" t="s">
        <v>85</v>
      </c>
      <c r="D94" s="632"/>
      <c r="E94" s="632"/>
      <c r="F94" s="635"/>
    </row>
    <row r="95" spans="1:8">
      <c r="B95" s="634" t="s">
        <v>187</v>
      </c>
      <c r="C95" s="630" t="s">
        <v>85</v>
      </c>
      <c r="D95" s="632"/>
      <c r="E95" s="632"/>
      <c r="F95" s="635"/>
    </row>
    <row r="96" spans="1:8">
      <c r="B96" s="634" t="s">
        <v>189</v>
      </c>
      <c r="C96" s="630" t="s">
        <v>85</v>
      </c>
      <c r="D96" s="632"/>
      <c r="E96" s="632"/>
      <c r="F96" s="635"/>
    </row>
    <row r="97" spans="2:6">
      <c r="B97" s="634" t="s">
        <v>191</v>
      </c>
      <c r="C97" s="630" t="s">
        <v>85</v>
      </c>
      <c r="D97" s="632"/>
      <c r="E97" s="632"/>
      <c r="F97" s="635"/>
    </row>
    <row r="98" spans="2:6">
      <c r="B98" s="634" t="s">
        <v>195</v>
      </c>
      <c r="C98" s="630" t="s">
        <v>63</v>
      </c>
      <c r="D98" s="632"/>
      <c r="E98" s="632">
        <v>17000</v>
      </c>
      <c r="F98" s="635"/>
    </row>
    <row r="99" spans="2:6">
      <c r="B99" s="634" t="s">
        <v>194</v>
      </c>
      <c r="C99" s="630" t="s">
        <v>156</v>
      </c>
      <c r="D99" s="632"/>
      <c r="E99" s="632">
        <v>150</v>
      </c>
      <c r="F99" s="635"/>
    </row>
    <row r="100" spans="2:6">
      <c r="B100" s="634" t="s">
        <v>163</v>
      </c>
      <c r="C100" s="630" t="s">
        <v>167</v>
      </c>
      <c r="D100" s="632">
        <v>1</v>
      </c>
      <c r="E100" s="632">
        <v>10000</v>
      </c>
      <c r="F100" s="635"/>
    </row>
    <row r="101" spans="2:6">
      <c r="B101" s="634" t="s">
        <v>373</v>
      </c>
      <c r="C101" s="630" t="s">
        <v>167</v>
      </c>
      <c r="D101" s="632">
        <v>1</v>
      </c>
      <c r="E101" s="632">
        <v>12000</v>
      </c>
      <c r="F101" s="635"/>
    </row>
    <row r="102" spans="2:6">
      <c r="B102" s="634"/>
      <c r="C102" s="630"/>
      <c r="D102" s="632"/>
      <c r="E102" s="632"/>
      <c r="F102" s="635"/>
    </row>
    <row r="103" spans="2:6">
      <c r="B103" s="634"/>
      <c r="C103" s="630"/>
      <c r="D103" s="632"/>
      <c r="E103" s="632"/>
      <c r="F103" s="635"/>
    </row>
    <row r="104" spans="2:6">
      <c r="B104" s="634"/>
      <c r="C104" s="630"/>
      <c r="D104" s="632"/>
      <c r="E104" s="632"/>
      <c r="F104" s="635"/>
    </row>
    <row r="105" spans="2:6">
      <c r="B105" s="630" t="s">
        <v>232</v>
      </c>
      <c r="C105" s="630"/>
      <c r="D105" s="632"/>
      <c r="E105" s="632"/>
      <c r="F105" s="635"/>
    </row>
    <row r="106" spans="2:6">
      <c r="B106" s="620" t="s">
        <v>575</v>
      </c>
      <c r="C106" s="621" t="s">
        <v>63</v>
      </c>
      <c r="D106" s="600"/>
      <c r="E106" s="613">
        <v>5000</v>
      </c>
      <c r="F106" s="635"/>
    </row>
    <row r="107" spans="2:6">
      <c r="B107" s="620" t="s">
        <v>562</v>
      </c>
      <c r="C107" s="621" t="s">
        <v>63</v>
      </c>
      <c r="D107" s="600"/>
      <c r="E107" s="613">
        <v>6000</v>
      </c>
      <c r="F107" s="635"/>
    </row>
    <row r="108" spans="2:6">
      <c r="B108" s="620" t="s">
        <v>574</v>
      </c>
      <c r="C108" s="621" t="s">
        <v>63</v>
      </c>
      <c r="D108" s="600"/>
      <c r="E108" s="613">
        <v>5500</v>
      </c>
      <c r="F108" s="635"/>
    </row>
    <row r="109" spans="2:6">
      <c r="B109" s="620" t="s">
        <v>221</v>
      </c>
      <c r="C109" s="621" t="s">
        <v>86</v>
      </c>
      <c r="D109" s="600"/>
      <c r="E109" s="613">
        <v>5</v>
      </c>
      <c r="F109" s="635"/>
    </row>
    <row r="110" spans="2:6">
      <c r="B110" s="620" t="s">
        <v>216</v>
      </c>
      <c r="C110" s="621" t="s">
        <v>85</v>
      </c>
      <c r="D110" s="600"/>
      <c r="E110" s="613">
        <v>1500</v>
      </c>
      <c r="F110" s="635"/>
    </row>
    <row r="111" spans="2:6">
      <c r="B111" s="620" t="s">
        <v>154</v>
      </c>
      <c r="C111" s="621" t="s">
        <v>150</v>
      </c>
      <c r="D111" s="600">
        <v>1</v>
      </c>
      <c r="E111" s="613">
        <v>250</v>
      </c>
      <c r="F111" s="635"/>
    </row>
    <row r="112" spans="2:6">
      <c r="B112" s="620" t="s">
        <v>217</v>
      </c>
      <c r="C112" s="621" t="s">
        <v>160</v>
      </c>
      <c r="D112" s="600"/>
      <c r="E112" s="613">
        <v>600</v>
      </c>
      <c r="F112" s="635"/>
    </row>
    <row r="113" spans="2:8">
      <c r="B113" s="620" t="s">
        <v>218</v>
      </c>
      <c r="C113" s="621" t="s">
        <v>63</v>
      </c>
      <c r="D113" s="600"/>
      <c r="E113" s="613">
        <v>500</v>
      </c>
      <c r="F113" s="635"/>
    </row>
    <row r="114" spans="2:8">
      <c r="B114" s="620" t="s">
        <v>220</v>
      </c>
      <c r="C114" s="621" t="s">
        <v>150</v>
      </c>
      <c r="D114" s="600">
        <v>1</v>
      </c>
      <c r="E114" s="613">
        <v>2000</v>
      </c>
      <c r="F114" s="635"/>
    </row>
    <row r="115" spans="2:8">
      <c r="B115" s="620" t="s">
        <v>222</v>
      </c>
      <c r="C115" s="621" t="s">
        <v>86</v>
      </c>
      <c r="D115" s="600"/>
      <c r="E115" s="613">
        <v>100</v>
      </c>
      <c r="F115" s="635"/>
    </row>
    <row r="116" spans="2:8">
      <c r="B116" s="634"/>
      <c r="C116" s="630"/>
      <c r="D116" s="632"/>
      <c r="E116" s="632"/>
      <c r="F116" s="635"/>
    </row>
    <row r="117" spans="2:8">
      <c r="B117" s="634"/>
      <c r="C117" s="630"/>
      <c r="D117" s="632"/>
      <c r="E117" s="632"/>
      <c r="F117" s="635"/>
    </row>
    <row r="118" spans="2:8">
      <c r="B118" s="634"/>
      <c r="C118" s="630"/>
      <c r="D118" s="632"/>
      <c r="E118" s="632"/>
      <c r="F118" s="635"/>
    </row>
    <row r="119" spans="2:8">
      <c r="B119" s="634"/>
      <c r="C119" s="630"/>
      <c r="D119" s="632"/>
      <c r="E119" s="632"/>
      <c r="F119" s="635"/>
    </row>
    <row r="121" spans="2:8">
      <c r="C121" s="551" t="s">
        <v>91</v>
      </c>
      <c r="D121" s="551" t="s">
        <v>63</v>
      </c>
      <c r="E121" s="551" t="s">
        <v>376</v>
      </c>
      <c r="F121" s="615" t="s">
        <v>551</v>
      </c>
      <c r="G121" s="860" t="s">
        <v>552</v>
      </c>
      <c r="H121" s="641" t="s">
        <v>557</v>
      </c>
    </row>
    <row r="122" spans="2:8">
      <c r="C122" s="551"/>
      <c r="D122" s="551"/>
      <c r="E122" s="551"/>
    </row>
    <row r="123" spans="2:8">
      <c r="B123" s="797" t="s">
        <v>235</v>
      </c>
      <c r="C123" s="797" t="s">
        <v>105</v>
      </c>
      <c r="D123" s="798">
        <f>D126</f>
        <v>67.78</v>
      </c>
      <c r="E123" s="798">
        <f>E132</f>
        <v>70.45</v>
      </c>
      <c r="F123" s="861">
        <v>27000</v>
      </c>
      <c r="G123" s="861">
        <v>12</v>
      </c>
      <c r="H123" s="861"/>
    </row>
    <row r="124" spans="2:8">
      <c r="B124" s="797" t="s">
        <v>235</v>
      </c>
      <c r="C124" s="797" t="s">
        <v>106</v>
      </c>
      <c r="D124" s="798">
        <f>D133</f>
        <v>91.987142857142842</v>
      </c>
      <c r="E124" s="798">
        <f>E133</f>
        <v>95.61071428571428</v>
      </c>
      <c r="F124" s="861">
        <v>27000</v>
      </c>
      <c r="G124" s="861">
        <v>12</v>
      </c>
      <c r="H124" s="861"/>
    </row>
    <row r="125" spans="2:8">
      <c r="B125" s="797" t="s">
        <v>235</v>
      </c>
      <c r="C125" s="797" t="s">
        <v>107</v>
      </c>
      <c r="D125" s="798">
        <f>D128</f>
        <v>91.435495823516817</v>
      </c>
      <c r="E125" s="798">
        <f>E134</f>
        <v>95.037336688798462</v>
      </c>
      <c r="F125" s="861">
        <v>27000</v>
      </c>
      <c r="G125" s="861">
        <v>12</v>
      </c>
      <c r="H125" s="861"/>
    </row>
    <row r="126" spans="2:8">
      <c r="B126" s="797" t="s">
        <v>237</v>
      </c>
      <c r="C126" s="797" t="s">
        <v>105</v>
      </c>
      <c r="D126" s="798">
        <f>D132</f>
        <v>67.78</v>
      </c>
      <c r="E126" s="798">
        <f>E132</f>
        <v>70.45</v>
      </c>
      <c r="F126" s="861">
        <v>27500</v>
      </c>
      <c r="G126" s="861">
        <v>12</v>
      </c>
      <c r="H126" s="861"/>
    </row>
    <row r="127" spans="2:8">
      <c r="B127" s="797" t="s">
        <v>237</v>
      </c>
      <c r="C127" s="797" t="s">
        <v>106</v>
      </c>
      <c r="D127" s="798">
        <f>D133</f>
        <v>91.987142857142842</v>
      </c>
      <c r="E127" s="798">
        <f>E133</f>
        <v>95.61071428571428</v>
      </c>
      <c r="F127" s="861">
        <v>27500</v>
      </c>
      <c r="G127" s="861">
        <v>12</v>
      </c>
      <c r="H127" s="861"/>
    </row>
    <row r="128" spans="2:8">
      <c r="B128" s="797" t="s">
        <v>237</v>
      </c>
      <c r="C128" s="797" t="s">
        <v>107</v>
      </c>
      <c r="D128" s="799">
        <f>'Расчёт - Брус'!D237</f>
        <v>91.435495823516817</v>
      </c>
      <c r="E128" s="798">
        <f>E134</f>
        <v>95.037336688798462</v>
      </c>
      <c r="F128" s="861">
        <v>27500</v>
      </c>
      <c r="G128" s="861">
        <v>12</v>
      </c>
      <c r="H128" s="861"/>
    </row>
    <row r="129" spans="2:8">
      <c r="B129" s="653"/>
      <c r="C129" s="653"/>
      <c r="D129" s="657"/>
      <c r="E129" s="804"/>
    </row>
    <row r="130" spans="2:8">
      <c r="B130" s="805" t="s">
        <v>101</v>
      </c>
      <c r="C130" s="805" t="s">
        <v>102</v>
      </c>
      <c r="D130" s="806">
        <f>'Расчёт - Брус'!D239</f>
        <v>21.786428571428573</v>
      </c>
      <c r="E130" s="806">
        <f>'Расчёт - Брус'!E239</f>
        <v>22.644642857142859</v>
      </c>
      <c r="F130" s="812">
        <v>26000</v>
      </c>
      <c r="G130" s="812">
        <v>9</v>
      </c>
      <c r="H130" s="812"/>
    </row>
    <row r="131" spans="2:8">
      <c r="B131" s="805" t="s">
        <v>101</v>
      </c>
      <c r="C131" s="805" t="s">
        <v>103</v>
      </c>
      <c r="D131" s="806">
        <f>'Расчёт - Брус'!D240</f>
        <v>45.993571428571421</v>
      </c>
      <c r="E131" s="806">
        <f>'Расчёт - Брус'!E240</f>
        <v>47.80535714285714</v>
      </c>
      <c r="F131" s="812">
        <v>26000</v>
      </c>
      <c r="G131" s="812">
        <v>9</v>
      </c>
      <c r="H131" s="812"/>
    </row>
    <row r="132" spans="2:8">
      <c r="B132" s="650" t="s">
        <v>241</v>
      </c>
      <c r="C132" s="805" t="s">
        <v>105</v>
      </c>
      <c r="D132" s="813">
        <f>D72</f>
        <v>67.78</v>
      </c>
      <c r="E132" s="813">
        <f>D73</f>
        <v>70.45</v>
      </c>
      <c r="F132" s="812">
        <v>19000</v>
      </c>
      <c r="G132" s="812">
        <v>12</v>
      </c>
      <c r="H132" s="812">
        <f>ROUNDUP('Расчёт - Брус'!H241*10/1000,0)</f>
        <v>43</v>
      </c>
    </row>
    <row r="133" spans="2:8">
      <c r="B133" s="805" t="s">
        <v>104</v>
      </c>
      <c r="C133" s="805" t="s">
        <v>106</v>
      </c>
      <c r="D133" s="806">
        <f>'Расчёт - Брус'!D242</f>
        <v>91.987142857142842</v>
      </c>
      <c r="E133" s="806">
        <f>'Расчёт - Брус'!E242</f>
        <v>95.61071428571428</v>
      </c>
      <c r="F133" s="812">
        <v>19000</v>
      </c>
      <c r="G133" s="812">
        <v>12</v>
      </c>
      <c r="H133" s="812"/>
    </row>
    <row r="134" spans="2:8">
      <c r="B134" s="805" t="s">
        <v>104</v>
      </c>
      <c r="C134" s="805" t="s">
        <v>107</v>
      </c>
      <c r="D134" s="806">
        <f>'Расчёт - Брус'!D243</f>
        <v>91.435495823516817</v>
      </c>
      <c r="E134" s="806">
        <f>'Расчёт - Брус'!E243</f>
        <v>95.037336688798462</v>
      </c>
      <c r="F134" s="812">
        <v>19000</v>
      </c>
      <c r="G134" s="812">
        <v>12</v>
      </c>
      <c r="H134" s="812"/>
    </row>
    <row r="135" spans="2:8">
      <c r="B135" s="805" t="s">
        <v>101</v>
      </c>
      <c r="C135" s="805" t="s">
        <v>108</v>
      </c>
      <c r="D135" s="806">
        <f>'Расчёт - Брус'!D244</f>
        <v>70.19632097485092</v>
      </c>
      <c r="E135" s="806">
        <f>'Расчёт - Брус'!E244</f>
        <v>72.961505055742805</v>
      </c>
      <c r="F135" s="812">
        <v>26000</v>
      </c>
      <c r="G135" s="812">
        <v>12</v>
      </c>
      <c r="H135" s="812"/>
    </row>
    <row r="136" spans="2:8">
      <c r="B136" s="805" t="s">
        <v>101</v>
      </c>
      <c r="C136" s="805" t="s">
        <v>109</v>
      </c>
      <c r="D136" s="806">
        <f>'Расчёт - Брус'!D245</f>
        <v>94.403463831993776</v>
      </c>
      <c r="E136" s="806">
        <f>'Расчёт - Брус'!E245</f>
        <v>98.122219341457082</v>
      </c>
      <c r="F136" s="812">
        <v>26000</v>
      </c>
      <c r="G136" s="812">
        <v>12</v>
      </c>
      <c r="H136" s="812"/>
    </row>
    <row r="137" spans="2:8">
      <c r="B137" s="805" t="s">
        <v>101</v>
      </c>
      <c r="C137" s="805" t="s">
        <v>110</v>
      </c>
      <c r="D137" s="806">
        <f>'Расчёт - Брус'!D246</f>
        <v>93.838445852261842</v>
      </c>
      <c r="E137" s="806">
        <f>'Расчёт - Брус'!E246</f>
        <v>97.534944088106329</v>
      </c>
      <c r="F137" s="812">
        <v>26000</v>
      </c>
      <c r="G137" s="812">
        <v>12</v>
      </c>
      <c r="H137" s="812"/>
    </row>
    <row r="138" spans="2:8">
      <c r="B138" s="653"/>
      <c r="C138" s="653"/>
      <c r="D138" s="657"/>
      <c r="E138" s="814" t="s">
        <v>573</v>
      </c>
    </row>
    <row r="139" spans="2:8">
      <c r="B139" s="820" t="s">
        <v>111</v>
      </c>
      <c r="C139" s="820" t="s">
        <v>112</v>
      </c>
      <c r="D139" s="821">
        <f>'Расчёт - Брус'!D248</f>
        <v>78.271226341716371</v>
      </c>
      <c r="E139" s="814">
        <f>'Расчёт - Брус'!F248</f>
        <v>79.812862328234388</v>
      </c>
      <c r="F139" s="862">
        <v>47000</v>
      </c>
      <c r="G139" s="862">
        <v>12</v>
      </c>
      <c r="H139" s="862"/>
    </row>
    <row r="140" spans="2:8">
      <c r="B140" s="820" t="s">
        <v>111</v>
      </c>
      <c r="C140" s="820" t="s">
        <v>113</v>
      </c>
      <c r="D140" s="821">
        <f>'Расчёт - Брус'!D249</f>
        <v>97.847819548872181</v>
      </c>
      <c r="E140" s="814">
        <f>'Расчёт - Брус'!F249</f>
        <v>99.775037593984962</v>
      </c>
      <c r="F140" s="862">
        <v>47000</v>
      </c>
      <c r="G140" s="862">
        <v>12</v>
      </c>
      <c r="H140" s="862"/>
    </row>
    <row r="141" spans="2:8">
      <c r="B141" s="820" t="s">
        <v>111</v>
      </c>
      <c r="C141" s="820" t="s">
        <v>114</v>
      </c>
      <c r="D141" s="821">
        <f>'Расчёт - Брус'!D250</f>
        <v>75.809826177136998</v>
      </c>
      <c r="E141" s="814">
        <f>'Расчёт - Брус'!F250</f>
        <v>77.302982240082969</v>
      </c>
      <c r="F141" s="862">
        <v>47000</v>
      </c>
      <c r="G141" s="862">
        <v>12</v>
      </c>
      <c r="H141" s="862"/>
    </row>
    <row r="142" spans="2:8">
      <c r="B142" s="820" t="s">
        <v>111</v>
      </c>
      <c r="C142" s="820" t="s">
        <v>115</v>
      </c>
      <c r="D142" s="821">
        <f>'Расчёт - Брус'!D251</f>
        <v>94.7671535660741</v>
      </c>
      <c r="E142" s="814">
        <f>'Расчёт - Брус'!F251</f>
        <v>96.633694581280793</v>
      </c>
      <c r="F142" s="862">
        <v>47000</v>
      </c>
      <c r="G142" s="862">
        <v>12</v>
      </c>
      <c r="H142" s="862"/>
    </row>
    <row r="143" spans="2:8">
      <c r="B143" s="820" t="s">
        <v>111</v>
      </c>
      <c r="C143" s="820" t="s">
        <v>116</v>
      </c>
      <c r="D143" s="821">
        <f>'Расчёт - Брус'!D252</f>
        <v>115.50167070600038</v>
      </c>
      <c r="E143" s="814">
        <f>'Расчёт - Брус'!F252</f>
        <v>117.77660033704953</v>
      </c>
      <c r="F143" s="862">
        <v>47000</v>
      </c>
      <c r="G143" s="862">
        <v>12</v>
      </c>
      <c r="H143" s="862"/>
    </row>
    <row r="144" spans="2:8">
      <c r="B144" s="820" t="s">
        <v>111</v>
      </c>
      <c r="C144" s="820" t="s">
        <v>117</v>
      </c>
      <c r="D144" s="821">
        <f>'Расчёт - Брус'!D253</f>
        <v>113.71798649547407</v>
      </c>
      <c r="E144" s="814">
        <f>'Расчёт - Брус'!F253</f>
        <v>115.95778454757584</v>
      </c>
      <c r="F144" s="862">
        <v>47000</v>
      </c>
      <c r="G144" s="862">
        <v>12</v>
      </c>
      <c r="H144" s="862"/>
    </row>
    <row r="145" spans="2:8">
      <c r="B145" s="820" t="s">
        <v>111</v>
      </c>
      <c r="C145" s="820" t="s">
        <v>118</v>
      </c>
      <c r="D145" s="821">
        <f>'Расчёт - Брус'!D254</f>
        <v>75.577935768957616</v>
      </c>
      <c r="E145" s="814">
        <f>'Расчёт - Брус'!F254</f>
        <v>77.066524500907434</v>
      </c>
      <c r="F145" s="862">
        <v>47000</v>
      </c>
      <c r="G145" s="862">
        <v>12</v>
      </c>
      <c r="H145" s="862"/>
    </row>
    <row r="146" spans="2:8">
      <c r="B146" s="820" t="s">
        <v>111</v>
      </c>
      <c r="C146" s="820" t="s">
        <v>119</v>
      </c>
      <c r="D146" s="821">
        <f>'Расчёт - Брус'!D255</f>
        <v>94.473756805807625</v>
      </c>
      <c r="E146" s="814">
        <f>'Расчёт - Брус'!F255</f>
        <v>96.334519056261342</v>
      </c>
      <c r="F146" s="862">
        <v>47000</v>
      </c>
      <c r="G146" s="862">
        <v>12</v>
      </c>
      <c r="H146" s="862"/>
    </row>
    <row r="147" spans="2:8">
      <c r="B147" s="820" t="s">
        <v>111</v>
      </c>
      <c r="C147" s="820" t="s">
        <v>120</v>
      </c>
      <c r="D147" s="821">
        <f>'Расчёт - Брус'!D256</f>
        <v>113.36422946421527</v>
      </c>
      <c r="E147" s="814">
        <f>'Расчёт - Брус'!F256</f>
        <v>115.59705989110709</v>
      </c>
      <c r="F147" s="862">
        <v>47000</v>
      </c>
      <c r="G147" s="862">
        <v>12</v>
      </c>
      <c r="H147" s="862"/>
    </row>
    <row r="148" spans="2:8">
      <c r="B148" s="820" t="s">
        <v>111</v>
      </c>
      <c r="C148" s="820" t="s">
        <v>121</v>
      </c>
      <c r="D148" s="821">
        <f>'Расчёт - Брус'!D257</f>
        <v>76.283157669285657</v>
      </c>
      <c r="E148" s="814">
        <f>'Расчёт - Брус'!F257</f>
        <v>77.785636505055749</v>
      </c>
      <c r="F148" s="862">
        <v>47000</v>
      </c>
      <c r="G148" s="862">
        <v>12</v>
      </c>
      <c r="H148" s="862"/>
    </row>
    <row r="149" spans="2:8">
      <c r="B149" s="820" t="s">
        <v>111</v>
      </c>
      <c r="C149" s="820" t="s">
        <v>122</v>
      </c>
      <c r="D149" s="821">
        <f>'Расчёт - Брус'!D258</f>
        <v>95.353947086607079</v>
      </c>
      <c r="E149" s="814">
        <f>'Расчёт - Брус'!F258</f>
        <v>97.232045631319693</v>
      </c>
      <c r="F149" s="862">
        <v>47000</v>
      </c>
      <c r="G149" s="862">
        <v>12</v>
      </c>
      <c r="H149" s="862"/>
    </row>
    <row r="150" spans="2:8">
      <c r="B150" s="820" t="s">
        <v>111</v>
      </c>
      <c r="C150" s="820" t="s">
        <v>123</v>
      </c>
      <c r="D150" s="821">
        <f>'Расчёт - Брус'!D259</f>
        <v>98.58131144953839</v>
      </c>
      <c r="E150" s="814">
        <f>'Расчёт - Брус'!F259</f>
        <v>100.52297640653359</v>
      </c>
      <c r="F150" s="862">
        <v>47000</v>
      </c>
      <c r="G150" s="862">
        <v>12</v>
      </c>
      <c r="H150" s="862"/>
    </row>
    <row r="271" spans="2:8">
      <c r="D271" s="641" t="s">
        <v>244</v>
      </c>
      <c r="E271" s="641" t="s">
        <v>245</v>
      </c>
      <c r="F271" s="736" t="s">
        <v>377</v>
      </c>
      <c r="G271" s="1279" t="s">
        <v>378</v>
      </c>
      <c r="H271" s="1279"/>
    </row>
    <row r="272" spans="2:8">
      <c r="B272" s="797" t="s">
        <v>235</v>
      </c>
      <c r="C272" s="797" t="s">
        <v>105</v>
      </c>
      <c r="D272" s="797">
        <f>'Расчёт - Брус'!H553</f>
        <v>3</v>
      </c>
      <c r="E272" s="797">
        <f>'Расчёт - Брус'!I553</f>
        <v>0</v>
      </c>
      <c r="F272" s="861">
        <v>150000</v>
      </c>
      <c r="G272" s="863">
        <v>130000</v>
      </c>
      <c r="H272" s="864"/>
    </row>
    <row r="273" spans="2:8">
      <c r="B273" s="797" t="s">
        <v>235</v>
      </c>
      <c r="C273" s="797" t="s">
        <v>106</v>
      </c>
      <c r="D273" s="797">
        <f>'Расчёт - Брус'!H567</f>
        <v>3</v>
      </c>
      <c r="E273" s="797">
        <f>'Расчёт - Брус'!I567</f>
        <v>1</v>
      </c>
      <c r="F273" s="861">
        <v>150000</v>
      </c>
      <c r="G273" s="863">
        <v>130000</v>
      </c>
      <c r="H273" s="864"/>
    </row>
    <row r="274" spans="2:8">
      <c r="B274" s="797" t="s">
        <v>235</v>
      </c>
      <c r="C274" s="797" t="s">
        <v>107</v>
      </c>
      <c r="D274" s="797">
        <f>'Расчёт - Брус'!H581</f>
        <v>3</v>
      </c>
      <c r="E274" s="797">
        <f>'Расчёт - Брус'!I581</f>
        <v>1</v>
      </c>
      <c r="F274" s="861">
        <v>150000</v>
      </c>
      <c r="G274" s="863">
        <v>130000</v>
      </c>
      <c r="H274" s="864"/>
    </row>
    <row r="275" spans="2:8">
      <c r="B275" s="797" t="s">
        <v>237</v>
      </c>
      <c r="C275" s="797" t="s">
        <v>105</v>
      </c>
      <c r="D275" s="797">
        <f>'Расчёт - Брус'!H595</f>
        <v>2</v>
      </c>
      <c r="E275" s="797">
        <f>'Расчёт - Брус'!I595</f>
        <v>1</v>
      </c>
      <c r="F275" s="861">
        <v>150000</v>
      </c>
      <c r="G275" s="863">
        <v>130000</v>
      </c>
      <c r="H275" s="864"/>
    </row>
    <row r="276" spans="2:8">
      <c r="B276" s="797" t="s">
        <v>237</v>
      </c>
      <c r="C276" s="797" t="s">
        <v>106</v>
      </c>
      <c r="D276" s="797">
        <f>'Расчёт - Брус'!H609</f>
        <v>3</v>
      </c>
      <c r="E276" s="797">
        <f>'Расчёт - Брус'!I609</f>
        <v>0</v>
      </c>
      <c r="F276" s="861">
        <v>150000</v>
      </c>
      <c r="G276" s="863">
        <v>130000</v>
      </c>
      <c r="H276" s="864"/>
    </row>
    <row r="277" spans="2:8">
      <c r="B277" s="797" t="s">
        <v>237</v>
      </c>
      <c r="C277" s="797" t="s">
        <v>107</v>
      </c>
      <c r="D277" s="797">
        <f>'Расчёт - Брус'!H623</f>
        <v>3</v>
      </c>
      <c r="E277" s="797">
        <f>'Расчёт - Брус'!I623</f>
        <v>0</v>
      </c>
      <c r="F277" s="861">
        <v>150000</v>
      </c>
      <c r="G277" s="863">
        <v>130000</v>
      </c>
      <c r="H277" s="864"/>
    </row>
    <row r="278" spans="2:8">
      <c r="B278" s="653"/>
      <c r="C278" s="653"/>
      <c r="D278" s="653"/>
      <c r="E278" s="653"/>
      <c r="F278" s="598"/>
      <c r="G278" s="598"/>
    </row>
    <row r="279" spans="2:8">
      <c r="B279" s="805" t="s">
        <v>101</v>
      </c>
      <c r="C279" s="805" t="s">
        <v>102</v>
      </c>
      <c r="D279" s="805">
        <f>'Расчёт - Брус'!H273</f>
        <v>1</v>
      </c>
      <c r="E279" s="805">
        <f>'Расчёт - Брус'!I273</f>
        <v>0</v>
      </c>
      <c r="F279" s="865">
        <v>80000</v>
      </c>
      <c r="G279" s="866">
        <v>70000</v>
      </c>
      <c r="H279" s="867"/>
    </row>
    <row r="280" spans="2:8">
      <c r="B280" s="805" t="s">
        <v>101</v>
      </c>
      <c r="C280" s="805" t="s">
        <v>103</v>
      </c>
      <c r="D280" s="805">
        <f>'Расчёт - Брус'!H287</f>
        <v>1</v>
      </c>
      <c r="E280" s="805">
        <f>'Расчёт - Брус'!I287</f>
        <v>1</v>
      </c>
      <c r="F280" s="865">
        <v>80000</v>
      </c>
      <c r="G280" s="866">
        <v>70000</v>
      </c>
      <c r="H280" s="867"/>
    </row>
    <row r="281" spans="2:8">
      <c r="B281" s="650" t="s">
        <v>241</v>
      </c>
      <c r="C281" s="650" t="s">
        <v>105</v>
      </c>
      <c r="D281" s="805">
        <f>'Расчёт - Брус'!H301</f>
        <v>2</v>
      </c>
      <c r="E281" s="805">
        <f>'Расчёт - Брус'!I301</f>
        <v>1</v>
      </c>
      <c r="F281" s="865">
        <v>80000</v>
      </c>
      <c r="G281" s="866">
        <v>70000</v>
      </c>
      <c r="H281" s="867"/>
    </row>
    <row r="282" spans="2:8">
      <c r="B282" s="805" t="s">
        <v>104</v>
      </c>
      <c r="C282" s="805" t="s">
        <v>106</v>
      </c>
      <c r="D282" s="805">
        <f>'Расчёт - Брус'!H315</f>
        <v>3</v>
      </c>
      <c r="E282" s="805">
        <f>'Расчёт - Брус'!I315</f>
        <v>0</v>
      </c>
      <c r="F282" s="865">
        <v>80000</v>
      </c>
      <c r="G282" s="866">
        <v>70000</v>
      </c>
      <c r="H282" s="867"/>
    </row>
    <row r="283" spans="2:8">
      <c r="B283" s="805" t="s">
        <v>104</v>
      </c>
      <c r="C283" s="805" t="s">
        <v>107</v>
      </c>
      <c r="D283" s="805">
        <f>'Расчёт - Брус'!H329</f>
        <v>3</v>
      </c>
      <c r="E283" s="805">
        <f>'Расчёт - Брус'!I329</f>
        <v>0</v>
      </c>
      <c r="F283" s="865">
        <v>80000</v>
      </c>
      <c r="G283" s="866">
        <v>70000</v>
      </c>
      <c r="H283" s="867"/>
    </row>
    <row r="284" spans="2:8">
      <c r="B284" s="805" t="s">
        <v>101</v>
      </c>
      <c r="C284" s="805" t="s">
        <v>108</v>
      </c>
      <c r="D284" s="805">
        <f>'Расчёт - Брус'!H343</f>
        <v>2</v>
      </c>
      <c r="E284" s="805">
        <f>'Расчёт - Брус'!I343</f>
        <v>0</v>
      </c>
      <c r="F284" s="865">
        <v>80000</v>
      </c>
      <c r="G284" s="866">
        <v>70000</v>
      </c>
      <c r="H284" s="867"/>
    </row>
    <row r="285" spans="2:8">
      <c r="B285" s="805" t="s">
        <v>101</v>
      </c>
      <c r="C285" s="805" t="s">
        <v>109</v>
      </c>
      <c r="D285" s="805">
        <f>'Расчёт - Брус'!H357</f>
        <v>2</v>
      </c>
      <c r="E285" s="805">
        <f>'Расчёт - Брус'!I357</f>
        <v>1</v>
      </c>
      <c r="F285" s="865">
        <v>80000</v>
      </c>
      <c r="G285" s="866">
        <v>70000</v>
      </c>
      <c r="H285" s="867"/>
    </row>
    <row r="286" spans="2:8">
      <c r="B286" s="805" t="s">
        <v>101</v>
      </c>
      <c r="C286" s="805" t="s">
        <v>110</v>
      </c>
      <c r="D286" s="805">
        <f>'Расчёт - Брус'!H371</f>
        <v>2</v>
      </c>
      <c r="E286" s="805">
        <f>'Расчёт - Брус'!I371</f>
        <v>1</v>
      </c>
      <c r="F286" s="865">
        <v>80000</v>
      </c>
      <c r="G286" s="866">
        <v>70000</v>
      </c>
      <c r="H286" s="867"/>
    </row>
    <row r="287" spans="2:8">
      <c r="B287" s="653"/>
      <c r="C287" s="653"/>
      <c r="D287" s="653"/>
      <c r="E287" s="653"/>
      <c r="F287" s="598"/>
      <c r="G287" s="598"/>
    </row>
    <row r="288" spans="2:8">
      <c r="B288" s="820" t="s">
        <v>111</v>
      </c>
      <c r="C288" s="820" t="s">
        <v>112</v>
      </c>
      <c r="D288" s="820">
        <f>'Расчёт - Брус'!H385</f>
        <v>2</v>
      </c>
      <c r="E288" s="820">
        <f>'Расчёт - Брус'!I385</f>
        <v>1</v>
      </c>
      <c r="F288" s="868">
        <v>90000</v>
      </c>
      <c r="G288" s="869">
        <v>80000</v>
      </c>
      <c r="H288" s="870"/>
    </row>
    <row r="289" spans="2:23">
      <c r="B289" s="820" t="s">
        <v>111</v>
      </c>
      <c r="C289" s="820" t="s">
        <v>113</v>
      </c>
      <c r="D289" s="820">
        <f>'Расчёт - Брус'!H399</f>
        <v>3</v>
      </c>
      <c r="E289" s="820">
        <f>'Расчёт - Брус'!I399</f>
        <v>0</v>
      </c>
      <c r="F289" s="868">
        <v>90000</v>
      </c>
      <c r="G289" s="869">
        <v>80000</v>
      </c>
      <c r="H289" s="870"/>
    </row>
    <row r="290" spans="2:23">
      <c r="B290" s="820" t="s">
        <v>111</v>
      </c>
      <c r="C290" s="820" t="s">
        <v>114</v>
      </c>
      <c r="D290" s="820">
        <f>'Расчёт - Брус'!H413</f>
        <v>2</v>
      </c>
      <c r="E290" s="820">
        <f>'Расчёт - Брус'!I413</f>
        <v>1</v>
      </c>
      <c r="F290" s="868">
        <v>90000</v>
      </c>
      <c r="G290" s="869">
        <v>80000</v>
      </c>
      <c r="H290" s="870"/>
    </row>
    <row r="291" spans="2:23">
      <c r="B291" s="820" t="s">
        <v>111</v>
      </c>
      <c r="C291" s="820" t="s">
        <v>115</v>
      </c>
      <c r="D291" s="820">
        <f>'Расчёт - Брус'!H427</f>
        <v>3</v>
      </c>
      <c r="E291" s="820">
        <f>'Расчёт - Брус'!I427</f>
        <v>0</v>
      </c>
      <c r="F291" s="868">
        <v>90000</v>
      </c>
      <c r="G291" s="869">
        <v>80000</v>
      </c>
      <c r="H291" s="870"/>
    </row>
    <row r="292" spans="2:23">
      <c r="B292" s="820" t="s">
        <v>111</v>
      </c>
      <c r="C292" s="820" t="s">
        <v>116</v>
      </c>
      <c r="D292" s="820">
        <f>'Расчёт - Брус'!H441</f>
        <v>3</v>
      </c>
      <c r="E292" s="820">
        <f>'Расчёт - Брус'!I441</f>
        <v>1</v>
      </c>
      <c r="F292" s="868">
        <v>90000</v>
      </c>
      <c r="G292" s="869">
        <v>80000</v>
      </c>
      <c r="H292" s="870"/>
    </row>
    <row r="293" spans="2:23">
      <c r="B293" s="820" t="s">
        <v>111</v>
      </c>
      <c r="C293" s="820" t="s">
        <v>117</v>
      </c>
      <c r="D293" s="820">
        <f>'Расчёт - Брус'!H455</f>
        <v>3</v>
      </c>
      <c r="E293" s="820">
        <f>'Расчёт - Брус'!I455</f>
        <v>1</v>
      </c>
      <c r="F293" s="868">
        <v>90000</v>
      </c>
      <c r="G293" s="869">
        <v>80000</v>
      </c>
      <c r="H293" s="870"/>
    </row>
    <row r="294" spans="2:23">
      <c r="B294" s="820" t="s">
        <v>111</v>
      </c>
      <c r="C294" s="820" t="s">
        <v>118</v>
      </c>
      <c r="D294" s="820">
        <f>'Расчёт - Брус'!H469</f>
        <v>2</v>
      </c>
      <c r="E294" s="820">
        <f>'Расчёт - Брус'!I469</f>
        <v>1</v>
      </c>
      <c r="F294" s="868">
        <v>90000</v>
      </c>
      <c r="G294" s="869">
        <v>80000</v>
      </c>
      <c r="H294" s="870"/>
    </row>
    <row r="295" spans="2:23">
      <c r="B295" s="820" t="s">
        <v>111</v>
      </c>
      <c r="C295" s="820" t="s">
        <v>119</v>
      </c>
      <c r="D295" s="820">
        <f>'Расчёт - Брус'!H483</f>
        <v>3</v>
      </c>
      <c r="E295" s="820">
        <f>'Расчёт - Брус'!I483</f>
        <v>0</v>
      </c>
      <c r="F295" s="868">
        <v>90000</v>
      </c>
      <c r="G295" s="869">
        <v>80000</v>
      </c>
      <c r="H295" s="870"/>
    </row>
    <row r="296" spans="2:23">
      <c r="B296" s="820" t="s">
        <v>111</v>
      </c>
      <c r="C296" s="820" t="s">
        <v>120</v>
      </c>
      <c r="D296" s="820">
        <f>'Расчёт - Брус'!H497</f>
        <v>3</v>
      </c>
      <c r="E296" s="820">
        <f>'Расчёт - Брус'!I497</f>
        <v>1</v>
      </c>
      <c r="F296" s="868">
        <v>90000</v>
      </c>
      <c r="G296" s="869">
        <v>80000</v>
      </c>
      <c r="H296" s="870"/>
    </row>
    <row r="297" spans="2:23">
      <c r="B297" s="820" t="s">
        <v>111</v>
      </c>
      <c r="C297" s="820" t="s">
        <v>121</v>
      </c>
      <c r="D297" s="820">
        <f>'Расчёт - Брус'!H511</f>
        <v>2</v>
      </c>
      <c r="E297" s="820">
        <f>'Расчёт - Брус'!I511</f>
        <v>1</v>
      </c>
      <c r="F297" s="868">
        <v>90000</v>
      </c>
      <c r="G297" s="869">
        <v>80000</v>
      </c>
      <c r="H297" s="870"/>
    </row>
    <row r="298" spans="2:23">
      <c r="B298" s="820" t="s">
        <v>111</v>
      </c>
      <c r="C298" s="820" t="s">
        <v>122</v>
      </c>
      <c r="D298" s="820">
        <f>'Расчёт - Брус'!H525</f>
        <v>3</v>
      </c>
      <c r="E298" s="820">
        <f>'Расчёт - Брус'!I525</f>
        <v>0</v>
      </c>
      <c r="F298" s="868">
        <v>90000</v>
      </c>
      <c r="G298" s="869">
        <v>80000</v>
      </c>
      <c r="H298" s="870"/>
    </row>
    <row r="299" spans="2:23">
      <c r="B299" s="820" t="s">
        <v>111</v>
      </c>
      <c r="C299" s="820" t="s">
        <v>123</v>
      </c>
      <c r="D299" s="820">
        <f>'Расчёт - Брус'!H539</f>
        <v>3</v>
      </c>
      <c r="E299" s="820">
        <f>'Расчёт - Брус'!I539</f>
        <v>0</v>
      </c>
      <c r="F299" s="868">
        <v>90000</v>
      </c>
      <c r="G299" s="869">
        <v>80000</v>
      </c>
      <c r="H299" s="870"/>
    </row>
    <row r="300" spans="2:23">
      <c r="C300" s="551"/>
      <c r="D300" s="551"/>
      <c r="E300" s="551"/>
      <c r="F300" s="551"/>
      <c r="G300" s="551"/>
      <c r="H300" s="551"/>
      <c r="I300" s="551"/>
      <c r="J300" s="551"/>
      <c r="K300" s="551"/>
      <c r="L300" s="551"/>
      <c r="M300" s="551"/>
      <c r="N300" s="796"/>
      <c r="O300" s="551"/>
      <c r="P300" s="551"/>
      <c r="Q300" s="551"/>
      <c r="R300" s="551"/>
      <c r="S300" s="551"/>
      <c r="T300" s="551"/>
      <c r="U300" s="551"/>
      <c r="V300" s="551"/>
      <c r="W300" s="551"/>
    </row>
    <row r="301" spans="2:23">
      <c r="B301" s="653"/>
      <c r="C301" s="653"/>
      <c r="D301" s="657"/>
      <c r="E301" s="659"/>
      <c r="F301" s="657"/>
      <c r="G301" s="659"/>
      <c r="H301" s="659"/>
      <c r="I301" s="659"/>
      <c r="J301" s="659"/>
      <c r="K301" s="871"/>
      <c r="L301" s="658"/>
      <c r="M301" s="551"/>
      <c r="R301" s="551"/>
      <c r="V301" s="811"/>
    </row>
    <row r="302" spans="2:23">
      <c r="B302" s="653"/>
      <c r="C302" s="653"/>
      <c r="D302" s="657"/>
      <c r="E302" s="659"/>
      <c r="F302" s="657"/>
      <c r="G302" s="659"/>
      <c r="H302" s="659"/>
      <c r="I302" s="659"/>
      <c r="J302" s="872"/>
      <c r="K302" s="871"/>
      <c r="L302" s="659"/>
      <c r="M302" s="551"/>
      <c r="R302" s="551"/>
      <c r="V302" s="811"/>
    </row>
    <row r="303" spans="2:23">
      <c r="B303" s="653"/>
      <c r="C303" s="653"/>
      <c r="D303" s="873"/>
      <c r="E303" s="659"/>
      <c r="F303" s="873"/>
      <c r="G303" s="659"/>
      <c r="H303" s="794"/>
      <c r="I303" s="659"/>
      <c r="J303" s="659"/>
      <c r="K303" s="655"/>
      <c r="L303" s="658"/>
      <c r="M303" s="551"/>
      <c r="R303" s="551"/>
      <c r="U303" s="817"/>
      <c r="V303" s="811"/>
    </row>
    <row r="304" spans="2:23">
      <c r="B304" s="653"/>
      <c r="C304" s="653"/>
      <c r="D304" s="657"/>
      <c r="E304" s="659"/>
      <c r="F304" s="657"/>
      <c r="G304" s="659"/>
      <c r="H304" s="659"/>
      <c r="I304" s="659"/>
      <c r="J304" s="659"/>
      <c r="K304" s="655"/>
      <c r="L304" s="658"/>
      <c r="M304" s="551"/>
      <c r="R304" s="551"/>
      <c r="V304" s="811"/>
    </row>
    <row r="305" spans="2:22">
      <c r="B305" s="653"/>
      <c r="C305" s="653"/>
      <c r="D305" s="657"/>
      <c r="E305" s="659"/>
      <c r="F305" s="657"/>
      <c r="G305" s="659"/>
      <c r="H305" s="659"/>
      <c r="I305" s="659"/>
      <c r="J305" s="659"/>
      <c r="K305" s="655"/>
      <c r="L305" s="658"/>
      <c r="M305" s="551"/>
      <c r="R305" s="551"/>
      <c r="V305" s="811"/>
    </row>
    <row r="306" spans="2:22">
      <c r="B306" s="653"/>
      <c r="C306" s="653"/>
      <c r="D306" s="657"/>
      <c r="E306" s="659"/>
      <c r="F306" s="657"/>
      <c r="G306" s="659"/>
      <c r="H306" s="659"/>
      <c r="I306" s="659"/>
      <c r="J306" s="659"/>
      <c r="K306" s="655"/>
      <c r="L306" s="658"/>
      <c r="M306" s="551"/>
      <c r="R306" s="818"/>
      <c r="T306" s="819"/>
      <c r="V306" s="811"/>
    </row>
    <row r="307" spans="2:22">
      <c r="B307" s="653"/>
      <c r="C307" s="653"/>
      <c r="D307" s="657"/>
      <c r="E307" s="659"/>
      <c r="F307" s="657"/>
      <c r="G307" s="659"/>
      <c r="H307" s="659"/>
      <c r="I307" s="659"/>
      <c r="J307" s="659"/>
      <c r="K307" s="655"/>
      <c r="L307" s="658"/>
      <c r="M307" s="551"/>
      <c r="R307" s="551"/>
      <c r="V307" s="811"/>
    </row>
    <row r="308" spans="2:22">
      <c r="B308" s="653"/>
      <c r="C308" s="653"/>
      <c r="D308" s="657"/>
      <c r="E308" s="659"/>
      <c r="F308" s="657"/>
      <c r="G308" s="659"/>
      <c r="H308" s="659"/>
      <c r="I308" s="659"/>
      <c r="J308" s="659"/>
      <c r="K308" s="655"/>
      <c r="L308" s="658"/>
      <c r="M308" s="551"/>
      <c r="R308" s="818"/>
      <c r="T308" s="819"/>
      <c r="V308" s="811"/>
    </row>
    <row r="309" spans="2:22">
      <c r="B309" s="653"/>
      <c r="C309" s="653"/>
      <c r="D309" s="657"/>
      <c r="E309" s="659"/>
      <c r="F309" s="657"/>
      <c r="G309" s="655"/>
      <c r="H309" s="659"/>
      <c r="I309" s="659"/>
      <c r="J309" s="659"/>
      <c r="K309" s="655"/>
      <c r="L309" s="658"/>
      <c r="M309" s="551"/>
      <c r="R309" s="818"/>
      <c r="V309" s="811"/>
    </row>
    <row r="310" spans="2:22">
      <c r="B310" s="653"/>
      <c r="C310" s="653"/>
      <c r="D310" s="657"/>
      <c r="E310" s="659"/>
      <c r="F310" s="657"/>
      <c r="G310" s="659"/>
      <c r="H310" s="659"/>
      <c r="I310" s="659"/>
      <c r="J310" s="659"/>
      <c r="K310" s="655"/>
      <c r="L310" s="658"/>
      <c r="M310" s="551"/>
      <c r="Q310" s="819"/>
      <c r="R310" s="818"/>
      <c r="U310" s="819"/>
      <c r="V310" s="811"/>
    </row>
    <row r="311" spans="2:22">
      <c r="B311" s="653"/>
      <c r="C311" s="653"/>
      <c r="D311" s="657"/>
      <c r="E311" s="659"/>
      <c r="F311" s="657"/>
      <c r="G311" s="659"/>
      <c r="H311" s="659"/>
      <c r="I311" s="659"/>
      <c r="J311" s="659"/>
      <c r="K311" s="655"/>
      <c r="L311" s="658"/>
      <c r="M311" s="551"/>
      <c r="R311" s="818"/>
      <c r="V311" s="811"/>
    </row>
    <row r="312" spans="2:22">
      <c r="B312" s="653"/>
      <c r="C312" s="653"/>
      <c r="D312" s="657"/>
      <c r="E312" s="659"/>
      <c r="F312" s="657"/>
      <c r="G312" s="659"/>
      <c r="H312" s="659"/>
      <c r="I312" s="659"/>
      <c r="J312" s="659"/>
      <c r="K312" s="655"/>
      <c r="L312" s="658"/>
      <c r="M312" s="551"/>
      <c r="Q312" s="819"/>
      <c r="R312" s="818"/>
      <c r="S312" s="819"/>
      <c r="U312" s="819"/>
      <c r="V312" s="811"/>
    </row>
    <row r="313" spans="2:22">
      <c r="B313" s="653"/>
      <c r="C313" s="653"/>
      <c r="D313" s="657"/>
      <c r="E313" s="659"/>
      <c r="F313" s="657"/>
      <c r="G313" s="659"/>
      <c r="H313" s="659"/>
      <c r="I313" s="659"/>
      <c r="J313" s="659"/>
      <c r="K313" s="655"/>
      <c r="L313" s="658"/>
      <c r="M313" s="551"/>
      <c r="R313" s="818"/>
      <c r="S313" s="819"/>
      <c r="U313" s="819"/>
      <c r="V313" s="811"/>
    </row>
    <row r="314" spans="2:22">
      <c r="B314" s="653"/>
      <c r="C314" s="653"/>
      <c r="D314" s="657"/>
      <c r="E314" s="659"/>
      <c r="F314" s="657"/>
      <c r="G314" s="659"/>
      <c r="H314" s="659"/>
      <c r="I314" s="659"/>
      <c r="J314" s="659"/>
      <c r="K314" s="655"/>
      <c r="L314" s="658"/>
      <c r="M314" s="551"/>
      <c r="R314" s="818"/>
      <c r="S314" s="819"/>
      <c r="U314" s="819"/>
      <c r="V314" s="811"/>
    </row>
    <row r="315" spans="2:22">
      <c r="B315" s="653"/>
      <c r="C315" s="653"/>
      <c r="D315" s="657"/>
      <c r="E315" s="659"/>
      <c r="F315" s="657"/>
      <c r="G315" s="659"/>
      <c r="H315" s="659"/>
      <c r="I315" s="659"/>
      <c r="J315" s="659"/>
      <c r="K315" s="655"/>
      <c r="L315" s="658"/>
      <c r="M315" s="551"/>
      <c r="R315" s="818"/>
      <c r="S315" s="819"/>
      <c r="U315" s="819"/>
      <c r="V315" s="811"/>
    </row>
    <row r="316" spans="2:22">
      <c r="B316" s="653"/>
      <c r="C316" s="653"/>
      <c r="D316" s="657"/>
      <c r="E316" s="659"/>
      <c r="F316" s="657"/>
      <c r="G316" s="659"/>
      <c r="H316" s="659"/>
      <c r="I316" s="659"/>
      <c r="J316" s="659"/>
      <c r="K316" s="655"/>
      <c r="L316" s="658"/>
      <c r="M316" s="551"/>
      <c r="Q316" s="819"/>
      <c r="R316" s="818"/>
      <c r="S316" s="819"/>
      <c r="U316" s="819"/>
      <c r="V316" s="811"/>
    </row>
    <row r="317" spans="2:22">
      <c r="B317" s="653"/>
      <c r="C317" s="653"/>
      <c r="D317" s="657"/>
      <c r="E317" s="659"/>
      <c r="F317" s="657"/>
      <c r="G317" s="659"/>
      <c r="H317" s="659"/>
      <c r="I317" s="659"/>
      <c r="J317" s="659"/>
      <c r="K317" s="655"/>
      <c r="L317" s="658"/>
      <c r="M317" s="551"/>
      <c r="R317" s="818"/>
      <c r="S317" s="819"/>
      <c r="U317" s="819"/>
      <c r="V317" s="811"/>
    </row>
    <row r="318" spans="2:22">
      <c r="B318" s="653"/>
      <c r="C318" s="653"/>
      <c r="D318" s="657"/>
      <c r="E318" s="659"/>
      <c r="F318" s="657"/>
      <c r="G318" s="655"/>
      <c r="H318" s="659"/>
      <c r="I318" s="659"/>
      <c r="J318" s="659"/>
      <c r="K318" s="655"/>
      <c r="L318" s="658"/>
      <c r="M318" s="551"/>
      <c r="Q318" s="819"/>
      <c r="R318" s="818"/>
      <c r="S318" s="819"/>
      <c r="U318" s="819"/>
      <c r="V318" s="811"/>
    </row>
    <row r="319" spans="2:22">
      <c r="B319" s="653"/>
      <c r="C319" s="653"/>
      <c r="D319" s="657"/>
      <c r="E319" s="659"/>
      <c r="F319" s="657"/>
      <c r="G319" s="655"/>
      <c r="H319" s="659"/>
      <c r="I319" s="659"/>
      <c r="J319" s="659"/>
      <c r="K319" s="655"/>
      <c r="L319" s="658"/>
      <c r="M319" s="551"/>
      <c r="Q319" s="819"/>
      <c r="R319" s="818"/>
      <c r="S319" s="819"/>
      <c r="U319" s="819"/>
      <c r="V319" s="811"/>
    </row>
    <row r="320" spans="2:22">
      <c r="B320" s="653"/>
      <c r="C320" s="653"/>
      <c r="D320" s="657"/>
      <c r="E320" s="659"/>
      <c r="F320" s="657"/>
      <c r="G320" s="659"/>
      <c r="H320" s="659"/>
      <c r="I320" s="659"/>
      <c r="J320" s="659"/>
      <c r="K320" s="655"/>
      <c r="L320" s="658"/>
      <c r="M320" s="551"/>
      <c r="Q320" s="819"/>
      <c r="R320" s="818"/>
      <c r="S320" s="819"/>
      <c r="U320" s="819"/>
      <c r="V320" s="811"/>
    </row>
    <row r="336" spans="3:23">
      <c r="C336" s="551"/>
      <c r="D336" s="551"/>
      <c r="E336" s="551"/>
      <c r="F336" s="551"/>
      <c r="G336" s="551"/>
      <c r="N336" s="796"/>
      <c r="O336" s="551"/>
      <c r="P336" s="551"/>
      <c r="Q336" s="551"/>
      <c r="R336" s="551"/>
      <c r="S336" s="551"/>
      <c r="T336" s="551"/>
      <c r="U336" s="551"/>
      <c r="V336" s="551"/>
      <c r="W336" s="551"/>
    </row>
    <row r="337" spans="2:22">
      <c r="B337" s="653"/>
      <c r="C337" s="653"/>
      <c r="D337" s="655"/>
      <c r="E337" s="659"/>
      <c r="F337" s="655"/>
      <c r="G337" s="659"/>
      <c r="R337" s="551"/>
      <c r="V337" s="811"/>
    </row>
    <row r="338" spans="2:22">
      <c r="B338" s="653"/>
      <c r="C338" s="653"/>
      <c r="D338" s="655"/>
      <c r="E338" s="659"/>
      <c r="F338" s="655"/>
      <c r="G338" s="659"/>
      <c r="R338" s="551"/>
      <c r="V338" s="811"/>
    </row>
    <row r="339" spans="2:22">
      <c r="B339" s="653"/>
      <c r="C339" s="653"/>
      <c r="D339" s="874"/>
      <c r="E339" s="659"/>
      <c r="F339" s="875"/>
      <c r="G339" s="659"/>
      <c r="R339" s="551"/>
      <c r="U339" s="876"/>
      <c r="V339" s="811"/>
    </row>
    <row r="340" spans="2:22">
      <c r="B340" s="653"/>
      <c r="C340" s="653"/>
      <c r="D340" s="655"/>
      <c r="E340" s="659"/>
      <c r="F340" s="655"/>
      <c r="G340" s="659"/>
      <c r="R340" s="551"/>
      <c r="V340" s="811"/>
    </row>
    <row r="341" spans="2:22">
      <c r="B341" s="653"/>
      <c r="C341" s="653"/>
      <c r="D341" s="655"/>
      <c r="E341" s="659"/>
      <c r="F341" s="655"/>
      <c r="G341" s="659"/>
      <c r="R341" s="551"/>
      <c r="V341" s="811"/>
    </row>
    <row r="342" spans="2:22">
      <c r="B342" s="653"/>
      <c r="C342" s="653"/>
      <c r="D342" s="655"/>
      <c r="E342" s="659"/>
      <c r="F342" s="655"/>
      <c r="G342" s="659"/>
      <c r="R342" s="818"/>
      <c r="T342" s="819"/>
      <c r="V342" s="811"/>
    </row>
    <row r="343" spans="2:22">
      <c r="B343" s="653"/>
      <c r="C343" s="653"/>
      <c r="D343" s="655"/>
      <c r="E343" s="659"/>
      <c r="F343" s="655"/>
      <c r="G343" s="659"/>
      <c r="R343" s="551"/>
      <c r="V343" s="811"/>
    </row>
    <row r="344" spans="2:22">
      <c r="B344" s="653"/>
      <c r="C344" s="653"/>
      <c r="D344" s="655"/>
      <c r="E344" s="659"/>
      <c r="F344" s="655"/>
      <c r="G344" s="659"/>
      <c r="R344" s="818"/>
      <c r="T344" s="819"/>
      <c r="V344" s="811"/>
    </row>
    <row r="345" spans="2:22">
      <c r="B345" s="653"/>
      <c r="C345" s="653"/>
      <c r="D345" s="655"/>
      <c r="E345" s="659"/>
      <c r="F345" s="655"/>
      <c r="G345" s="659"/>
      <c r="R345" s="818"/>
      <c r="V345" s="811"/>
    </row>
    <row r="346" spans="2:22">
      <c r="B346" s="653"/>
      <c r="C346" s="653"/>
      <c r="D346" s="655"/>
      <c r="E346" s="659"/>
      <c r="F346" s="655"/>
      <c r="G346" s="659"/>
      <c r="Q346" s="819"/>
      <c r="R346" s="818"/>
      <c r="U346" s="819"/>
      <c r="V346" s="811"/>
    </row>
    <row r="347" spans="2:22">
      <c r="B347" s="653"/>
      <c r="C347" s="653"/>
      <c r="D347" s="655"/>
      <c r="E347" s="659"/>
      <c r="F347" s="655"/>
      <c r="G347" s="659"/>
      <c r="R347" s="818"/>
      <c r="V347" s="811"/>
    </row>
    <row r="348" spans="2:22">
      <c r="B348" s="653"/>
      <c r="C348" s="653"/>
      <c r="D348" s="655"/>
      <c r="E348" s="659"/>
      <c r="F348" s="655"/>
      <c r="G348" s="659"/>
      <c r="Q348" s="819"/>
      <c r="R348" s="818"/>
      <c r="S348" s="819"/>
      <c r="U348" s="819"/>
      <c r="V348" s="811"/>
    </row>
    <row r="349" spans="2:22">
      <c r="B349" s="653"/>
      <c r="C349" s="653"/>
      <c r="D349" s="655"/>
      <c r="E349" s="659"/>
      <c r="F349" s="655"/>
      <c r="G349" s="659"/>
      <c r="R349" s="818"/>
      <c r="S349" s="819"/>
      <c r="U349" s="819"/>
      <c r="V349" s="811"/>
    </row>
    <row r="350" spans="2:22">
      <c r="B350" s="653"/>
      <c r="C350" s="653"/>
      <c r="D350" s="655"/>
      <c r="E350" s="659"/>
      <c r="F350" s="655"/>
      <c r="G350" s="659"/>
      <c r="R350" s="818"/>
      <c r="S350" s="819"/>
      <c r="U350" s="819"/>
      <c r="V350" s="811"/>
    </row>
    <row r="351" spans="2:22">
      <c r="B351" s="653"/>
      <c r="C351" s="653"/>
      <c r="D351" s="655"/>
      <c r="E351" s="659"/>
      <c r="F351" s="655"/>
      <c r="G351" s="659"/>
      <c r="R351" s="818"/>
      <c r="S351" s="819"/>
      <c r="U351" s="819"/>
      <c r="V351" s="811"/>
    </row>
    <row r="352" spans="2:22">
      <c r="B352" s="653"/>
      <c r="C352" s="653"/>
      <c r="D352" s="655"/>
      <c r="E352" s="659"/>
      <c r="F352" s="655"/>
      <c r="G352" s="659"/>
      <c r="Q352" s="819"/>
      <c r="R352" s="818"/>
      <c r="S352" s="819"/>
      <c r="U352" s="819"/>
      <c r="V352" s="811"/>
    </row>
    <row r="353" spans="2:22">
      <c r="B353" s="653"/>
      <c r="C353" s="653"/>
      <c r="D353" s="655"/>
      <c r="E353" s="659"/>
      <c r="F353" s="655"/>
      <c r="G353" s="659"/>
      <c r="R353" s="818"/>
      <c r="S353" s="819"/>
      <c r="U353" s="819"/>
      <c r="V353" s="811"/>
    </row>
    <row r="354" spans="2:22">
      <c r="B354" s="653"/>
      <c r="C354" s="653"/>
      <c r="D354" s="655"/>
      <c r="E354" s="659"/>
      <c r="F354" s="655"/>
      <c r="G354" s="659"/>
      <c r="Q354" s="819"/>
      <c r="R354" s="818"/>
      <c r="S354" s="819"/>
      <c r="U354" s="819"/>
      <c r="V354" s="811"/>
    </row>
    <row r="355" spans="2:22">
      <c r="B355" s="653"/>
      <c r="C355" s="653"/>
      <c r="D355" s="655"/>
      <c r="E355" s="659"/>
      <c r="F355" s="655"/>
      <c r="G355" s="659"/>
      <c r="Q355" s="819"/>
      <c r="R355" s="818"/>
      <c r="S355" s="819"/>
      <c r="U355" s="819"/>
      <c r="V355" s="811"/>
    </row>
    <row r="356" spans="2:22">
      <c r="B356" s="653"/>
      <c r="C356" s="653"/>
      <c r="D356" s="655"/>
      <c r="E356" s="659"/>
      <c r="F356" s="655"/>
      <c r="G356" s="659"/>
      <c r="Q356" s="819"/>
      <c r="R356" s="818"/>
      <c r="S356" s="819"/>
      <c r="U356" s="819"/>
      <c r="V356" s="811"/>
    </row>
  </sheetData>
  <sheetProtection algorithmName="SHA-512" hashValue="KIvP7e8E1sBeii3kd9wrf9qSZjOdiFcFQrEwVgQW48mZFNg54CYf1h44sAzyhP/SbZvINr7KFZB+D/24Z3pMvw==" saltValue="bXHzt8z/LjOcrgNMPGy7Mw==" spinCount="100000" sheet="1" objects="1" scenarios="1"/>
  <customSheetViews>
    <customSheetView guid="{3274156B-1D2A-4448-883E-F1EEF1AAE0AF}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5">
    <mergeCell ref="G72:K73"/>
    <mergeCell ref="H71:J71"/>
    <mergeCell ref="G78:H78"/>
    <mergeCell ref="G90:H90"/>
    <mergeCell ref="G271:H271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85B-209C-4977-8B74-E3405D99165B}">
  <sheetPr codeName="Sheet13">
    <tabColor rgb="FFFF0000"/>
  </sheetPr>
  <dimension ref="B250:O290"/>
  <sheetViews>
    <sheetView workbookViewId="0">
      <selection activeCell="B293" sqref="B293"/>
    </sheetView>
  </sheetViews>
  <sheetFormatPr baseColWidth="10" defaultColWidth="8.83203125" defaultRowHeight="15"/>
  <cols>
    <col min="2" max="2" width="37.5" customWidth="1"/>
  </cols>
  <sheetData>
    <row r="250" spans="2:15">
      <c r="I250" s="1316" t="s">
        <v>243</v>
      </c>
      <c r="J250" s="1316"/>
      <c r="K250" s="1316" t="s">
        <v>242</v>
      </c>
      <c r="L250" s="1316"/>
    </row>
    <row r="251" spans="2:15">
      <c r="C251" s="36" t="s">
        <v>91</v>
      </c>
      <c r="D251" s="36" t="s">
        <v>63</v>
      </c>
      <c r="E251" s="36" t="s">
        <v>92</v>
      </c>
      <c r="F251" s="36"/>
      <c r="G251" s="36" t="s">
        <v>178</v>
      </c>
      <c r="H251" s="36" t="s">
        <v>179</v>
      </c>
      <c r="I251" s="243" t="s">
        <v>239</v>
      </c>
      <c r="J251" s="243" t="s">
        <v>240</v>
      </c>
      <c r="K251" s="243" t="s">
        <v>239</v>
      </c>
      <c r="L251" s="243" t="s">
        <v>240</v>
      </c>
      <c r="M251" s="36" t="s">
        <v>185</v>
      </c>
      <c r="N251" s="36" t="s">
        <v>190</v>
      </c>
      <c r="O251" s="36" t="s">
        <v>186</v>
      </c>
    </row>
    <row r="252" spans="2:15"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</row>
    <row r="253" spans="2:15">
      <c r="B253" s="49" t="s">
        <v>363</v>
      </c>
      <c r="C253" s="50">
        <v>180</v>
      </c>
      <c r="D253" s="244"/>
      <c r="E253" s="50"/>
      <c r="F253" s="231"/>
      <c r="G253" s="231"/>
      <c r="H253" s="156"/>
      <c r="I253" s="54">
        <v>80000</v>
      </c>
      <c r="J253" s="54">
        <v>70000</v>
      </c>
      <c r="K253" s="156">
        <v>30</v>
      </c>
      <c r="L253" s="156">
        <v>17</v>
      </c>
      <c r="M253" s="156"/>
      <c r="N253" s="53"/>
      <c r="O253" s="156"/>
    </row>
    <row r="254" spans="2:15">
      <c r="B254" s="192" t="s">
        <v>367</v>
      </c>
      <c r="C254" s="192">
        <v>200</v>
      </c>
      <c r="D254" s="244"/>
      <c r="E254" s="50"/>
      <c r="F254" s="231"/>
      <c r="G254" s="231"/>
      <c r="H254" s="156"/>
      <c r="I254" s="54">
        <v>80000</v>
      </c>
      <c r="J254" s="54">
        <v>70000</v>
      </c>
      <c r="K254" s="156">
        <v>30</v>
      </c>
      <c r="L254" s="156">
        <v>17</v>
      </c>
      <c r="M254" s="156"/>
      <c r="N254" s="53"/>
      <c r="O254" s="156"/>
    </row>
    <row r="255" spans="2:15">
      <c r="B255" s="49" t="s">
        <v>363</v>
      </c>
      <c r="C255" s="50">
        <v>220</v>
      </c>
      <c r="D255" s="244"/>
      <c r="E255" s="50"/>
      <c r="F255" s="231"/>
      <c r="G255" s="231"/>
      <c r="H255" s="156"/>
      <c r="I255" s="54">
        <v>80000</v>
      </c>
      <c r="J255" s="54">
        <v>70000</v>
      </c>
      <c r="K255" s="156">
        <v>30</v>
      </c>
      <c r="L255" s="156">
        <v>17</v>
      </c>
      <c r="M255" s="156"/>
      <c r="N255" s="53"/>
      <c r="O255" s="156"/>
    </row>
    <row r="256" spans="2:15">
      <c r="B256" s="49" t="s">
        <v>363</v>
      </c>
      <c r="C256" s="50">
        <v>240</v>
      </c>
      <c r="D256" s="244"/>
      <c r="E256" s="50"/>
      <c r="F256" s="231"/>
      <c r="G256" s="231"/>
      <c r="H256" s="156"/>
      <c r="I256" s="54">
        <v>80000</v>
      </c>
      <c r="J256" s="54">
        <v>70000</v>
      </c>
      <c r="K256" s="156">
        <v>30</v>
      </c>
      <c r="L256" s="156">
        <v>17</v>
      </c>
      <c r="M256" s="156"/>
      <c r="N256" s="53"/>
      <c r="O256" s="156"/>
    </row>
    <row r="257" spans="2:15">
      <c r="B257" s="49" t="s">
        <v>363</v>
      </c>
      <c r="C257" s="50">
        <v>260</v>
      </c>
      <c r="D257" s="244"/>
      <c r="E257" s="50"/>
      <c r="F257" s="231"/>
      <c r="G257" s="231"/>
      <c r="H257" s="156"/>
      <c r="I257" s="54">
        <v>80000</v>
      </c>
      <c r="J257" s="54">
        <v>70000</v>
      </c>
      <c r="K257" s="156">
        <v>30</v>
      </c>
      <c r="L257" s="156">
        <v>17</v>
      </c>
      <c r="M257" s="156"/>
      <c r="N257" s="53"/>
      <c r="O257" s="156"/>
    </row>
    <row r="258" spans="2:15">
      <c r="B258" s="49" t="s">
        <v>363</v>
      </c>
      <c r="C258" s="50">
        <v>280</v>
      </c>
      <c r="D258" s="244"/>
      <c r="E258" s="50"/>
      <c r="F258" s="231"/>
      <c r="G258" s="231"/>
      <c r="H258" s="156"/>
      <c r="I258" s="54">
        <v>80000</v>
      </c>
      <c r="J258" s="54">
        <v>70000</v>
      </c>
      <c r="K258" s="156">
        <v>30</v>
      </c>
      <c r="L258" s="156">
        <v>17</v>
      </c>
      <c r="M258" s="156"/>
      <c r="N258" s="53"/>
      <c r="O258" s="156"/>
    </row>
    <row r="259" spans="2:15">
      <c r="B259" s="49" t="s">
        <v>363</v>
      </c>
      <c r="C259" s="50">
        <v>300</v>
      </c>
      <c r="D259" s="244"/>
      <c r="E259" s="52"/>
      <c r="F259" s="231"/>
      <c r="G259" s="231"/>
      <c r="H259" s="156"/>
      <c r="I259" s="54">
        <v>80000</v>
      </c>
      <c r="J259" s="54">
        <v>70000</v>
      </c>
      <c r="K259" s="156">
        <v>30</v>
      </c>
      <c r="L259" s="156">
        <v>17</v>
      </c>
      <c r="M259" s="156"/>
      <c r="N259" s="53"/>
      <c r="O259" s="156"/>
    </row>
    <row r="260" spans="2:15">
      <c r="B260" s="49" t="s">
        <v>363</v>
      </c>
      <c r="C260" s="50">
        <v>320</v>
      </c>
      <c r="D260" s="244"/>
      <c r="E260" s="52"/>
      <c r="F260" s="231"/>
      <c r="G260" s="231"/>
      <c r="H260" s="156"/>
      <c r="I260" s="54">
        <v>80000</v>
      </c>
      <c r="J260" s="54">
        <v>70000</v>
      </c>
      <c r="K260" s="156">
        <v>30</v>
      </c>
      <c r="L260" s="156">
        <v>17</v>
      </c>
      <c r="M260" s="156"/>
      <c r="N260" s="53"/>
      <c r="O260" s="156"/>
    </row>
    <row r="261" spans="2:15">
      <c r="B261" s="49" t="s">
        <v>363</v>
      </c>
      <c r="C261" s="50">
        <v>340</v>
      </c>
      <c r="D261" s="244"/>
      <c r="E261" s="52"/>
      <c r="F261" s="231"/>
      <c r="G261" s="231"/>
      <c r="H261" s="156"/>
      <c r="I261" s="54">
        <v>80000</v>
      </c>
      <c r="J261" s="54">
        <v>70000</v>
      </c>
      <c r="K261" s="156">
        <v>30</v>
      </c>
      <c r="L261" s="156">
        <v>17</v>
      </c>
      <c r="M261" s="156"/>
      <c r="N261" s="53"/>
      <c r="O261" s="156"/>
    </row>
    <row r="262" spans="2:15">
      <c r="B262" s="49" t="s">
        <v>363</v>
      </c>
      <c r="C262" s="50">
        <v>360</v>
      </c>
      <c r="D262" s="244"/>
      <c r="E262" s="52"/>
      <c r="F262" s="231"/>
      <c r="G262" s="231"/>
      <c r="H262" s="156"/>
      <c r="I262" s="54">
        <v>80000</v>
      </c>
      <c r="J262" s="54">
        <v>70000</v>
      </c>
      <c r="K262" s="156">
        <v>30</v>
      </c>
      <c r="L262" s="156">
        <v>17</v>
      </c>
      <c r="M262" s="156"/>
      <c r="N262" s="53"/>
      <c r="O262" s="156"/>
    </row>
    <row r="263" spans="2:15">
      <c r="B263" s="49" t="s">
        <v>363</v>
      </c>
      <c r="C263" s="50">
        <v>380</v>
      </c>
      <c r="D263" s="244"/>
      <c r="E263" s="52"/>
      <c r="F263" s="231"/>
      <c r="G263" s="231"/>
      <c r="H263" s="156"/>
      <c r="I263" s="54">
        <v>80000</v>
      </c>
      <c r="J263" s="54">
        <v>70000</v>
      </c>
      <c r="K263" s="156">
        <v>30</v>
      </c>
      <c r="L263" s="156">
        <v>17</v>
      </c>
      <c r="M263" s="156"/>
      <c r="N263" s="53"/>
      <c r="O263" s="156"/>
    </row>
    <row r="264" spans="2:15">
      <c r="B264" s="49" t="s">
        <v>363</v>
      </c>
      <c r="C264" s="50">
        <v>400</v>
      </c>
      <c r="D264" s="244"/>
      <c r="E264" s="52"/>
      <c r="F264" s="231"/>
      <c r="G264" s="231"/>
      <c r="H264" s="156"/>
      <c r="I264" s="54">
        <v>80000</v>
      </c>
      <c r="J264" s="54">
        <v>70000</v>
      </c>
      <c r="K264" s="156">
        <v>30</v>
      </c>
      <c r="L264" s="156">
        <v>17</v>
      </c>
      <c r="M264" s="156"/>
      <c r="N264" s="53"/>
      <c r="O264" s="156"/>
    </row>
    <row r="265" spans="2:15">
      <c r="B265" s="297"/>
      <c r="C265" s="297"/>
      <c r="D265" s="298"/>
      <c r="E265" s="38"/>
      <c r="F265" s="299"/>
      <c r="G265" s="299"/>
      <c r="H265" s="300"/>
      <c r="I265" s="38"/>
      <c r="J265" s="38"/>
      <c r="K265" s="38"/>
      <c r="L265" s="300"/>
      <c r="M265" s="300"/>
      <c r="N265" s="301"/>
      <c r="O265" s="300"/>
    </row>
    <row r="266" spans="2:15">
      <c r="B266" s="49" t="s">
        <v>364</v>
      </c>
      <c r="C266" s="50">
        <v>200</v>
      </c>
      <c r="D266" s="244"/>
      <c r="E266" s="52"/>
      <c r="F266" s="231"/>
      <c r="G266" s="231"/>
      <c r="H266" s="156"/>
      <c r="I266" s="54">
        <v>150000</v>
      </c>
      <c r="J266" s="54">
        <v>135000</v>
      </c>
      <c r="K266" s="54">
        <v>23</v>
      </c>
      <c r="L266" s="54">
        <v>12</v>
      </c>
      <c r="M266" s="156"/>
      <c r="N266" s="53"/>
      <c r="O266" s="156"/>
    </row>
    <row r="267" spans="2:15">
      <c r="B267" s="49" t="s">
        <v>364</v>
      </c>
      <c r="C267" s="50">
        <v>220</v>
      </c>
      <c r="D267" s="244"/>
      <c r="E267" s="51"/>
      <c r="F267" s="231"/>
      <c r="G267" s="231"/>
      <c r="H267" s="156"/>
      <c r="I267" s="54">
        <v>150000</v>
      </c>
      <c r="J267" s="54">
        <v>135000</v>
      </c>
      <c r="K267" s="54">
        <v>23</v>
      </c>
      <c r="L267" s="54">
        <v>12</v>
      </c>
      <c r="M267" s="156"/>
      <c r="N267" s="53"/>
      <c r="O267" s="156"/>
    </row>
    <row r="268" spans="2:15">
      <c r="B268" s="49" t="s">
        <v>364</v>
      </c>
      <c r="C268" s="50">
        <v>240</v>
      </c>
      <c r="D268" s="244"/>
      <c r="E268" s="52"/>
      <c r="F268" s="231"/>
      <c r="G268" s="231"/>
      <c r="H268" s="156"/>
      <c r="I268" s="54">
        <v>150000</v>
      </c>
      <c r="J268" s="54">
        <v>135000</v>
      </c>
      <c r="K268" s="54">
        <v>23</v>
      </c>
      <c r="L268" s="54">
        <v>12</v>
      </c>
      <c r="M268" s="156"/>
      <c r="N268" s="53"/>
      <c r="O268" s="156"/>
    </row>
    <row r="269" spans="2:15">
      <c r="B269" s="49" t="s">
        <v>364</v>
      </c>
      <c r="C269" s="50">
        <v>260</v>
      </c>
      <c r="D269" s="244"/>
      <c r="E269" s="52"/>
      <c r="F269" s="231"/>
      <c r="G269" s="231"/>
      <c r="H269" s="156"/>
      <c r="I269" s="54">
        <v>150000</v>
      </c>
      <c r="J269" s="54">
        <v>135000</v>
      </c>
      <c r="K269" s="54">
        <v>23</v>
      </c>
      <c r="L269" s="54">
        <v>12</v>
      </c>
      <c r="M269" s="156"/>
      <c r="N269" s="53"/>
      <c r="O269" s="156"/>
    </row>
    <row r="270" spans="2:15">
      <c r="B270" s="49" t="s">
        <v>364</v>
      </c>
      <c r="C270" s="50">
        <v>280</v>
      </c>
      <c r="D270" s="244"/>
      <c r="E270" s="52"/>
      <c r="F270" s="231"/>
      <c r="G270" s="231"/>
      <c r="H270" s="156"/>
      <c r="I270" s="54">
        <v>150000</v>
      </c>
      <c r="J270" s="54">
        <v>135000</v>
      </c>
      <c r="K270" s="54">
        <v>23</v>
      </c>
      <c r="L270" s="54">
        <v>12</v>
      </c>
      <c r="M270" s="156"/>
      <c r="N270" s="53"/>
      <c r="O270" s="156"/>
    </row>
    <row r="271" spans="2:15">
      <c r="B271" s="49" t="s">
        <v>364</v>
      </c>
      <c r="C271" s="50">
        <v>300</v>
      </c>
      <c r="D271" s="244"/>
      <c r="E271" s="52"/>
      <c r="F271" s="231"/>
      <c r="G271" s="231"/>
      <c r="H271" s="156"/>
      <c r="I271" s="54">
        <v>150000</v>
      </c>
      <c r="J271" s="54">
        <v>135000</v>
      </c>
      <c r="K271" s="54">
        <v>23</v>
      </c>
      <c r="L271" s="54">
        <v>12</v>
      </c>
      <c r="M271" s="156"/>
      <c r="N271" s="53"/>
      <c r="O271" s="156"/>
    </row>
    <row r="272" spans="2:15">
      <c r="B272" s="49" t="s">
        <v>364</v>
      </c>
      <c r="C272" s="50">
        <v>320</v>
      </c>
      <c r="D272" s="244"/>
      <c r="E272" s="52"/>
      <c r="F272" s="231"/>
      <c r="G272" s="231"/>
      <c r="H272" s="156"/>
      <c r="I272" s="54">
        <v>150000</v>
      </c>
      <c r="J272" s="54">
        <v>135000</v>
      </c>
      <c r="K272" s="54">
        <v>23</v>
      </c>
      <c r="L272" s="54">
        <v>12</v>
      </c>
      <c r="M272" s="156"/>
      <c r="N272" s="53"/>
      <c r="O272" s="156"/>
    </row>
    <row r="273" spans="2:15">
      <c r="B273" s="49" t="s">
        <v>364</v>
      </c>
      <c r="C273" s="50">
        <v>340</v>
      </c>
      <c r="D273" s="244"/>
      <c r="E273" s="52"/>
      <c r="F273" s="231"/>
      <c r="G273" s="231"/>
      <c r="H273" s="156"/>
      <c r="I273" s="54">
        <v>150000</v>
      </c>
      <c r="J273" s="54">
        <v>135000</v>
      </c>
      <c r="K273" s="54">
        <v>23</v>
      </c>
      <c r="L273" s="54">
        <v>12</v>
      </c>
      <c r="M273" s="156"/>
      <c r="N273" s="53"/>
      <c r="O273" s="156"/>
    </row>
    <row r="274" spans="2:15">
      <c r="B274" s="49" t="s">
        <v>364</v>
      </c>
      <c r="C274" s="50">
        <v>360</v>
      </c>
      <c r="D274" s="244"/>
      <c r="E274" s="52"/>
      <c r="F274" s="231"/>
      <c r="G274" s="231"/>
      <c r="H274" s="156"/>
      <c r="I274" s="54">
        <v>150000</v>
      </c>
      <c r="J274" s="54">
        <v>135000</v>
      </c>
      <c r="K274" s="54">
        <v>23</v>
      </c>
      <c r="L274" s="54">
        <v>12</v>
      </c>
      <c r="M274" s="156"/>
      <c r="N274" s="53"/>
      <c r="O274" s="156"/>
    </row>
    <row r="275" spans="2:15">
      <c r="B275" s="49" t="s">
        <v>364</v>
      </c>
      <c r="C275" s="50">
        <v>380</v>
      </c>
      <c r="D275" s="244"/>
      <c r="E275" s="52"/>
      <c r="F275" s="231"/>
      <c r="G275" s="231"/>
      <c r="H275" s="156"/>
      <c r="I275" s="54">
        <v>150000</v>
      </c>
      <c r="J275" s="54">
        <v>135000</v>
      </c>
      <c r="K275" s="54">
        <v>23</v>
      </c>
      <c r="L275" s="54">
        <v>12</v>
      </c>
      <c r="M275" s="156"/>
      <c r="N275" s="53"/>
      <c r="O275" s="156"/>
    </row>
    <row r="276" spans="2:15">
      <c r="B276" s="49" t="s">
        <v>364</v>
      </c>
      <c r="C276" s="50">
        <v>400</v>
      </c>
      <c r="D276" s="244"/>
      <c r="E276" s="52"/>
      <c r="F276" s="231"/>
      <c r="G276" s="231"/>
      <c r="H276" s="156"/>
      <c r="I276" s="54">
        <v>150000</v>
      </c>
      <c r="J276" s="54">
        <v>135000</v>
      </c>
      <c r="K276" s="54">
        <v>23</v>
      </c>
      <c r="L276" s="54">
        <v>12</v>
      </c>
      <c r="M276" s="156"/>
      <c r="N276" s="53"/>
      <c r="O276" s="156"/>
    </row>
    <row r="277" spans="2:15">
      <c r="B277" s="297"/>
      <c r="C277" s="297"/>
      <c r="D277" s="298"/>
      <c r="E277" s="38"/>
      <c r="F277" s="299"/>
      <c r="G277" s="299"/>
      <c r="H277" s="300"/>
      <c r="I277" s="38"/>
      <c r="J277" s="38"/>
      <c r="K277" s="38"/>
      <c r="L277" s="38"/>
      <c r="M277" s="300"/>
      <c r="N277" s="301"/>
      <c r="O277" s="300"/>
    </row>
    <row r="278" spans="2:15">
      <c r="B278" s="49" t="s">
        <v>365</v>
      </c>
      <c r="C278" s="50">
        <v>200</v>
      </c>
      <c r="D278" s="244"/>
      <c r="E278" s="52"/>
      <c r="F278" s="231"/>
      <c r="G278" s="231"/>
      <c r="H278" s="156"/>
      <c r="I278" s="54">
        <v>150000</v>
      </c>
      <c r="J278" s="54">
        <v>135000</v>
      </c>
      <c r="K278" s="54">
        <v>30</v>
      </c>
      <c r="L278" s="54">
        <v>17</v>
      </c>
      <c r="M278" s="156"/>
      <c r="N278" s="53"/>
      <c r="O278" s="156"/>
    </row>
    <row r="279" spans="2:15">
      <c r="B279" s="49" t="s">
        <v>365</v>
      </c>
      <c r="C279" s="50">
        <v>220</v>
      </c>
      <c r="D279" s="244"/>
      <c r="E279" s="52"/>
      <c r="F279" s="231"/>
      <c r="G279" s="231"/>
      <c r="H279" s="156"/>
      <c r="I279" s="54">
        <v>150000</v>
      </c>
      <c r="J279" s="54">
        <v>135000</v>
      </c>
      <c r="K279" s="54">
        <v>30</v>
      </c>
      <c r="L279" s="54">
        <v>17</v>
      </c>
      <c r="M279" s="156"/>
      <c r="N279" s="53"/>
      <c r="O279" s="156"/>
    </row>
    <row r="280" spans="2:15">
      <c r="B280" s="49" t="s">
        <v>365</v>
      </c>
      <c r="C280" s="50">
        <v>240</v>
      </c>
      <c r="D280" s="244"/>
      <c r="E280" s="52"/>
      <c r="F280" s="231"/>
      <c r="G280" s="231"/>
      <c r="H280" s="156"/>
      <c r="I280" s="54">
        <v>150000</v>
      </c>
      <c r="J280" s="54">
        <v>135000</v>
      </c>
      <c r="K280" s="54">
        <v>30</v>
      </c>
      <c r="L280" s="54">
        <v>17</v>
      </c>
      <c r="M280" s="156"/>
      <c r="N280" s="53"/>
      <c r="O280" s="156"/>
    </row>
    <row r="281" spans="2:15">
      <c r="B281" s="49" t="s">
        <v>365</v>
      </c>
      <c r="C281" s="50">
        <v>260</v>
      </c>
      <c r="D281" s="244"/>
      <c r="E281" s="52"/>
      <c r="F281" s="231"/>
      <c r="G281" s="231"/>
      <c r="H281" s="156"/>
      <c r="I281" s="54">
        <v>150000</v>
      </c>
      <c r="J281" s="54">
        <v>135000</v>
      </c>
      <c r="K281" s="54">
        <v>30</v>
      </c>
      <c r="L281" s="54">
        <v>17</v>
      </c>
      <c r="M281" s="156"/>
      <c r="N281" s="53"/>
      <c r="O281" s="156"/>
    </row>
    <row r="282" spans="2:15">
      <c r="B282" s="49" t="s">
        <v>365</v>
      </c>
      <c r="C282" s="50">
        <v>280</v>
      </c>
      <c r="D282" s="244"/>
      <c r="E282" s="52"/>
      <c r="F282" s="231"/>
      <c r="G282" s="231"/>
      <c r="H282" s="156"/>
      <c r="I282" s="54">
        <v>150000</v>
      </c>
      <c r="J282" s="54">
        <v>135000</v>
      </c>
      <c r="K282" s="54">
        <v>30</v>
      </c>
      <c r="L282" s="54">
        <v>17</v>
      </c>
      <c r="M282" s="156"/>
      <c r="N282" s="53"/>
      <c r="O282" s="156"/>
    </row>
    <row r="283" spans="2:15">
      <c r="B283" s="49" t="s">
        <v>365</v>
      </c>
      <c r="C283" s="50">
        <v>300</v>
      </c>
      <c r="D283" s="244"/>
      <c r="E283" s="52"/>
      <c r="F283" s="231"/>
      <c r="G283" s="231"/>
      <c r="H283" s="156"/>
      <c r="I283" s="54">
        <v>150000</v>
      </c>
      <c r="J283" s="54">
        <v>135000</v>
      </c>
      <c r="K283" s="54">
        <v>30</v>
      </c>
      <c r="L283" s="54">
        <v>17</v>
      </c>
      <c r="M283" s="156"/>
      <c r="N283" s="53"/>
      <c r="O283" s="156"/>
    </row>
    <row r="284" spans="2:15">
      <c r="B284" s="49" t="s">
        <v>365</v>
      </c>
      <c r="C284" s="50">
        <v>320</v>
      </c>
      <c r="D284" s="244"/>
      <c r="E284" s="52"/>
      <c r="F284" s="231"/>
      <c r="G284" s="231"/>
      <c r="H284" s="156"/>
      <c r="I284" s="54">
        <v>150000</v>
      </c>
      <c r="J284" s="54">
        <v>135000</v>
      </c>
      <c r="K284" s="54">
        <v>30</v>
      </c>
      <c r="L284" s="54">
        <v>17</v>
      </c>
      <c r="M284" s="156"/>
      <c r="N284" s="53"/>
      <c r="O284" s="156"/>
    </row>
    <row r="285" spans="2:15">
      <c r="B285" s="49" t="s">
        <v>365</v>
      </c>
      <c r="C285" s="50">
        <v>340</v>
      </c>
      <c r="D285" s="244"/>
      <c r="E285" s="52"/>
      <c r="F285" s="231"/>
      <c r="G285" s="231"/>
      <c r="H285" s="156"/>
      <c r="I285" s="54">
        <v>150000</v>
      </c>
      <c r="J285" s="54">
        <v>135000</v>
      </c>
      <c r="K285" s="54">
        <v>30</v>
      </c>
      <c r="L285" s="54">
        <v>17</v>
      </c>
      <c r="M285" s="156"/>
      <c r="N285" s="53"/>
      <c r="O285" s="156"/>
    </row>
    <row r="286" spans="2:15">
      <c r="B286" s="49" t="s">
        <v>365</v>
      </c>
      <c r="C286" s="50">
        <v>360</v>
      </c>
      <c r="D286" s="244"/>
      <c r="E286" s="52"/>
      <c r="F286" s="231"/>
      <c r="G286" s="231"/>
      <c r="H286" s="156"/>
      <c r="I286" s="54">
        <v>150000</v>
      </c>
      <c r="J286" s="54">
        <v>135000</v>
      </c>
      <c r="K286" s="54">
        <v>30</v>
      </c>
      <c r="L286" s="54">
        <v>17</v>
      </c>
      <c r="M286" s="156"/>
      <c r="N286" s="53"/>
      <c r="O286" s="156"/>
    </row>
    <row r="287" spans="2:15">
      <c r="B287" s="49" t="s">
        <v>365</v>
      </c>
      <c r="C287" s="50">
        <v>380</v>
      </c>
      <c r="D287" s="244"/>
      <c r="E287" s="52"/>
      <c r="F287" s="231"/>
      <c r="G287" s="231"/>
      <c r="H287" s="156"/>
      <c r="I287" s="54">
        <v>150000</v>
      </c>
      <c r="J287" s="54">
        <v>135000</v>
      </c>
      <c r="K287" s="54">
        <v>30</v>
      </c>
      <c r="L287" s="54">
        <v>17</v>
      </c>
      <c r="M287" s="156"/>
      <c r="N287" s="53"/>
      <c r="O287" s="156"/>
    </row>
    <row r="288" spans="2:15">
      <c r="B288" s="49" t="s">
        <v>365</v>
      </c>
      <c r="C288" s="50">
        <v>400</v>
      </c>
      <c r="D288" s="244"/>
      <c r="E288" s="52"/>
      <c r="F288" s="231"/>
      <c r="G288" s="231"/>
      <c r="H288" s="156"/>
      <c r="I288" s="54"/>
      <c r="J288" s="54"/>
      <c r="K288" s="54">
        <v>30</v>
      </c>
      <c r="L288" s="54">
        <v>17</v>
      </c>
      <c r="M288" s="156"/>
      <c r="N288" s="53"/>
      <c r="O288" s="156"/>
    </row>
    <row r="289" spans="2:15">
      <c r="B289" s="49"/>
      <c r="C289" s="50"/>
      <c r="D289" s="244"/>
      <c r="E289" s="52"/>
      <c r="F289" s="231"/>
      <c r="G289" s="231"/>
      <c r="H289" s="156"/>
      <c r="I289" s="54"/>
      <c r="J289" s="54"/>
      <c r="K289" s="54">
        <v>30</v>
      </c>
      <c r="L289" s="54">
        <v>17</v>
      </c>
      <c r="M289" s="156"/>
      <c r="N289" s="53"/>
      <c r="O289" s="156"/>
    </row>
    <row r="290" spans="2:15">
      <c r="B290" s="49"/>
      <c r="C290" s="50"/>
      <c r="D290" s="244"/>
      <c r="E290" s="52"/>
      <c r="F290" s="231"/>
      <c r="G290" s="231"/>
      <c r="H290" s="156"/>
      <c r="I290" s="54"/>
      <c r="J290" s="54"/>
      <c r="K290" s="54">
        <v>30</v>
      </c>
      <c r="L290" s="54">
        <v>17</v>
      </c>
      <c r="M290" s="156"/>
      <c r="N290" s="53"/>
      <c r="O290" s="156"/>
    </row>
  </sheetData>
  <customSheetViews>
    <customSheetView guid="{3274156B-1D2A-4448-883E-F1EEF1AAE0AF}" state="hidden">
      <selection activeCell="B293" sqref="B293"/>
      <pageMargins left="0.7" right="0.7" top="0.75" bottom="0.75" header="0.3" footer="0.3"/>
    </customSheetView>
  </customSheetViews>
  <mergeCells count="2">
    <mergeCell ref="I250:J250"/>
    <mergeCell ref="K250:L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EA11-944A-46AF-A6CF-602BDDA93783}">
  <sheetPr codeName="Sheet14">
    <tabColor rgb="FFFF0000"/>
  </sheetPr>
  <dimension ref="B2:O547"/>
  <sheetViews>
    <sheetView topLeftCell="A244" workbookViewId="0">
      <selection activeCell="K259" sqref="K259"/>
    </sheetView>
  </sheetViews>
  <sheetFormatPr baseColWidth="10" defaultColWidth="8.83203125" defaultRowHeight="15"/>
  <cols>
    <col min="1" max="1" width="8.83203125" style="544"/>
    <col min="2" max="2" width="35.5" style="544" customWidth="1"/>
    <col min="3" max="3" width="8.83203125" style="544"/>
    <col min="4" max="4" width="10.83203125" style="544" customWidth="1"/>
    <col min="5" max="5" width="11.6640625" style="544" customWidth="1"/>
    <col min="6" max="16384" width="8.83203125" style="544"/>
  </cols>
  <sheetData>
    <row r="2" spans="2:11">
      <c r="B2" s="611" t="s">
        <v>208</v>
      </c>
      <c r="C2" s="612" t="s">
        <v>86</v>
      </c>
      <c r="D2" s="595">
        <f>'Данные ОЦБ'!D2</f>
        <v>65.2</v>
      </c>
      <c r="E2" s="613"/>
      <c r="F2" s="614"/>
      <c r="H2" s="1309" t="s">
        <v>234</v>
      </c>
      <c r="I2" s="1309"/>
      <c r="J2" s="1309"/>
    </row>
    <row r="3" spans="2:11">
      <c r="B3" s="616" t="s">
        <v>589</v>
      </c>
      <c r="C3" s="612" t="s">
        <v>63</v>
      </c>
      <c r="D3" s="617">
        <f>'Данные ОЦБ'!D3</f>
        <v>82.6</v>
      </c>
      <c r="E3" s="613"/>
      <c r="F3" s="614"/>
      <c r="G3" s="1310" t="s">
        <v>591</v>
      </c>
      <c r="H3" s="1311"/>
      <c r="I3" s="1311"/>
      <c r="J3" s="1311"/>
      <c r="K3" s="1311"/>
    </row>
    <row r="4" spans="2:11">
      <c r="B4" s="618" t="s">
        <v>590</v>
      </c>
      <c r="C4" s="612" t="s">
        <v>63</v>
      </c>
      <c r="D4" s="617">
        <f>'Данные ОЦБ'!D4</f>
        <v>86.42</v>
      </c>
      <c r="E4" s="613"/>
      <c r="F4" s="614"/>
      <c r="G4" s="1310"/>
      <c r="H4" s="1311"/>
      <c r="I4" s="1311"/>
      <c r="J4" s="1311"/>
      <c r="K4" s="1311"/>
    </row>
    <row r="5" spans="2:11">
      <c r="B5" s="618" t="s">
        <v>147</v>
      </c>
      <c r="C5" s="612" t="s">
        <v>86</v>
      </c>
      <c r="D5" s="619">
        <f>H248</f>
        <v>0</v>
      </c>
      <c r="E5" s="613"/>
      <c r="F5" s="614"/>
    </row>
    <row r="6" spans="2:11">
      <c r="B6" s="620"/>
      <c r="C6" s="621"/>
      <c r="D6" s="600"/>
      <c r="E6" s="613"/>
      <c r="F6" s="614"/>
    </row>
    <row r="7" spans="2:11">
      <c r="B7" s="618" t="s">
        <v>389</v>
      </c>
      <c r="C7" s="612" t="s">
        <v>160</v>
      </c>
      <c r="D7" s="622"/>
      <c r="E7" s="613"/>
      <c r="F7" s="614"/>
    </row>
    <row r="8" spans="2:11">
      <c r="B8" s="618" t="s">
        <v>390</v>
      </c>
      <c r="C8" s="612" t="s">
        <v>160</v>
      </c>
      <c r="D8" s="622">
        <v>35</v>
      </c>
      <c r="E8" s="613"/>
      <c r="F8" s="614"/>
    </row>
    <row r="9" spans="2:11">
      <c r="B9" s="618" t="s">
        <v>391</v>
      </c>
      <c r="C9" s="612" t="s">
        <v>160</v>
      </c>
      <c r="D9" s="622">
        <v>44</v>
      </c>
      <c r="E9" s="613"/>
      <c r="F9" s="614"/>
      <c r="G9" s="1312" t="s">
        <v>394</v>
      </c>
      <c r="H9" s="1313"/>
    </row>
    <row r="10" spans="2:11">
      <c r="B10" s="618" t="s">
        <v>392</v>
      </c>
      <c r="C10" s="612" t="s">
        <v>160</v>
      </c>
      <c r="D10" s="622">
        <v>55</v>
      </c>
      <c r="E10" s="613"/>
      <c r="F10" s="614"/>
    </row>
    <row r="11" spans="2:11">
      <c r="B11" s="618" t="s">
        <v>393</v>
      </c>
      <c r="C11" s="612" t="s">
        <v>160</v>
      </c>
      <c r="D11" s="622">
        <v>30</v>
      </c>
      <c r="E11" s="613"/>
      <c r="F11" s="614"/>
    </row>
    <row r="12" spans="2:11">
      <c r="B12" s="620"/>
      <c r="C12" s="612"/>
      <c r="D12" s="600"/>
      <c r="E12" s="613"/>
      <c r="F12" s="614"/>
    </row>
    <row r="13" spans="2:11">
      <c r="B13" s="611" t="s">
        <v>549</v>
      </c>
      <c r="C13" s="612" t="s">
        <v>63</v>
      </c>
      <c r="D13" s="623"/>
      <c r="E13" s="613">
        <v>17000</v>
      </c>
      <c r="F13" s="614"/>
    </row>
    <row r="14" spans="2:11">
      <c r="B14" s="618" t="s">
        <v>547</v>
      </c>
      <c r="C14" s="612" t="s">
        <v>63</v>
      </c>
      <c r="D14" s="622"/>
      <c r="E14" s="613">
        <v>24000</v>
      </c>
      <c r="F14" s="614"/>
    </row>
    <row r="15" spans="2:11" ht="30">
      <c r="B15" s="624" t="s">
        <v>89</v>
      </c>
      <c r="C15" s="612" t="s">
        <v>85</v>
      </c>
      <c r="D15" s="612"/>
      <c r="E15" s="613">
        <v>65</v>
      </c>
      <c r="F15" s="587"/>
    </row>
    <row r="16" spans="2:11">
      <c r="B16" s="624" t="s">
        <v>153</v>
      </c>
      <c r="C16" s="612" t="s">
        <v>85</v>
      </c>
      <c r="D16" s="613"/>
      <c r="E16" s="613">
        <v>13</v>
      </c>
      <c r="F16" s="587"/>
    </row>
    <row r="17" spans="2:8">
      <c r="B17" s="625" t="s">
        <v>161</v>
      </c>
      <c r="C17" s="626"/>
      <c r="D17" s="627"/>
      <c r="E17" s="627">
        <v>380</v>
      </c>
      <c r="F17" s="628"/>
    </row>
    <row r="18" spans="2:8" ht="30">
      <c r="B18" s="629" t="s">
        <v>90</v>
      </c>
      <c r="C18" s="630" t="s">
        <v>86</v>
      </c>
      <c r="D18" s="631">
        <f>H248</f>
        <v>0</v>
      </c>
      <c r="E18" s="632">
        <v>13</v>
      </c>
      <c r="F18" s="633"/>
    </row>
    <row r="19" spans="2:8">
      <c r="B19" s="634" t="s">
        <v>180</v>
      </c>
      <c r="C19" s="630" t="s">
        <v>182</v>
      </c>
      <c r="D19" s="633"/>
      <c r="E19" s="632">
        <v>60</v>
      </c>
      <c r="F19" s="635"/>
    </row>
    <row r="20" spans="2:8">
      <c r="B20" s="634" t="s">
        <v>149</v>
      </c>
      <c r="C20" s="630" t="s">
        <v>85</v>
      </c>
      <c r="D20" s="632">
        <f>ROUNDUP(L248,0)</f>
        <v>0</v>
      </c>
      <c r="E20" s="632">
        <v>21</v>
      </c>
      <c r="F20" s="635"/>
    </row>
    <row r="21" spans="2:8" ht="30">
      <c r="B21" s="636" t="s">
        <v>152</v>
      </c>
      <c r="C21" s="630" t="s">
        <v>85</v>
      </c>
      <c r="D21" s="637">
        <v>2</v>
      </c>
      <c r="E21" s="632">
        <v>1200</v>
      </c>
      <c r="F21" s="633"/>
      <c r="G21" s="1314" t="s">
        <v>394</v>
      </c>
      <c r="H21" s="1315"/>
    </row>
    <row r="22" spans="2:8">
      <c r="B22" s="629" t="s">
        <v>231</v>
      </c>
      <c r="C22" s="630" t="s">
        <v>85</v>
      </c>
      <c r="D22" s="632"/>
      <c r="E22" s="632">
        <v>13</v>
      </c>
      <c r="F22" s="633"/>
    </row>
    <row r="23" spans="2:8">
      <c r="B23" s="634" t="s">
        <v>195</v>
      </c>
      <c r="C23" s="630" t="s">
        <v>63</v>
      </c>
      <c r="D23" s="632">
        <f>D2/30</f>
        <v>2.1733333333333333</v>
      </c>
      <c r="E23" s="632">
        <v>17000</v>
      </c>
      <c r="F23" s="635"/>
    </row>
    <row r="24" spans="2:8">
      <c r="B24" s="634" t="s">
        <v>194</v>
      </c>
      <c r="C24" s="630" t="s">
        <v>156</v>
      </c>
      <c r="D24" s="632"/>
      <c r="E24" s="632">
        <v>150</v>
      </c>
      <c r="F24" s="635"/>
    </row>
    <row r="25" spans="2:8">
      <c r="B25" s="634" t="s">
        <v>163</v>
      </c>
      <c r="C25" s="630" t="s">
        <v>167</v>
      </c>
      <c r="D25" s="632">
        <v>1</v>
      </c>
      <c r="E25" s="632">
        <v>10000</v>
      </c>
      <c r="F25" s="635"/>
    </row>
    <row r="26" spans="2:8">
      <c r="B26" s="634" t="s">
        <v>373</v>
      </c>
      <c r="C26" s="630" t="s">
        <v>167</v>
      </c>
      <c r="D26" s="632">
        <v>1</v>
      </c>
      <c r="E26" s="632">
        <v>12000</v>
      </c>
      <c r="F26" s="635"/>
    </row>
    <row r="27" spans="2:8">
      <c r="B27" s="634"/>
      <c r="C27" s="630"/>
      <c r="D27" s="632"/>
      <c r="E27" s="632"/>
      <c r="F27" s="635"/>
    </row>
    <row r="28" spans="2:8">
      <c r="B28" s="634"/>
      <c r="C28" s="630"/>
      <c r="D28" s="632"/>
      <c r="E28" s="632"/>
      <c r="F28" s="635"/>
    </row>
    <row r="29" spans="2:8">
      <c r="B29" s="630" t="s">
        <v>232</v>
      </c>
      <c r="C29" s="630"/>
      <c r="D29" s="632" t="s">
        <v>63</v>
      </c>
      <c r="E29" s="632"/>
      <c r="F29" s="635" t="s">
        <v>615</v>
      </c>
    </row>
    <row r="30" spans="2:8">
      <c r="B30" s="638" t="s">
        <v>605</v>
      </c>
      <c r="C30" s="630"/>
      <c r="D30" s="632"/>
      <c r="E30" s="632"/>
      <c r="F30" s="635"/>
    </row>
    <row r="31" spans="2:8">
      <c r="B31" s="620" t="s">
        <v>598</v>
      </c>
      <c r="C31" s="621" t="s">
        <v>63</v>
      </c>
      <c r="D31" s="587">
        <f>D253</f>
        <v>75.223713137193116</v>
      </c>
      <c r="E31" s="613">
        <v>5000</v>
      </c>
      <c r="F31" s="635"/>
    </row>
    <row r="32" spans="2:8">
      <c r="B32" s="620" t="s">
        <v>599</v>
      </c>
      <c r="C32" s="621" t="s">
        <v>63</v>
      </c>
      <c r="D32" s="587">
        <f t="shared" ref="D32:D37" si="0">D254</f>
        <v>82.6</v>
      </c>
      <c r="E32" s="613">
        <v>5000</v>
      </c>
      <c r="F32" s="635"/>
    </row>
    <row r="33" spans="2:6">
      <c r="B33" s="620" t="s">
        <v>600</v>
      </c>
      <c r="C33" s="621" t="s">
        <v>63</v>
      </c>
      <c r="D33" s="587">
        <f t="shared" si="0"/>
        <v>90.699590799999996</v>
      </c>
      <c r="E33" s="613">
        <v>5000</v>
      </c>
      <c r="F33" s="635"/>
    </row>
    <row r="34" spans="2:6">
      <c r="B34" s="620" t="s">
        <v>601</v>
      </c>
      <c r="C34" s="621" t="s">
        <v>63</v>
      </c>
      <c r="D34" s="587">
        <f t="shared" si="0"/>
        <v>102.29634978009719</v>
      </c>
      <c r="E34" s="613">
        <v>5000</v>
      </c>
      <c r="F34" s="635">
        <f>ROUNDDOWN(D34/20,0)</f>
        <v>5</v>
      </c>
    </row>
    <row r="35" spans="2:6">
      <c r="B35" s="620" t="s">
        <v>602</v>
      </c>
      <c r="C35" s="621" t="s">
        <v>63</v>
      </c>
      <c r="D35" s="587">
        <f t="shared" si="0"/>
        <v>113.23786505622661</v>
      </c>
      <c r="E35" s="613">
        <v>5000</v>
      </c>
      <c r="F35" s="635">
        <f t="shared" ref="F35:F51" si="1">ROUNDDOWN(D35/20,0)</f>
        <v>5</v>
      </c>
    </row>
    <row r="36" spans="2:6">
      <c r="B36" s="620" t="s">
        <v>603</v>
      </c>
      <c r="C36" s="621" t="s">
        <v>63</v>
      </c>
      <c r="D36" s="587">
        <f t="shared" si="0"/>
        <v>123.56255387845819</v>
      </c>
      <c r="E36" s="613">
        <v>5000</v>
      </c>
      <c r="F36" s="635">
        <f t="shared" si="1"/>
        <v>6</v>
      </c>
    </row>
    <row r="37" spans="2:6">
      <c r="B37" s="620" t="s">
        <v>604</v>
      </c>
      <c r="C37" s="621" t="s">
        <v>63</v>
      </c>
      <c r="D37" s="587">
        <f t="shared" si="0"/>
        <v>133.67899085214921</v>
      </c>
      <c r="E37" s="613">
        <v>5000</v>
      </c>
      <c r="F37" s="635">
        <f t="shared" si="1"/>
        <v>6</v>
      </c>
    </row>
    <row r="38" spans="2:6">
      <c r="B38" s="639" t="s">
        <v>358</v>
      </c>
      <c r="C38" s="621"/>
      <c r="D38" s="600"/>
      <c r="E38" s="613"/>
      <c r="F38" s="635"/>
    </row>
    <row r="39" spans="2:6">
      <c r="B39" s="640" t="s">
        <v>592</v>
      </c>
      <c r="C39" s="621" t="s">
        <v>63</v>
      </c>
      <c r="D39" s="587">
        <f>D261</f>
        <v>82.6</v>
      </c>
      <c r="E39" s="613">
        <v>5000</v>
      </c>
      <c r="F39" s="635"/>
    </row>
    <row r="40" spans="2:6">
      <c r="B40" s="640" t="s">
        <v>593</v>
      </c>
      <c r="C40" s="621" t="s">
        <v>63</v>
      </c>
      <c r="D40" s="587">
        <f t="shared" ref="D40:D44" si="2">D262</f>
        <v>90.699590799999996</v>
      </c>
      <c r="E40" s="613">
        <v>5000</v>
      </c>
      <c r="F40" s="635">
        <f t="shared" si="1"/>
        <v>4</v>
      </c>
    </row>
    <row r="41" spans="2:6">
      <c r="B41" s="640" t="s">
        <v>594</v>
      </c>
      <c r="C41" s="621" t="s">
        <v>63</v>
      </c>
      <c r="D41" s="587">
        <f t="shared" si="2"/>
        <v>102.29634978009719</v>
      </c>
      <c r="E41" s="613">
        <v>5000</v>
      </c>
      <c r="F41" s="635">
        <f t="shared" si="1"/>
        <v>5</v>
      </c>
    </row>
    <row r="42" spans="2:6">
      <c r="B42" s="640" t="s">
        <v>595</v>
      </c>
      <c r="C42" s="621" t="s">
        <v>63</v>
      </c>
      <c r="D42" s="587">
        <f t="shared" si="2"/>
        <v>113.23786505622661</v>
      </c>
      <c r="E42" s="613">
        <v>5000</v>
      </c>
      <c r="F42" s="635">
        <f t="shared" si="1"/>
        <v>5</v>
      </c>
    </row>
    <row r="43" spans="2:6">
      <c r="B43" s="640" t="s">
        <v>596</v>
      </c>
      <c r="C43" s="621" t="s">
        <v>63</v>
      </c>
      <c r="D43" s="587">
        <f t="shared" si="2"/>
        <v>123.56255387845819</v>
      </c>
      <c r="E43" s="613">
        <v>5000</v>
      </c>
      <c r="F43" s="635">
        <f t="shared" si="1"/>
        <v>6</v>
      </c>
    </row>
    <row r="44" spans="2:6">
      <c r="B44" s="640" t="s">
        <v>597</v>
      </c>
      <c r="C44" s="621" t="s">
        <v>63</v>
      </c>
      <c r="D44" s="587">
        <f t="shared" si="2"/>
        <v>133.67899085214921</v>
      </c>
      <c r="E44" s="613">
        <v>5000</v>
      </c>
      <c r="F44" s="635">
        <f t="shared" si="1"/>
        <v>6</v>
      </c>
    </row>
    <row r="45" spans="2:6">
      <c r="B45" s="639" t="s">
        <v>359</v>
      </c>
      <c r="C45" s="621"/>
      <c r="D45" s="600"/>
      <c r="E45" s="613"/>
      <c r="F45" s="635"/>
    </row>
    <row r="46" spans="2:6">
      <c r="B46" s="640" t="s">
        <v>592</v>
      </c>
      <c r="C46" s="621" t="s">
        <v>63</v>
      </c>
      <c r="D46" s="587">
        <f>D268</f>
        <v>82.6</v>
      </c>
      <c r="E46" s="613">
        <v>5000</v>
      </c>
      <c r="F46" s="635"/>
    </row>
    <row r="47" spans="2:6">
      <c r="B47" s="640" t="s">
        <v>593</v>
      </c>
      <c r="C47" s="621" t="s">
        <v>63</v>
      </c>
      <c r="D47" s="587">
        <f t="shared" ref="D47:D51" si="3">D269</f>
        <v>90.699590799999996</v>
      </c>
      <c r="E47" s="613">
        <v>5000</v>
      </c>
      <c r="F47" s="635"/>
    </row>
    <row r="48" spans="2:6">
      <c r="B48" s="640" t="s">
        <v>594</v>
      </c>
      <c r="C48" s="621" t="s">
        <v>63</v>
      </c>
      <c r="D48" s="587">
        <f t="shared" si="3"/>
        <v>102.29634978009719</v>
      </c>
      <c r="E48" s="613">
        <v>5000</v>
      </c>
      <c r="F48" s="635">
        <f t="shared" si="1"/>
        <v>5</v>
      </c>
    </row>
    <row r="49" spans="2:6">
      <c r="B49" s="640" t="s">
        <v>595</v>
      </c>
      <c r="C49" s="621" t="s">
        <v>63</v>
      </c>
      <c r="D49" s="587">
        <f t="shared" si="3"/>
        <v>113.23786505622661</v>
      </c>
      <c r="E49" s="613">
        <v>5000</v>
      </c>
      <c r="F49" s="635">
        <f t="shared" si="1"/>
        <v>5</v>
      </c>
    </row>
    <row r="50" spans="2:6">
      <c r="B50" s="640" t="s">
        <v>596</v>
      </c>
      <c r="C50" s="621" t="s">
        <v>63</v>
      </c>
      <c r="D50" s="587">
        <f t="shared" si="3"/>
        <v>123.56255387845819</v>
      </c>
      <c r="E50" s="613">
        <v>5000</v>
      </c>
      <c r="F50" s="635">
        <f t="shared" si="1"/>
        <v>6</v>
      </c>
    </row>
    <row r="51" spans="2:6">
      <c r="B51" s="640" t="s">
        <v>597</v>
      </c>
      <c r="C51" s="621" t="s">
        <v>63</v>
      </c>
      <c r="D51" s="587">
        <f t="shared" si="3"/>
        <v>133.67899085214921</v>
      </c>
      <c r="E51" s="613">
        <v>5000</v>
      </c>
      <c r="F51" s="635">
        <f t="shared" si="1"/>
        <v>6</v>
      </c>
    </row>
    <row r="52" spans="2:6">
      <c r="B52" s="620"/>
      <c r="C52" s="621"/>
      <c r="D52" s="600"/>
      <c r="E52" s="613"/>
      <c r="F52" s="635"/>
    </row>
    <row r="53" spans="2:6">
      <c r="B53" s="620" t="s">
        <v>221</v>
      </c>
      <c r="C53" s="621" t="s">
        <v>86</v>
      </c>
      <c r="D53" s="600"/>
      <c r="E53" s="613">
        <v>5</v>
      </c>
      <c r="F53" s="635"/>
    </row>
    <row r="54" spans="2:6">
      <c r="B54" s="620" t="s">
        <v>216</v>
      </c>
      <c r="C54" s="621" t="s">
        <v>85</v>
      </c>
      <c r="D54" s="600"/>
      <c r="E54" s="613">
        <v>1500</v>
      </c>
      <c r="F54" s="635"/>
    </row>
    <row r="55" spans="2:6">
      <c r="B55" s="620" t="s">
        <v>154</v>
      </c>
      <c r="C55" s="621" t="s">
        <v>150</v>
      </c>
      <c r="D55" s="600">
        <v>1</v>
      </c>
      <c r="E55" s="613">
        <f>D2*'Данные ОЦБ'!E61</f>
        <v>16300</v>
      </c>
      <c r="F55" s="635"/>
    </row>
    <row r="56" spans="2:6">
      <c r="B56" s="620" t="s">
        <v>217</v>
      </c>
      <c r="C56" s="621" t="s">
        <v>160</v>
      </c>
      <c r="D56" s="600"/>
      <c r="E56" s="613">
        <v>600</v>
      </c>
      <c r="F56" s="635"/>
    </row>
    <row r="57" spans="2:6">
      <c r="B57" s="620"/>
      <c r="C57" s="621"/>
      <c r="D57" s="600"/>
      <c r="E57" s="613"/>
      <c r="F57" s="635"/>
    </row>
    <row r="58" spans="2:6">
      <c r="B58" s="620" t="s">
        <v>218</v>
      </c>
      <c r="C58" s="621" t="s">
        <v>63</v>
      </c>
      <c r="D58" s="600"/>
      <c r="E58" s="613">
        <v>500</v>
      </c>
      <c r="F58" s="635"/>
    </row>
    <row r="59" spans="2:6">
      <c r="B59" s="620" t="s">
        <v>220</v>
      </c>
      <c r="C59" s="621" t="s">
        <v>150</v>
      </c>
      <c r="D59" s="600">
        <v>1</v>
      </c>
      <c r="E59" s="613">
        <v>2000</v>
      </c>
      <c r="F59" s="635"/>
    </row>
    <row r="60" spans="2:6">
      <c r="B60" s="620" t="s">
        <v>222</v>
      </c>
      <c r="C60" s="621" t="s">
        <v>86</v>
      </c>
      <c r="D60" s="600"/>
      <c r="E60" s="613">
        <v>100</v>
      </c>
      <c r="F60" s="635"/>
    </row>
    <row r="61" spans="2:6">
      <c r="B61" s="634"/>
      <c r="C61" s="630"/>
      <c r="D61" s="632"/>
      <c r="E61" s="632"/>
      <c r="F61" s="635"/>
    </row>
    <row r="62" spans="2:6">
      <c r="B62" s="634"/>
      <c r="C62" s="630"/>
      <c r="D62" s="632"/>
      <c r="E62" s="632"/>
      <c r="F62" s="635"/>
    </row>
    <row r="63" spans="2:6">
      <c r="B63" s="634"/>
      <c r="C63" s="630"/>
      <c r="D63" s="632"/>
      <c r="E63" s="632"/>
      <c r="F63" s="635"/>
    </row>
    <row r="64" spans="2:6">
      <c r="B64" s="634"/>
      <c r="C64" s="630"/>
      <c r="D64" s="632"/>
      <c r="E64" s="632"/>
      <c r="F64" s="635"/>
    </row>
    <row r="250" spans="2:15">
      <c r="I250" s="1309" t="s">
        <v>243</v>
      </c>
      <c r="J250" s="1309"/>
      <c r="K250" s="1309" t="s">
        <v>242</v>
      </c>
      <c r="L250" s="1309"/>
    </row>
    <row r="251" spans="2:15">
      <c r="C251" s="551" t="s">
        <v>91</v>
      </c>
      <c r="D251" s="551" t="s">
        <v>63</v>
      </c>
      <c r="E251" s="551" t="s">
        <v>376</v>
      </c>
      <c r="F251" s="551" t="s">
        <v>375</v>
      </c>
      <c r="G251" s="551" t="s">
        <v>178</v>
      </c>
      <c r="H251" s="551" t="s">
        <v>179</v>
      </c>
      <c r="I251" s="641" t="s">
        <v>239</v>
      </c>
      <c r="J251" s="641" t="s">
        <v>240</v>
      </c>
      <c r="K251" s="641" t="s">
        <v>239</v>
      </c>
      <c r="L251" s="641" t="s">
        <v>240</v>
      </c>
      <c r="M251" s="551" t="s">
        <v>612</v>
      </c>
      <c r="N251" s="551" t="s">
        <v>190</v>
      </c>
      <c r="O251" s="551" t="s">
        <v>186</v>
      </c>
    </row>
    <row r="252" spans="2:15">
      <c r="C252" s="551"/>
      <c r="D252" s="551"/>
      <c r="E252" s="551"/>
      <c r="F252" s="551"/>
      <c r="G252" s="551"/>
      <c r="H252" s="551"/>
      <c r="I252" s="551"/>
      <c r="J252" s="551"/>
      <c r="K252" s="551"/>
      <c r="L252" s="551"/>
      <c r="M252" s="551"/>
      <c r="N252" s="551"/>
      <c r="O252" s="551"/>
    </row>
    <row r="253" spans="2:15">
      <c r="B253" s="642" t="s">
        <v>357</v>
      </c>
      <c r="C253" s="643">
        <v>180</v>
      </c>
      <c r="D253" s="644">
        <f>D254/F253</f>
        <v>75.223713137193116</v>
      </c>
      <c r="E253" s="644">
        <f>E254/F253</f>
        <v>78.702582195111731</v>
      </c>
      <c r="F253" s="645">
        <v>1.098058</v>
      </c>
      <c r="G253" s="646">
        <v>39.299999999999997</v>
      </c>
      <c r="H253" s="647">
        <f>D253*39.3*1.1</f>
        <v>3251.9211189208586</v>
      </c>
      <c r="I253" s="648">
        <v>30000</v>
      </c>
      <c r="J253" s="648">
        <v>20000</v>
      </c>
      <c r="K253" s="647">
        <v>32</v>
      </c>
      <c r="L253" s="647">
        <v>19</v>
      </c>
      <c r="M253" s="647">
        <f>ROUNDUP(G253*D253*10/1000,0)</f>
        <v>30</v>
      </c>
      <c r="N253" s="646"/>
      <c r="O253" s="649">
        <f>ROUNDUP(G253/1.2*C253*1.5/1200*D253,0)</f>
        <v>555</v>
      </c>
    </row>
    <row r="254" spans="2:15">
      <c r="B254" s="650" t="s">
        <v>366</v>
      </c>
      <c r="C254" s="650">
        <v>200</v>
      </c>
      <c r="D254" s="651">
        <f>D3</f>
        <v>82.6</v>
      </c>
      <c r="E254" s="651">
        <f>D4</f>
        <v>86.42</v>
      </c>
      <c r="F254" s="652"/>
      <c r="G254" s="646">
        <v>32</v>
      </c>
      <c r="H254" s="647">
        <f>D254*32*1.1</f>
        <v>2907.52</v>
      </c>
      <c r="I254" s="648">
        <v>30000</v>
      </c>
      <c r="J254" s="648">
        <v>20000</v>
      </c>
      <c r="K254" s="647">
        <v>32</v>
      </c>
      <c r="L254" s="647">
        <v>19</v>
      </c>
      <c r="M254" s="647">
        <f t="shared" ref="M254:M273" si="4">ROUNDUP(G254*D254*10/1000,0)</f>
        <v>27</v>
      </c>
      <c r="N254" s="646"/>
      <c r="O254" s="649">
        <f t="shared" ref="O254:O273" si="5">ROUNDUP(G254/1.2*C254*1.5/1200*D254,0)</f>
        <v>551</v>
      </c>
    </row>
    <row r="255" spans="2:15">
      <c r="B255" s="642" t="s">
        <v>357</v>
      </c>
      <c r="C255" s="643">
        <v>220</v>
      </c>
      <c r="D255" s="644">
        <f>D254*F255</f>
        <v>90.699590799999996</v>
      </c>
      <c r="E255" s="644">
        <f>E254*F255</f>
        <v>94.894172359999999</v>
      </c>
      <c r="F255" s="645">
        <v>1.098058</v>
      </c>
      <c r="G255" s="646">
        <v>26.3</v>
      </c>
      <c r="H255" s="647">
        <f>D255*26.3*1.1</f>
        <v>2623.9391618440004</v>
      </c>
      <c r="I255" s="648">
        <v>30000</v>
      </c>
      <c r="J255" s="648">
        <v>20000</v>
      </c>
      <c r="K255" s="647">
        <v>32</v>
      </c>
      <c r="L255" s="647">
        <v>19</v>
      </c>
      <c r="M255" s="647">
        <f t="shared" si="4"/>
        <v>24</v>
      </c>
      <c r="N255" s="646"/>
      <c r="O255" s="649">
        <f t="shared" si="5"/>
        <v>547</v>
      </c>
    </row>
    <row r="256" spans="2:15">
      <c r="B256" s="642" t="s">
        <v>357</v>
      </c>
      <c r="C256" s="643">
        <v>240</v>
      </c>
      <c r="D256" s="644">
        <f>D255*F256</f>
        <v>102.29634978009719</v>
      </c>
      <c r="E256" s="644">
        <f t="shared" ref="E256:E259" si="6">E255*F256</f>
        <v>107.02724634377724</v>
      </c>
      <c r="F256" s="645">
        <v>1.1278589999999999</v>
      </c>
      <c r="G256" s="646">
        <v>22.1</v>
      </c>
      <c r="H256" s="647">
        <f>D256*22.1*1.1</f>
        <v>2486.824263154163</v>
      </c>
      <c r="I256" s="648">
        <v>30000</v>
      </c>
      <c r="J256" s="648">
        <v>20000</v>
      </c>
      <c r="K256" s="647">
        <v>32</v>
      </c>
      <c r="L256" s="647">
        <v>19</v>
      </c>
      <c r="M256" s="647">
        <f t="shared" si="4"/>
        <v>23</v>
      </c>
      <c r="N256" s="646"/>
      <c r="O256" s="649">
        <f t="shared" si="5"/>
        <v>566</v>
      </c>
    </row>
    <row r="257" spans="2:15">
      <c r="B257" s="642" t="s">
        <v>357</v>
      </c>
      <c r="C257" s="643">
        <v>260</v>
      </c>
      <c r="D257" s="644">
        <f>D256*F257</f>
        <v>113.23786505622661</v>
      </c>
      <c r="E257" s="644">
        <f t="shared" si="6"/>
        <v>118.47477358546131</v>
      </c>
      <c r="F257" s="645">
        <v>1.106959</v>
      </c>
      <c r="G257" s="646">
        <v>18.899999999999999</v>
      </c>
      <c r="H257" s="647">
        <f>D257*18.9*1.1</f>
        <v>2354.2152145189511</v>
      </c>
      <c r="I257" s="648">
        <v>30000</v>
      </c>
      <c r="J257" s="648">
        <v>20000</v>
      </c>
      <c r="K257" s="647">
        <v>32</v>
      </c>
      <c r="L257" s="647">
        <v>19</v>
      </c>
      <c r="M257" s="647">
        <f t="shared" si="4"/>
        <v>22</v>
      </c>
      <c r="N257" s="646"/>
      <c r="O257" s="649">
        <f t="shared" si="5"/>
        <v>580</v>
      </c>
    </row>
    <row r="258" spans="2:15">
      <c r="B258" s="642" t="s">
        <v>357</v>
      </c>
      <c r="C258" s="643">
        <v>280</v>
      </c>
      <c r="D258" s="644">
        <f>D257*F258</f>
        <v>123.56255387845819</v>
      </c>
      <c r="E258" s="644">
        <f t="shared" si="6"/>
        <v>129.27694801666291</v>
      </c>
      <c r="F258" s="645">
        <v>1.0911770000000001</v>
      </c>
      <c r="G258" s="646">
        <v>16.3</v>
      </c>
      <c r="H258" s="647">
        <f>D258*16.3</f>
        <v>2014.0696282188685</v>
      </c>
      <c r="I258" s="648">
        <v>30000</v>
      </c>
      <c r="J258" s="648">
        <v>20000</v>
      </c>
      <c r="K258" s="647">
        <v>32</v>
      </c>
      <c r="L258" s="647">
        <v>19</v>
      </c>
      <c r="M258" s="647">
        <f t="shared" si="4"/>
        <v>21</v>
      </c>
      <c r="N258" s="646"/>
      <c r="O258" s="649">
        <f t="shared" si="5"/>
        <v>588</v>
      </c>
    </row>
    <row r="259" spans="2:15">
      <c r="B259" s="642" t="s">
        <v>357</v>
      </c>
      <c r="C259" s="643">
        <v>300</v>
      </c>
      <c r="D259" s="644">
        <f>D258*F259</f>
        <v>133.67899085214921</v>
      </c>
      <c r="E259" s="644">
        <f t="shared" si="6"/>
        <v>139.86123958163117</v>
      </c>
      <c r="F259" s="645">
        <v>1.0818730000000001</v>
      </c>
      <c r="G259" s="646">
        <v>14.14</v>
      </c>
      <c r="H259" s="647">
        <f>D259*14.14*1.1</f>
        <v>2079.243023714329</v>
      </c>
      <c r="I259" s="648">
        <v>30000</v>
      </c>
      <c r="J259" s="648">
        <v>20000</v>
      </c>
      <c r="K259" s="648">
        <v>32</v>
      </c>
      <c r="L259" s="647">
        <v>19</v>
      </c>
      <c r="M259" s="647">
        <f t="shared" si="4"/>
        <v>19</v>
      </c>
      <c r="N259" s="646"/>
      <c r="O259" s="649">
        <f t="shared" si="5"/>
        <v>591</v>
      </c>
    </row>
    <row r="260" spans="2:15">
      <c r="B260" s="653"/>
      <c r="C260" s="653"/>
      <c r="D260" s="654"/>
      <c r="E260" s="655"/>
      <c r="F260" s="656"/>
      <c r="G260" s="657"/>
      <c r="H260" s="658"/>
      <c r="I260" s="659"/>
      <c r="J260" s="659"/>
      <c r="K260" s="659"/>
      <c r="L260" s="658"/>
      <c r="M260" s="658"/>
      <c r="N260" s="655"/>
      <c r="O260" s="660"/>
    </row>
    <row r="261" spans="2:15">
      <c r="B261" s="642" t="s">
        <v>358</v>
      </c>
      <c r="C261" s="643">
        <v>200</v>
      </c>
      <c r="D261" s="651">
        <f t="shared" ref="D261:E266" si="7">D254</f>
        <v>82.6</v>
      </c>
      <c r="E261" s="661">
        <f t="shared" si="7"/>
        <v>86.42</v>
      </c>
      <c r="F261" s="652"/>
      <c r="G261" s="646">
        <v>32</v>
      </c>
      <c r="H261" s="647">
        <f>D261*32*1.1</f>
        <v>2907.52</v>
      </c>
      <c r="I261" s="648">
        <v>30000</v>
      </c>
      <c r="J261" s="648">
        <v>20000</v>
      </c>
      <c r="K261" s="648">
        <v>26</v>
      </c>
      <c r="L261" s="648">
        <v>14</v>
      </c>
      <c r="M261" s="647">
        <f t="shared" si="4"/>
        <v>27</v>
      </c>
      <c r="N261" s="646"/>
      <c r="O261" s="649">
        <f t="shared" si="5"/>
        <v>551</v>
      </c>
    </row>
    <row r="262" spans="2:15">
      <c r="B262" s="642" t="s">
        <v>358</v>
      </c>
      <c r="C262" s="643">
        <v>220</v>
      </c>
      <c r="D262" s="644">
        <f t="shared" si="7"/>
        <v>90.699590799999996</v>
      </c>
      <c r="E262" s="662">
        <f t="shared" si="7"/>
        <v>94.894172359999999</v>
      </c>
      <c r="F262" s="645">
        <v>1.098058</v>
      </c>
      <c r="G262" s="646">
        <v>26.3</v>
      </c>
      <c r="H262" s="647">
        <f>D262*26.3*1.1</f>
        <v>2623.9391618440004</v>
      </c>
      <c r="I262" s="648">
        <v>30000</v>
      </c>
      <c r="J262" s="648">
        <v>20000</v>
      </c>
      <c r="K262" s="648">
        <v>26</v>
      </c>
      <c r="L262" s="648">
        <v>14</v>
      </c>
      <c r="M262" s="647">
        <f t="shared" si="4"/>
        <v>24</v>
      </c>
      <c r="N262" s="646"/>
      <c r="O262" s="649">
        <f t="shared" si="5"/>
        <v>547</v>
      </c>
    </row>
    <row r="263" spans="2:15">
      <c r="B263" s="642" t="s">
        <v>358</v>
      </c>
      <c r="C263" s="643">
        <v>240</v>
      </c>
      <c r="D263" s="644">
        <f t="shared" si="7"/>
        <v>102.29634978009719</v>
      </c>
      <c r="E263" s="662">
        <f t="shared" si="7"/>
        <v>107.02724634377724</v>
      </c>
      <c r="F263" s="645">
        <v>1.1278589999999999</v>
      </c>
      <c r="G263" s="646">
        <v>22.1</v>
      </c>
      <c r="H263" s="647">
        <f>D263*22.1*1.1</f>
        <v>2486.824263154163</v>
      </c>
      <c r="I263" s="648">
        <v>30000</v>
      </c>
      <c r="J263" s="648">
        <v>20000</v>
      </c>
      <c r="K263" s="648">
        <v>26</v>
      </c>
      <c r="L263" s="648">
        <v>14</v>
      </c>
      <c r="M263" s="647">
        <f t="shared" si="4"/>
        <v>23</v>
      </c>
      <c r="N263" s="646"/>
      <c r="O263" s="649">
        <f t="shared" si="5"/>
        <v>566</v>
      </c>
    </row>
    <row r="264" spans="2:15">
      <c r="B264" s="642" t="s">
        <v>358</v>
      </c>
      <c r="C264" s="643">
        <v>260</v>
      </c>
      <c r="D264" s="644">
        <f t="shared" si="7"/>
        <v>113.23786505622661</v>
      </c>
      <c r="E264" s="662">
        <f t="shared" si="7"/>
        <v>118.47477358546131</v>
      </c>
      <c r="F264" s="645">
        <v>1.106959</v>
      </c>
      <c r="G264" s="646">
        <v>18.899999999999999</v>
      </c>
      <c r="H264" s="647">
        <f>D264*18.9*1.1</f>
        <v>2354.2152145189511</v>
      </c>
      <c r="I264" s="648">
        <v>30000</v>
      </c>
      <c r="J264" s="648">
        <v>20000</v>
      </c>
      <c r="K264" s="648">
        <v>26</v>
      </c>
      <c r="L264" s="648">
        <v>14</v>
      </c>
      <c r="M264" s="647">
        <f t="shared" si="4"/>
        <v>22</v>
      </c>
      <c r="N264" s="646"/>
      <c r="O264" s="649">
        <f t="shared" si="5"/>
        <v>580</v>
      </c>
    </row>
    <row r="265" spans="2:15">
      <c r="B265" s="642" t="s">
        <v>358</v>
      </c>
      <c r="C265" s="643">
        <v>280</v>
      </c>
      <c r="D265" s="644">
        <f t="shared" si="7"/>
        <v>123.56255387845819</v>
      </c>
      <c r="E265" s="662">
        <f t="shared" si="7"/>
        <v>129.27694801666291</v>
      </c>
      <c r="F265" s="645">
        <v>1.0911770000000001</v>
      </c>
      <c r="G265" s="646">
        <v>16.3</v>
      </c>
      <c r="H265" s="647">
        <f>D265*16.3*1.1</f>
        <v>2215.4765910407555</v>
      </c>
      <c r="I265" s="648">
        <v>30000</v>
      </c>
      <c r="J265" s="648">
        <v>20000</v>
      </c>
      <c r="K265" s="648">
        <v>26</v>
      </c>
      <c r="L265" s="648">
        <v>14</v>
      </c>
      <c r="M265" s="647">
        <f t="shared" si="4"/>
        <v>21</v>
      </c>
      <c r="N265" s="646"/>
      <c r="O265" s="649">
        <f t="shared" si="5"/>
        <v>588</v>
      </c>
    </row>
    <row r="266" spans="2:15">
      <c r="B266" s="642" t="s">
        <v>358</v>
      </c>
      <c r="C266" s="643">
        <v>300</v>
      </c>
      <c r="D266" s="644">
        <f t="shared" si="7"/>
        <v>133.67899085214921</v>
      </c>
      <c r="E266" s="662">
        <f t="shared" si="7"/>
        <v>139.86123958163117</v>
      </c>
      <c r="F266" s="645">
        <v>1.0818730000000001</v>
      </c>
      <c r="G266" s="646">
        <v>14.14</v>
      </c>
      <c r="H266" s="647">
        <f>D266*14.14*1.1</f>
        <v>2079.243023714329</v>
      </c>
      <c r="I266" s="648">
        <v>30000</v>
      </c>
      <c r="J266" s="648">
        <v>20000</v>
      </c>
      <c r="K266" s="648">
        <v>26</v>
      </c>
      <c r="L266" s="648">
        <v>14</v>
      </c>
      <c r="M266" s="647">
        <f t="shared" si="4"/>
        <v>19</v>
      </c>
      <c r="N266" s="646"/>
      <c r="O266" s="649">
        <f t="shared" si="5"/>
        <v>591</v>
      </c>
    </row>
    <row r="267" spans="2:15">
      <c r="B267" s="653"/>
      <c r="C267" s="653"/>
      <c r="D267" s="654"/>
      <c r="E267" s="655"/>
      <c r="F267" s="656"/>
      <c r="G267" s="657"/>
      <c r="H267" s="658"/>
      <c r="I267" s="659"/>
      <c r="J267" s="659"/>
      <c r="K267" s="659"/>
      <c r="L267" s="659"/>
      <c r="M267" s="658"/>
      <c r="N267" s="655"/>
      <c r="O267" s="660"/>
    </row>
    <row r="268" spans="2:15">
      <c r="B268" s="642" t="s">
        <v>359</v>
      </c>
      <c r="C268" s="643">
        <v>200</v>
      </c>
      <c r="D268" s="651">
        <f t="shared" ref="D268:E273" si="8">D254</f>
        <v>82.6</v>
      </c>
      <c r="E268" s="661">
        <f t="shared" si="8"/>
        <v>86.42</v>
      </c>
      <c r="F268" s="652"/>
      <c r="G268" s="646">
        <v>32</v>
      </c>
      <c r="H268" s="647">
        <f>D268*32*1.1</f>
        <v>2907.52</v>
      </c>
      <c r="I268" s="648">
        <v>30000</v>
      </c>
      <c r="J268" s="648">
        <v>20000</v>
      </c>
      <c r="K268" s="648">
        <v>32</v>
      </c>
      <c r="L268" s="648">
        <v>19</v>
      </c>
      <c r="M268" s="647">
        <f t="shared" si="4"/>
        <v>27</v>
      </c>
      <c r="N268" s="646"/>
      <c r="O268" s="649">
        <f t="shared" si="5"/>
        <v>551</v>
      </c>
    </row>
    <row r="269" spans="2:15">
      <c r="B269" s="642" t="s">
        <v>359</v>
      </c>
      <c r="C269" s="643">
        <v>220</v>
      </c>
      <c r="D269" s="644">
        <f t="shared" si="8"/>
        <v>90.699590799999996</v>
      </c>
      <c r="E269" s="662">
        <f t="shared" si="8"/>
        <v>94.894172359999999</v>
      </c>
      <c r="F269" s="645">
        <v>1.098058</v>
      </c>
      <c r="G269" s="646">
        <v>26.3</v>
      </c>
      <c r="H269" s="647">
        <f>D269*26.3*1.1</f>
        <v>2623.9391618440004</v>
      </c>
      <c r="I269" s="648">
        <v>30000</v>
      </c>
      <c r="J269" s="648">
        <v>20000</v>
      </c>
      <c r="K269" s="648">
        <v>32</v>
      </c>
      <c r="L269" s="648">
        <v>19</v>
      </c>
      <c r="M269" s="647">
        <f t="shared" si="4"/>
        <v>24</v>
      </c>
      <c r="N269" s="646"/>
      <c r="O269" s="649">
        <f t="shared" si="5"/>
        <v>547</v>
      </c>
    </row>
    <row r="270" spans="2:15">
      <c r="B270" s="642" t="s">
        <v>359</v>
      </c>
      <c r="C270" s="643">
        <v>240</v>
      </c>
      <c r="D270" s="644">
        <f t="shared" si="8"/>
        <v>102.29634978009719</v>
      </c>
      <c r="E270" s="662">
        <f t="shared" si="8"/>
        <v>107.02724634377724</v>
      </c>
      <c r="F270" s="645">
        <v>1.1278589999999999</v>
      </c>
      <c r="G270" s="646">
        <v>22.1</v>
      </c>
      <c r="H270" s="647">
        <f>D270*22.1*1.1</f>
        <v>2486.824263154163</v>
      </c>
      <c r="I270" s="648">
        <v>30000</v>
      </c>
      <c r="J270" s="648">
        <v>20000</v>
      </c>
      <c r="K270" s="648">
        <v>32</v>
      </c>
      <c r="L270" s="648">
        <v>19</v>
      </c>
      <c r="M270" s="647">
        <f t="shared" si="4"/>
        <v>23</v>
      </c>
      <c r="N270" s="646"/>
      <c r="O270" s="649">
        <f t="shared" si="5"/>
        <v>566</v>
      </c>
    </row>
    <row r="271" spans="2:15">
      <c r="B271" s="642" t="s">
        <v>359</v>
      </c>
      <c r="C271" s="643">
        <v>260</v>
      </c>
      <c r="D271" s="644">
        <f t="shared" si="8"/>
        <v>113.23786505622661</v>
      </c>
      <c r="E271" s="662">
        <f t="shared" si="8"/>
        <v>118.47477358546131</v>
      </c>
      <c r="F271" s="645">
        <v>1.106959</v>
      </c>
      <c r="G271" s="646">
        <v>18.899999999999999</v>
      </c>
      <c r="H271" s="647">
        <f>D271*18.9*1.1</f>
        <v>2354.2152145189511</v>
      </c>
      <c r="I271" s="648">
        <v>30000</v>
      </c>
      <c r="J271" s="648">
        <v>20000</v>
      </c>
      <c r="K271" s="648">
        <v>32</v>
      </c>
      <c r="L271" s="648">
        <v>19</v>
      </c>
      <c r="M271" s="647">
        <f t="shared" si="4"/>
        <v>22</v>
      </c>
      <c r="N271" s="646"/>
      <c r="O271" s="649">
        <f t="shared" si="5"/>
        <v>580</v>
      </c>
    </row>
    <row r="272" spans="2:15">
      <c r="B272" s="642" t="s">
        <v>359</v>
      </c>
      <c r="C272" s="643">
        <v>280</v>
      </c>
      <c r="D272" s="644">
        <f t="shared" si="8"/>
        <v>123.56255387845819</v>
      </c>
      <c r="E272" s="662">
        <f t="shared" si="8"/>
        <v>129.27694801666291</v>
      </c>
      <c r="F272" s="645">
        <v>1.0911770000000001</v>
      </c>
      <c r="G272" s="646">
        <v>16.3</v>
      </c>
      <c r="H272" s="647">
        <f>D272*16.3*1.1</f>
        <v>2215.4765910407555</v>
      </c>
      <c r="I272" s="648">
        <v>30000</v>
      </c>
      <c r="J272" s="648">
        <v>20000</v>
      </c>
      <c r="K272" s="648">
        <v>32</v>
      </c>
      <c r="L272" s="648">
        <v>19</v>
      </c>
      <c r="M272" s="647">
        <f t="shared" si="4"/>
        <v>21</v>
      </c>
      <c r="N272" s="646"/>
      <c r="O272" s="649">
        <f t="shared" si="5"/>
        <v>588</v>
      </c>
    </row>
    <row r="273" spans="2:15">
      <c r="B273" s="642" t="s">
        <v>359</v>
      </c>
      <c r="C273" s="643">
        <v>300</v>
      </c>
      <c r="D273" s="644">
        <f t="shared" si="8"/>
        <v>133.67899085214921</v>
      </c>
      <c r="E273" s="662">
        <f t="shared" si="8"/>
        <v>139.86123958163117</v>
      </c>
      <c r="F273" s="645">
        <v>1.0818730000000001</v>
      </c>
      <c r="G273" s="646">
        <v>14.14</v>
      </c>
      <c r="H273" s="647">
        <f>D273*14.14*1.1</f>
        <v>2079.243023714329</v>
      </c>
      <c r="I273" s="648">
        <v>30000</v>
      </c>
      <c r="J273" s="648">
        <v>20000</v>
      </c>
      <c r="K273" s="648">
        <v>32</v>
      </c>
      <c r="L273" s="648">
        <v>19</v>
      </c>
      <c r="M273" s="647">
        <f t="shared" si="4"/>
        <v>19</v>
      </c>
      <c r="N273" s="646"/>
      <c r="O273" s="649">
        <f t="shared" si="5"/>
        <v>591</v>
      </c>
    </row>
    <row r="274" spans="2:15">
      <c r="B274" s="642"/>
      <c r="C274" s="643"/>
      <c r="D274" s="644"/>
      <c r="E274" s="663"/>
      <c r="F274" s="645"/>
      <c r="G274" s="664"/>
      <c r="H274" s="647"/>
      <c r="I274" s="648"/>
      <c r="J274" s="648"/>
      <c r="K274" s="648"/>
      <c r="L274" s="648"/>
      <c r="M274" s="647"/>
      <c r="N274" s="646"/>
      <c r="O274" s="647"/>
    </row>
    <row r="275" spans="2:15">
      <c r="B275" s="642"/>
      <c r="C275" s="643"/>
      <c r="D275" s="665"/>
      <c r="E275" s="663"/>
      <c r="F275" s="645"/>
      <c r="G275" s="664"/>
      <c r="H275" s="647"/>
      <c r="I275" s="648"/>
      <c r="J275" s="648"/>
      <c r="K275" s="648"/>
      <c r="L275" s="648"/>
      <c r="M275" s="647"/>
      <c r="N275" s="646"/>
      <c r="O275" s="647"/>
    </row>
    <row r="276" spans="2:15">
      <c r="B276" s="642"/>
      <c r="C276" s="643"/>
      <c r="D276" s="666"/>
      <c r="E276" s="663"/>
      <c r="F276" s="645"/>
      <c r="G276" s="664"/>
      <c r="H276" s="647"/>
      <c r="I276" s="648"/>
      <c r="J276" s="648"/>
      <c r="K276" s="648"/>
      <c r="L276" s="648"/>
      <c r="M276" s="647"/>
      <c r="N276" s="646"/>
      <c r="O276" s="647"/>
    </row>
    <row r="277" spans="2:15">
      <c r="B277" s="642"/>
      <c r="C277" s="643"/>
      <c r="D277" s="666"/>
      <c r="E277" s="663"/>
      <c r="F277" s="645"/>
      <c r="G277" s="664"/>
      <c r="H277" s="647"/>
      <c r="I277" s="648"/>
      <c r="J277" s="648"/>
      <c r="K277" s="648"/>
      <c r="L277" s="648"/>
      <c r="M277" s="647"/>
      <c r="N277" s="646"/>
      <c r="O277" s="647"/>
    </row>
    <row r="278" spans="2:15">
      <c r="B278" s="642"/>
      <c r="C278" s="643"/>
      <c r="D278" s="666"/>
      <c r="E278" s="663"/>
      <c r="F278" s="645"/>
      <c r="G278" s="664"/>
      <c r="H278" s="647"/>
      <c r="I278" s="648"/>
      <c r="J278" s="648"/>
      <c r="K278" s="648"/>
      <c r="L278" s="648"/>
      <c r="M278" s="647"/>
      <c r="N278" s="646"/>
      <c r="O278" s="647"/>
    </row>
    <row r="279" spans="2:15">
      <c r="B279" s="642"/>
      <c r="C279" s="643"/>
      <c r="D279" s="666"/>
      <c r="E279" s="663"/>
      <c r="F279" s="645"/>
      <c r="G279" s="664"/>
      <c r="H279" s="647"/>
      <c r="I279" s="648"/>
      <c r="J279" s="648"/>
      <c r="K279" s="648"/>
      <c r="L279" s="648"/>
      <c r="M279" s="647"/>
      <c r="N279" s="646"/>
      <c r="O279" s="647"/>
    </row>
    <row r="280" spans="2:15">
      <c r="B280" s="642"/>
      <c r="C280" s="643"/>
      <c r="D280" s="666"/>
      <c r="E280" s="663"/>
      <c r="F280" s="645"/>
      <c r="G280" s="664"/>
      <c r="H280" s="647"/>
      <c r="I280" s="648"/>
      <c r="J280" s="648"/>
      <c r="K280" s="648"/>
      <c r="L280" s="648"/>
      <c r="M280" s="647"/>
      <c r="N280" s="646"/>
      <c r="O280" s="647"/>
    </row>
    <row r="282" spans="2:15">
      <c r="B282" s="667"/>
      <c r="C282" s="668" t="s">
        <v>381</v>
      </c>
      <c r="D282" s="669"/>
      <c r="E282" s="669"/>
      <c r="F282" s="669"/>
      <c r="G282" s="669" t="s">
        <v>382</v>
      </c>
      <c r="H282" s="669" t="s">
        <v>383</v>
      </c>
      <c r="I282" s="670" t="s">
        <v>384</v>
      </c>
    </row>
    <row r="283" spans="2:15">
      <c r="B283" s="1317" t="str">
        <f>B253</f>
        <v>ОЦБ Хвоя</v>
      </c>
      <c r="C283" s="1318"/>
      <c r="D283" s="671">
        <f>C253</f>
        <v>180</v>
      </c>
      <c r="E283" s="672">
        <f>K253</f>
        <v>32</v>
      </c>
      <c r="F283" s="672">
        <f>L253</f>
        <v>19</v>
      </c>
      <c r="G283" s="673"/>
      <c r="H283" s="674">
        <f>I253</f>
        <v>30000</v>
      </c>
      <c r="I283" s="674">
        <f>J253</f>
        <v>20000</v>
      </c>
    </row>
    <row r="284" spans="2:15">
      <c r="B284" s="1317" t="s">
        <v>395</v>
      </c>
      <c r="C284" s="1319"/>
      <c r="D284" s="675">
        <v>400</v>
      </c>
      <c r="E284" s="676">
        <f>D253-E283</f>
        <v>43.223713137193116</v>
      </c>
      <c r="F284" s="673" t="str">
        <f>IF(E284&gt;0,"1","0")</f>
        <v>1</v>
      </c>
      <c r="G284" s="673" t="str">
        <f>IF(C295&lt;20,"1","0")</f>
        <v>1</v>
      </c>
      <c r="H284" s="677">
        <f>G291+G288*G289+G290</f>
        <v>2</v>
      </c>
      <c r="I284" s="677">
        <f>G284*G285+J294+G286</f>
        <v>1</v>
      </c>
    </row>
    <row r="285" spans="2:15">
      <c r="B285" s="678"/>
      <c r="C285" s="673"/>
      <c r="D285" s="673"/>
      <c r="E285" s="679">
        <f>E284-E283</f>
        <v>11.223713137193116</v>
      </c>
      <c r="F285" s="673" t="str">
        <f t="shared" ref="F285:F294" si="9">IF(E285&gt;0,"1","0")</f>
        <v>1</v>
      </c>
      <c r="G285" s="673" t="str">
        <f>IF(C295&gt;0,"1","0")</f>
        <v>1</v>
      </c>
      <c r="H285" s="673"/>
      <c r="I285" s="680"/>
    </row>
    <row r="286" spans="2:15">
      <c r="B286" s="678"/>
      <c r="C286" s="673"/>
      <c r="D286" s="673"/>
      <c r="E286" s="679">
        <f>E285-E283</f>
        <v>-20.776286862806884</v>
      </c>
      <c r="F286" s="673" t="str">
        <f t="shared" si="9"/>
        <v>0</v>
      </c>
      <c r="G286" s="673" t="str">
        <f>IF(C295=20,"1","0")</f>
        <v>0</v>
      </c>
      <c r="H286" s="673"/>
      <c r="I286" s="680"/>
    </row>
    <row r="287" spans="2:15">
      <c r="B287" s="678"/>
      <c r="C287" s="673"/>
      <c r="D287" s="673"/>
      <c r="E287" s="679">
        <f>E286-E283</f>
        <v>-52.776286862806884</v>
      </c>
      <c r="F287" s="673" t="str">
        <f t="shared" si="9"/>
        <v>0</v>
      </c>
      <c r="G287" s="673"/>
      <c r="H287" s="673"/>
      <c r="I287" s="680"/>
    </row>
    <row r="288" spans="2:15">
      <c r="B288" s="678"/>
      <c r="C288" s="673"/>
      <c r="D288" s="673"/>
      <c r="E288" s="679">
        <f>E287-E283</f>
        <v>-84.776286862806884</v>
      </c>
      <c r="F288" s="673" t="str">
        <f t="shared" si="9"/>
        <v>0</v>
      </c>
      <c r="G288" s="673" t="str">
        <f>IF(C295&gt;20,"1","0")</f>
        <v>0</v>
      </c>
      <c r="H288" s="673"/>
      <c r="I288" s="680"/>
    </row>
    <row r="289" spans="2:9">
      <c r="B289" s="678"/>
      <c r="C289" s="673"/>
      <c r="D289" s="673"/>
      <c r="E289" s="679">
        <f>E288-E283</f>
        <v>-116.77628686280688</v>
      </c>
      <c r="F289" s="673" t="str">
        <f t="shared" si="9"/>
        <v>0</v>
      </c>
      <c r="G289" s="673" t="str">
        <f>IF(C295&lt;38,"1","0")</f>
        <v>1</v>
      </c>
      <c r="H289" s="673"/>
      <c r="I289" s="680"/>
    </row>
    <row r="290" spans="2:9">
      <c r="B290" s="678"/>
      <c r="C290" s="673"/>
      <c r="D290" s="673"/>
      <c r="E290" s="679">
        <f>E289-E283</f>
        <v>-148.7762868628069</v>
      </c>
      <c r="F290" s="673" t="str">
        <f t="shared" si="9"/>
        <v>0</v>
      </c>
      <c r="G290" s="673" t="str">
        <f>IF(C295=38,"1","0")</f>
        <v>0</v>
      </c>
      <c r="H290" s="673"/>
      <c r="I290" s="680"/>
    </row>
    <row r="291" spans="2:9">
      <c r="B291" s="678"/>
      <c r="C291" s="673"/>
      <c r="D291" s="673"/>
      <c r="E291" s="679">
        <f>E290-E283</f>
        <v>-180.7762868628069</v>
      </c>
      <c r="F291" s="673" t="str">
        <f t="shared" si="9"/>
        <v>0</v>
      </c>
      <c r="G291" s="681">
        <f>G295</f>
        <v>2</v>
      </c>
      <c r="H291" s="673"/>
      <c r="I291" s="680"/>
    </row>
    <row r="292" spans="2:9">
      <c r="B292" s="678"/>
      <c r="C292" s="673"/>
      <c r="D292" s="673"/>
      <c r="E292" s="679">
        <f>E291-E283</f>
        <v>-212.7762868628069</v>
      </c>
      <c r="F292" s="673" t="str">
        <f t="shared" si="9"/>
        <v>0</v>
      </c>
      <c r="G292" s="673"/>
      <c r="H292" s="673"/>
      <c r="I292" s="680"/>
    </row>
    <row r="293" spans="2:9">
      <c r="B293" s="678"/>
      <c r="C293" s="673"/>
      <c r="D293" s="673"/>
      <c r="E293" s="679">
        <f>E292-E283</f>
        <v>-244.7762868628069</v>
      </c>
      <c r="F293" s="673" t="str">
        <f t="shared" si="9"/>
        <v>0</v>
      </c>
      <c r="G293" s="673"/>
      <c r="H293" s="673"/>
      <c r="I293" s="680"/>
    </row>
    <row r="294" spans="2:9">
      <c r="B294" s="678"/>
      <c r="C294" s="673"/>
      <c r="D294" s="673"/>
      <c r="E294" s="679">
        <f>E293-E283</f>
        <v>-276.7762868628069</v>
      </c>
      <c r="F294" s="673" t="str">
        <f t="shared" si="9"/>
        <v>0</v>
      </c>
      <c r="G294" s="673"/>
      <c r="H294" s="673"/>
      <c r="I294" s="680"/>
    </row>
    <row r="295" spans="2:9">
      <c r="B295" s="682"/>
      <c r="C295" s="683">
        <f>D295*E283</f>
        <v>11.223713137193116</v>
      </c>
      <c r="D295" s="683">
        <f>E295-G295</f>
        <v>0.35074103553728486</v>
      </c>
      <c r="E295" s="684">
        <f>D253/E283</f>
        <v>2.3507410355372849</v>
      </c>
      <c r="F295" s="683"/>
      <c r="G295" s="683">
        <f>F284+F285+F286+F287+F288+F289+F290+F291+F292+F293+F294</f>
        <v>2</v>
      </c>
      <c r="H295" s="683"/>
      <c r="I295" s="685"/>
    </row>
    <row r="296" spans="2:9">
      <c r="B296" s="667"/>
      <c r="C296" s="668" t="s">
        <v>381</v>
      </c>
      <c r="D296" s="669"/>
      <c r="E296" s="669"/>
      <c r="F296" s="669"/>
      <c r="G296" s="669" t="s">
        <v>382</v>
      </c>
      <c r="H296" s="669" t="s">
        <v>383</v>
      </c>
      <c r="I296" s="670" t="s">
        <v>384</v>
      </c>
    </row>
    <row r="297" spans="2:9">
      <c r="B297" s="1317" t="str">
        <f>B254</f>
        <v>Основные данные с АДМИНКИОЦБ Хвоя</v>
      </c>
      <c r="C297" s="1318"/>
      <c r="D297" s="671">
        <f>C254</f>
        <v>200</v>
      </c>
      <c r="E297" s="672">
        <f>K254</f>
        <v>32</v>
      </c>
      <c r="F297" s="672">
        <f>L254</f>
        <v>19</v>
      </c>
      <c r="G297" s="673"/>
      <c r="H297" s="674">
        <f>I254</f>
        <v>30000</v>
      </c>
      <c r="I297" s="674">
        <f>J254</f>
        <v>20000</v>
      </c>
    </row>
    <row r="298" spans="2:9">
      <c r="B298" s="1317" t="s">
        <v>395</v>
      </c>
      <c r="C298" s="1319"/>
      <c r="D298" s="675">
        <v>400</v>
      </c>
      <c r="E298" s="676">
        <f>D254-E297</f>
        <v>50.599999999999994</v>
      </c>
      <c r="F298" s="673" t="str">
        <f>IF(E298&gt;0,"1","0")</f>
        <v>1</v>
      </c>
      <c r="G298" s="673" t="str">
        <f>IF(C309&lt;20,"1","0")</f>
        <v>1</v>
      </c>
      <c r="H298" s="677">
        <f>G305+G302*G303+G304</f>
        <v>2</v>
      </c>
      <c r="I298" s="677">
        <f>G298*G299+J308+G300</f>
        <v>1</v>
      </c>
    </row>
    <row r="299" spans="2:9">
      <c r="B299" s="678"/>
      <c r="C299" s="673"/>
      <c r="D299" s="673"/>
      <c r="E299" s="679">
        <f>E298-E297</f>
        <v>18.599999999999994</v>
      </c>
      <c r="F299" s="673" t="str">
        <f t="shared" ref="F299:F308" si="10">IF(E299&gt;0,"1","0")</f>
        <v>1</v>
      </c>
      <c r="G299" s="673" t="str">
        <f>IF(C309&gt;0,"1","0")</f>
        <v>1</v>
      </c>
      <c r="H299" s="673"/>
      <c r="I299" s="680"/>
    </row>
    <row r="300" spans="2:9">
      <c r="B300" s="678"/>
      <c r="C300" s="673"/>
      <c r="D300" s="673"/>
      <c r="E300" s="679">
        <f>E299-E297</f>
        <v>-13.400000000000006</v>
      </c>
      <c r="F300" s="673" t="str">
        <f t="shared" si="10"/>
        <v>0</v>
      </c>
      <c r="G300" s="673" t="str">
        <f>IF(C309=20,"1","0")</f>
        <v>0</v>
      </c>
      <c r="H300" s="673"/>
      <c r="I300" s="680"/>
    </row>
    <row r="301" spans="2:9">
      <c r="B301" s="678"/>
      <c r="C301" s="673"/>
      <c r="D301" s="673"/>
      <c r="E301" s="679">
        <f>E300-E297</f>
        <v>-45.400000000000006</v>
      </c>
      <c r="F301" s="673" t="str">
        <f t="shared" si="10"/>
        <v>0</v>
      </c>
      <c r="G301" s="673"/>
      <c r="H301" s="673"/>
      <c r="I301" s="680"/>
    </row>
    <row r="302" spans="2:9">
      <c r="B302" s="678"/>
      <c r="C302" s="673"/>
      <c r="D302" s="673"/>
      <c r="E302" s="679">
        <f>E301-E297</f>
        <v>-77.400000000000006</v>
      </c>
      <c r="F302" s="673" t="str">
        <f t="shared" si="10"/>
        <v>0</v>
      </c>
      <c r="G302" s="673" t="str">
        <f>IF(C309&gt;20,"1","0")</f>
        <v>0</v>
      </c>
      <c r="H302" s="673"/>
      <c r="I302" s="680"/>
    </row>
    <row r="303" spans="2:9">
      <c r="B303" s="678"/>
      <c r="C303" s="673"/>
      <c r="D303" s="673"/>
      <c r="E303" s="679">
        <f>E302-E297</f>
        <v>-109.4</v>
      </c>
      <c r="F303" s="673" t="str">
        <f t="shared" si="10"/>
        <v>0</v>
      </c>
      <c r="G303" s="673" t="str">
        <f>IF(C309&lt;38,"1","0")</f>
        <v>1</v>
      </c>
      <c r="H303" s="673"/>
      <c r="I303" s="680"/>
    </row>
    <row r="304" spans="2:9">
      <c r="B304" s="678"/>
      <c r="C304" s="673"/>
      <c r="D304" s="673"/>
      <c r="E304" s="679">
        <f>E303-E297</f>
        <v>-141.4</v>
      </c>
      <c r="F304" s="673" t="str">
        <f t="shared" si="10"/>
        <v>0</v>
      </c>
      <c r="G304" s="673" t="str">
        <f>IF(C309=38,"1","0")</f>
        <v>0</v>
      </c>
      <c r="H304" s="673"/>
      <c r="I304" s="680"/>
    </row>
    <row r="305" spans="2:9">
      <c r="B305" s="678"/>
      <c r="C305" s="673"/>
      <c r="D305" s="673"/>
      <c r="E305" s="679">
        <f>E304-E297</f>
        <v>-173.4</v>
      </c>
      <c r="F305" s="673" t="str">
        <f t="shared" si="10"/>
        <v>0</v>
      </c>
      <c r="G305" s="681">
        <f>G309</f>
        <v>2</v>
      </c>
      <c r="H305" s="673"/>
      <c r="I305" s="680"/>
    </row>
    <row r="306" spans="2:9">
      <c r="B306" s="678"/>
      <c r="C306" s="673"/>
      <c r="D306" s="673"/>
      <c r="E306" s="679">
        <f>E305-E297</f>
        <v>-205.4</v>
      </c>
      <c r="F306" s="673" t="str">
        <f t="shared" si="10"/>
        <v>0</v>
      </c>
      <c r="G306" s="673"/>
      <c r="H306" s="673"/>
      <c r="I306" s="680"/>
    </row>
    <row r="307" spans="2:9">
      <c r="B307" s="678"/>
      <c r="C307" s="673"/>
      <c r="D307" s="673"/>
      <c r="E307" s="679">
        <f>E306-E297</f>
        <v>-237.4</v>
      </c>
      <c r="F307" s="673" t="str">
        <f t="shared" si="10"/>
        <v>0</v>
      </c>
      <c r="G307" s="673"/>
      <c r="H307" s="673"/>
      <c r="I307" s="680"/>
    </row>
    <row r="308" spans="2:9">
      <c r="B308" s="678"/>
      <c r="C308" s="673"/>
      <c r="D308" s="673"/>
      <c r="E308" s="679">
        <f>E307-E297</f>
        <v>-269.39999999999998</v>
      </c>
      <c r="F308" s="673" t="str">
        <f t="shared" si="10"/>
        <v>0</v>
      </c>
      <c r="G308" s="673"/>
      <c r="H308" s="673"/>
      <c r="I308" s="680"/>
    </row>
    <row r="309" spans="2:9">
      <c r="B309" s="682"/>
      <c r="C309" s="683">
        <f>D309*E297</f>
        <v>18.599999999999994</v>
      </c>
      <c r="D309" s="683">
        <f>E309-G309</f>
        <v>0.58124999999999982</v>
      </c>
      <c r="E309" s="684">
        <f>D254/E297</f>
        <v>2.5812499999999998</v>
      </c>
      <c r="F309" s="683"/>
      <c r="G309" s="683">
        <f>F298+F299+F300+F301+F302+F303+F304+F305+F306+F307+F308</f>
        <v>2</v>
      </c>
      <c r="H309" s="683"/>
      <c r="I309" s="685"/>
    </row>
    <row r="310" spans="2:9">
      <c r="B310" s="667"/>
      <c r="C310" s="668" t="s">
        <v>381</v>
      </c>
      <c r="D310" s="669"/>
      <c r="E310" s="669"/>
      <c r="F310" s="669"/>
      <c r="G310" s="669" t="s">
        <v>382</v>
      </c>
      <c r="H310" s="669" t="s">
        <v>383</v>
      </c>
      <c r="I310" s="670" t="s">
        <v>384</v>
      </c>
    </row>
    <row r="311" spans="2:9">
      <c r="B311" s="1317" t="str">
        <f>B255</f>
        <v>ОЦБ Хвоя</v>
      </c>
      <c r="C311" s="1318"/>
      <c r="D311" s="671">
        <f>C255</f>
        <v>220</v>
      </c>
      <c r="E311" s="672">
        <f>K255</f>
        <v>32</v>
      </c>
      <c r="F311" s="672">
        <f>L255</f>
        <v>19</v>
      </c>
      <c r="G311" s="673"/>
      <c r="H311" s="674">
        <f>I255</f>
        <v>30000</v>
      </c>
      <c r="I311" s="674">
        <f>J255</f>
        <v>20000</v>
      </c>
    </row>
    <row r="312" spans="2:9">
      <c r="B312" s="1317" t="s">
        <v>395</v>
      </c>
      <c r="C312" s="1319"/>
      <c r="D312" s="675">
        <v>400</v>
      </c>
      <c r="E312" s="676">
        <f>D255-E311</f>
        <v>58.699590799999996</v>
      </c>
      <c r="F312" s="673" t="str">
        <f>IF(E312&gt;0,"1","0")</f>
        <v>1</v>
      </c>
      <c r="G312" s="673" t="str">
        <f>IF(C323&lt;20,"1","0")</f>
        <v>0</v>
      </c>
      <c r="H312" s="677">
        <f>G319+G316*G317+G318</f>
        <v>3</v>
      </c>
      <c r="I312" s="677">
        <f>G312*G313+J322+G314</f>
        <v>0</v>
      </c>
    </row>
    <row r="313" spans="2:9">
      <c r="B313" s="678"/>
      <c r="C313" s="673"/>
      <c r="D313" s="673"/>
      <c r="E313" s="679">
        <f>E312-E311</f>
        <v>26.699590799999996</v>
      </c>
      <c r="F313" s="673" t="str">
        <f t="shared" ref="F313:F322" si="11">IF(E313&gt;0,"1","0")</f>
        <v>1</v>
      </c>
      <c r="G313" s="673" t="str">
        <f>IF(C323&gt;0,"1","0")</f>
        <v>1</v>
      </c>
      <c r="H313" s="673"/>
      <c r="I313" s="680"/>
    </row>
    <row r="314" spans="2:9">
      <c r="B314" s="678"/>
      <c r="C314" s="673"/>
      <c r="D314" s="673"/>
      <c r="E314" s="679">
        <f>E313-E311</f>
        <v>-5.3004092000000043</v>
      </c>
      <c r="F314" s="673" t="str">
        <f t="shared" si="11"/>
        <v>0</v>
      </c>
      <c r="G314" s="673" t="str">
        <f>IF(C323=20,"1","0")</f>
        <v>0</v>
      </c>
      <c r="H314" s="673"/>
      <c r="I314" s="680"/>
    </row>
    <row r="315" spans="2:9">
      <c r="B315" s="678"/>
      <c r="C315" s="673"/>
      <c r="D315" s="673"/>
      <c r="E315" s="679">
        <f>E314-E311</f>
        <v>-37.300409200000004</v>
      </c>
      <c r="F315" s="673" t="str">
        <f t="shared" si="11"/>
        <v>0</v>
      </c>
      <c r="G315" s="673"/>
      <c r="H315" s="673"/>
      <c r="I315" s="680"/>
    </row>
    <row r="316" spans="2:9">
      <c r="B316" s="678"/>
      <c r="C316" s="673"/>
      <c r="D316" s="673"/>
      <c r="E316" s="679">
        <f>E315-E311</f>
        <v>-69.300409200000004</v>
      </c>
      <c r="F316" s="673" t="str">
        <f t="shared" si="11"/>
        <v>0</v>
      </c>
      <c r="G316" s="673" t="str">
        <f>IF(C323&gt;20,"1","0")</f>
        <v>1</v>
      </c>
      <c r="H316" s="673"/>
      <c r="I316" s="680"/>
    </row>
    <row r="317" spans="2:9">
      <c r="B317" s="678"/>
      <c r="C317" s="673"/>
      <c r="D317" s="673"/>
      <c r="E317" s="679">
        <f>E316-E311</f>
        <v>-101.3004092</v>
      </c>
      <c r="F317" s="673" t="str">
        <f t="shared" si="11"/>
        <v>0</v>
      </c>
      <c r="G317" s="673" t="str">
        <f>IF(C323&lt;38,"1","0")</f>
        <v>1</v>
      </c>
      <c r="H317" s="673"/>
      <c r="I317" s="680"/>
    </row>
    <row r="318" spans="2:9">
      <c r="B318" s="678"/>
      <c r="C318" s="673"/>
      <c r="D318" s="673"/>
      <c r="E318" s="679">
        <f>E317-E311</f>
        <v>-133.30040919999999</v>
      </c>
      <c r="F318" s="673" t="str">
        <f t="shared" si="11"/>
        <v>0</v>
      </c>
      <c r="G318" s="673" t="str">
        <f>IF(C323=38,"1","0")</f>
        <v>0</v>
      </c>
      <c r="H318" s="673"/>
      <c r="I318" s="680"/>
    </row>
    <row r="319" spans="2:9">
      <c r="B319" s="678"/>
      <c r="C319" s="673"/>
      <c r="D319" s="673"/>
      <c r="E319" s="679">
        <f>E318-E311</f>
        <v>-165.30040919999999</v>
      </c>
      <c r="F319" s="673" t="str">
        <f t="shared" si="11"/>
        <v>0</v>
      </c>
      <c r="G319" s="681">
        <f>G323</f>
        <v>2</v>
      </c>
      <c r="H319" s="673"/>
      <c r="I319" s="680"/>
    </row>
    <row r="320" spans="2:9">
      <c r="B320" s="678"/>
      <c r="C320" s="673"/>
      <c r="D320" s="673"/>
      <c r="E320" s="679">
        <f>E319-E311</f>
        <v>-197.30040919999999</v>
      </c>
      <c r="F320" s="673" t="str">
        <f t="shared" si="11"/>
        <v>0</v>
      </c>
      <c r="G320" s="673"/>
      <c r="H320" s="673"/>
      <c r="I320" s="680"/>
    </row>
    <row r="321" spans="2:9">
      <c r="B321" s="678"/>
      <c r="C321" s="673"/>
      <c r="D321" s="673"/>
      <c r="E321" s="679">
        <f>E320-E311</f>
        <v>-229.30040919999999</v>
      </c>
      <c r="F321" s="673" t="str">
        <f t="shared" si="11"/>
        <v>0</v>
      </c>
      <c r="G321" s="673"/>
      <c r="H321" s="673"/>
      <c r="I321" s="680"/>
    </row>
    <row r="322" spans="2:9">
      <c r="B322" s="678"/>
      <c r="C322" s="673"/>
      <c r="D322" s="673"/>
      <c r="E322" s="679">
        <f>E321-E311</f>
        <v>-261.30040919999999</v>
      </c>
      <c r="F322" s="673" t="str">
        <f t="shared" si="11"/>
        <v>0</v>
      </c>
      <c r="G322" s="673"/>
      <c r="H322" s="673"/>
      <c r="I322" s="680"/>
    </row>
    <row r="323" spans="2:9">
      <c r="B323" s="682"/>
      <c r="C323" s="683">
        <f>D323*E311</f>
        <v>26.699590799999996</v>
      </c>
      <c r="D323" s="683">
        <f>E323-G323</f>
        <v>0.83436221249999987</v>
      </c>
      <c r="E323" s="684">
        <f>D255/E311</f>
        <v>2.8343622124999999</v>
      </c>
      <c r="F323" s="683"/>
      <c r="G323" s="683">
        <f>F312+F313+F314+F315+F316+F317+F318+F319+F320+F321+F322</f>
        <v>2</v>
      </c>
      <c r="H323" s="683"/>
      <c r="I323" s="685"/>
    </row>
    <row r="324" spans="2:9">
      <c r="B324" s="667"/>
      <c r="C324" s="668" t="s">
        <v>381</v>
      </c>
      <c r="D324" s="669"/>
      <c r="E324" s="669"/>
      <c r="F324" s="669"/>
      <c r="G324" s="669" t="s">
        <v>382</v>
      </c>
      <c r="H324" s="669" t="s">
        <v>383</v>
      </c>
      <c r="I324" s="670" t="s">
        <v>384</v>
      </c>
    </row>
    <row r="325" spans="2:9">
      <c r="B325" s="1317" t="str">
        <f>B256</f>
        <v>ОЦБ Хвоя</v>
      </c>
      <c r="C325" s="1318"/>
      <c r="D325" s="671">
        <f>C256</f>
        <v>240</v>
      </c>
      <c r="E325" s="672">
        <f>K256</f>
        <v>32</v>
      </c>
      <c r="F325" s="672">
        <f>L256</f>
        <v>19</v>
      </c>
      <c r="G325" s="673"/>
      <c r="H325" s="674">
        <f>I256</f>
        <v>30000</v>
      </c>
      <c r="I325" s="674">
        <f>J256</f>
        <v>20000</v>
      </c>
    </row>
    <row r="326" spans="2:9">
      <c r="B326" s="1317" t="s">
        <v>395</v>
      </c>
      <c r="C326" s="1319"/>
      <c r="D326" s="675">
        <v>400</v>
      </c>
      <c r="E326" s="676">
        <f>D256-E325</f>
        <v>70.296349780097188</v>
      </c>
      <c r="F326" s="673" t="str">
        <f>IF(E326&gt;0,"1","0")</f>
        <v>1</v>
      </c>
      <c r="G326" s="673" t="str">
        <f>IF(C337&lt;20,"1","0")</f>
        <v>1</v>
      </c>
      <c r="H326" s="677">
        <f>G333+G330*G331+G332</f>
        <v>3</v>
      </c>
      <c r="I326" s="677">
        <f>G326*G327+J336+G328</f>
        <v>1</v>
      </c>
    </row>
    <row r="327" spans="2:9">
      <c r="B327" s="678"/>
      <c r="C327" s="673"/>
      <c r="D327" s="673"/>
      <c r="E327" s="679">
        <f>E326-E325</f>
        <v>38.296349780097188</v>
      </c>
      <c r="F327" s="673" t="str">
        <f t="shared" ref="F327:F336" si="12">IF(E327&gt;0,"1","0")</f>
        <v>1</v>
      </c>
      <c r="G327" s="673" t="str">
        <f>IF(C337&gt;0,"1","0")</f>
        <v>1</v>
      </c>
      <c r="H327" s="673"/>
      <c r="I327" s="680"/>
    </row>
    <row r="328" spans="2:9">
      <c r="B328" s="678"/>
      <c r="C328" s="673"/>
      <c r="D328" s="673"/>
      <c r="E328" s="679">
        <f>E327-E325</f>
        <v>6.2963497800971879</v>
      </c>
      <c r="F328" s="673" t="str">
        <f t="shared" si="12"/>
        <v>1</v>
      </c>
      <c r="G328" s="673" t="str">
        <f>IF(C337=20,"1","0")</f>
        <v>0</v>
      </c>
      <c r="H328" s="673"/>
      <c r="I328" s="680"/>
    </row>
    <row r="329" spans="2:9">
      <c r="B329" s="678"/>
      <c r="C329" s="673"/>
      <c r="D329" s="673"/>
      <c r="E329" s="679">
        <f>E328-E325</f>
        <v>-25.703650219902812</v>
      </c>
      <c r="F329" s="673" t="str">
        <f t="shared" si="12"/>
        <v>0</v>
      </c>
      <c r="G329" s="673"/>
      <c r="H329" s="673"/>
      <c r="I329" s="680"/>
    </row>
    <row r="330" spans="2:9">
      <c r="B330" s="678"/>
      <c r="C330" s="673"/>
      <c r="D330" s="673"/>
      <c r="E330" s="679">
        <f>E329-E325</f>
        <v>-57.703650219902812</v>
      </c>
      <c r="F330" s="673" t="str">
        <f t="shared" si="12"/>
        <v>0</v>
      </c>
      <c r="G330" s="673" t="str">
        <f>IF(C337&gt;20,"1","0")</f>
        <v>0</v>
      </c>
      <c r="H330" s="673"/>
      <c r="I330" s="680"/>
    </row>
    <row r="331" spans="2:9">
      <c r="B331" s="678"/>
      <c r="C331" s="673"/>
      <c r="D331" s="673"/>
      <c r="E331" s="679">
        <f>E330-E325</f>
        <v>-89.703650219902812</v>
      </c>
      <c r="F331" s="673" t="str">
        <f t="shared" si="12"/>
        <v>0</v>
      </c>
      <c r="G331" s="673" t="str">
        <f>IF(C337&lt;38,"1","0")</f>
        <v>1</v>
      </c>
      <c r="H331" s="673"/>
      <c r="I331" s="680"/>
    </row>
    <row r="332" spans="2:9">
      <c r="B332" s="678"/>
      <c r="C332" s="673"/>
      <c r="D332" s="673"/>
      <c r="E332" s="679">
        <f>E331-E325</f>
        <v>-121.70365021990281</v>
      </c>
      <c r="F332" s="673" t="str">
        <f t="shared" si="12"/>
        <v>0</v>
      </c>
      <c r="G332" s="673" t="str">
        <f>IF(C337=38,"1","0")</f>
        <v>0</v>
      </c>
      <c r="H332" s="673"/>
      <c r="I332" s="680"/>
    </row>
    <row r="333" spans="2:9">
      <c r="B333" s="678"/>
      <c r="C333" s="673"/>
      <c r="D333" s="673"/>
      <c r="E333" s="679">
        <f>E332-E325</f>
        <v>-153.70365021990281</v>
      </c>
      <c r="F333" s="673" t="str">
        <f t="shared" si="12"/>
        <v>0</v>
      </c>
      <c r="G333" s="681">
        <f>G337</f>
        <v>3</v>
      </c>
      <c r="H333" s="673"/>
      <c r="I333" s="680"/>
    </row>
    <row r="334" spans="2:9">
      <c r="B334" s="678"/>
      <c r="C334" s="673"/>
      <c r="D334" s="673"/>
      <c r="E334" s="679">
        <f>E333-E325</f>
        <v>-185.70365021990281</v>
      </c>
      <c r="F334" s="673" t="str">
        <f t="shared" si="12"/>
        <v>0</v>
      </c>
      <c r="G334" s="673"/>
      <c r="H334" s="673"/>
      <c r="I334" s="680"/>
    </row>
    <row r="335" spans="2:9">
      <c r="B335" s="678"/>
      <c r="C335" s="673"/>
      <c r="D335" s="673"/>
      <c r="E335" s="679">
        <f>E334-E325</f>
        <v>-217.70365021990281</v>
      </c>
      <c r="F335" s="673" t="str">
        <f t="shared" si="12"/>
        <v>0</v>
      </c>
      <c r="G335" s="673"/>
      <c r="H335" s="673"/>
      <c r="I335" s="680"/>
    </row>
    <row r="336" spans="2:9">
      <c r="B336" s="678"/>
      <c r="C336" s="673"/>
      <c r="D336" s="673"/>
      <c r="E336" s="679">
        <f>E335-E325</f>
        <v>-249.70365021990281</v>
      </c>
      <c r="F336" s="673" t="str">
        <f t="shared" si="12"/>
        <v>0</v>
      </c>
      <c r="G336" s="673"/>
      <c r="H336" s="673"/>
      <c r="I336" s="680"/>
    </row>
    <row r="337" spans="2:9">
      <c r="B337" s="682"/>
      <c r="C337" s="683">
        <f>D337*E325</f>
        <v>6.2963497800971879</v>
      </c>
      <c r="D337" s="683">
        <f>E337-G337</f>
        <v>0.19676093062803712</v>
      </c>
      <c r="E337" s="684">
        <f>D256/E325</f>
        <v>3.1967609306280371</v>
      </c>
      <c r="F337" s="683"/>
      <c r="G337" s="683">
        <f>F326+F327+F328+F329+F330+F331+F332+F333+F334+F335+F336</f>
        <v>3</v>
      </c>
      <c r="H337" s="683"/>
      <c r="I337" s="685"/>
    </row>
    <row r="338" spans="2:9">
      <c r="B338" s="667"/>
      <c r="C338" s="668" t="s">
        <v>381</v>
      </c>
      <c r="D338" s="669"/>
      <c r="E338" s="669"/>
      <c r="F338" s="669"/>
      <c r="G338" s="669" t="s">
        <v>382</v>
      </c>
      <c r="H338" s="669" t="s">
        <v>383</v>
      </c>
      <c r="I338" s="670" t="s">
        <v>384</v>
      </c>
    </row>
    <row r="339" spans="2:9">
      <c r="B339" s="1317" t="str">
        <f>B257</f>
        <v>ОЦБ Хвоя</v>
      </c>
      <c r="C339" s="1318"/>
      <c r="D339" s="671">
        <f>C257</f>
        <v>260</v>
      </c>
      <c r="E339" s="672">
        <f>K257</f>
        <v>32</v>
      </c>
      <c r="F339" s="672">
        <f>L257</f>
        <v>19</v>
      </c>
      <c r="G339" s="673"/>
      <c r="H339" s="674">
        <f>I257</f>
        <v>30000</v>
      </c>
      <c r="I339" s="674">
        <f>J257</f>
        <v>20000</v>
      </c>
    </row>
    <row r="340" spans="2:9">
      <c r="B340" s="1317" t="s">
        <v>395</v>
      </c>
      <c r="C340" s="1319"/>
      <c r="D340" s="675">
        <v>400</v>
      </c>
      <c r="E340" s="676">
        <f>D257-E339</f>
        <v>81.23786505622661</v>
      </c>
      <c r="F340" s="673" t="str">
        <f>IF(E340&gt;0,"1","0")</f>
        <v>1</v>
      </c>
      <c r="G340" s="673" t="str">
        <f>IF(C351&lt;20,"1","0")</f>
        <v>1</v>
      </c>
      <c r="H340" s="677">
        <f>G347+G344*G345+G346</f>
        <v>3</v>
      </c>
      <c r="I340" s="677">
        <f>G340*G341+J350+G342</f>
        <v>1</v>
      </c>
    </row>
    <row r="341" spans="2:9">
      <c r="B341" s="678"/>
      <c r="C341" s="673"/>
      <c r="D341" s="673"/>
      <c r="E341" s="679">
        <f>E340-E339</f>
        <v>49.23786505622661</v>
      </c>
      <c r="F341" s="673" t="str">
        <f t="shared" ref="F341:F350" si="13">IF(E341&gt;0,"1","0")</f>
        <v>1</v>
      </c>
      <c r="G341" s="673" t="str">
        <f>IF(C351&gt;0,"1","0")</f>
        <v>1</v>
      </c>
      <c r="H341" s="673"/>
      <c r="I341" s="680"/>
    </row>
    <row r="342" spans="2:9">
      <c r="B342" s="678"/>
      <c r="C342" s="673"/>
      <c r="D342" s="673"/>
      <c r="E342" s="679">
        <f>E341-E339</f>
        <v>17.23786505622661</v>
      </c>
      <c r="F342" s="673" t="str">
        <f t="shared" si="13"/>
        <v>1</v>
      </c>
      <c r="G342" s="673" t="str">
        <f>IF(C351=20,"1","0")</f>
        <v>0</v>
      </c>
      <c r="H342" s="673"/>
      <c r="I342" s="680"/>
    </row>
    <row r="343" spans="2:9">
      <c r="B343" s="678"/>
      <c r="C343" s="673"/>
      <c r="D343" s="673"/>
      <c r="E343" s="679">
        <f>E342-E339</f>
        <v>-14.76213494377339</v>
      </c>
      <c r="F343" s="673" t="str">
        <f t="shared" si="13"/>
        <v>0</v>
      </c>
      <c r="G343" s="673"/>
      <c r="H343" s="673"/>
      <c r="I343" s="680"/>
    </row>
    <row r="344" spans="2:9">
      <c r="B344" s="678"/>
      <c r="C344" s="673"/>
      <c r="D344" s="673"/>
      <c r="E344" s="679">
        <f>E343-E339</f>
        <v>-46.76213494377339</v>
      </c>
      <c r="F344" s="673" t="str">
        <f t="shared" si="13"/>
        <v>0</v>
      </c>
      <c r="G344" s="673" t="str">
        <f>IF(C351&gt;20,"1","0")</f>
        <v>0</v>
      </c>
      <c r="H344" s="673"/>
      <c r="I344" s="680"/>
    </row>
    <row r="345" spans="2:9">
      <c r="B345" s="678"/>
      <c r="C345" s="673"/>
      <c r="D345" s="673"/>
      <c r="E345" s="679">
        <f>E344-E339</f>
        <v>-78.76213494377339</v>
      </c>
      <c r="F345" s="673" t="str">
        <f t="shared" si="13"/>
        <v>0</v>
      </c>
      <c r="G345" s="673" t="str">
        <f>IF(C351&lt;38,"1","0")</f>
        <v>1</v>
      </c>
      <c r="H345" s="673"/>
      <c r="I345" s="680"/>
    </row>
    <row r="346" spans="2:9">
      <c r="B346" s="678"/>
      <c r="C346" s="673"/>
      <c r="D346" s="673"/>
      <c r="E346" s="679">
        <f>E345-E339</f>
        <v>-110.76213494377339</v>
      </c>
      <c r="F346" s="673" t="str">
        <f t="shared" si="13"/>
        <v>0</v>
      </c>
      <c r="G346" s="673" t="str">
        <f>IF(C351=38,"1","0")</f>
        <v>0</v>
      </c>
      <c r="H346" s="673"/>
      <c r="I346" s="680"/>
    </row>
    <row r="347" spans="2:9">
      <c r="B347" s="678"/>
      <c r="C347" s="673"/>
      <c r="D347" s="673"/>
      <c r="E347" s="679">
        <f>E346-E339</f>
        <v>-142.76213494377339</v>
      </c>
      <c r="F347" s="673" t="str">
        <f t="shared" si="13"/>
        <v>0</v>
      </c>
      <c r="G347" s="681">
        <f>G351</f>
        <v>3</v>
      </c>
      <c r="H347" s="673"/>
      <c r="I347" s="680"/>
    </row>
    <row r="348" spans="2:9">
      <c r="B348" s="678"/>
      <c r="C348" s="673"/>
      <c r="D348" s="673"/>
      <c r="E348" s="679">
        <f>E347-E339</f>
        <v>-174.76213494377339</v>
      </c>
      <c r="F348" s="673" t="str">
        <f t="shared" si="13"/>
        <v>0</v>
      </c>
      <c r="G348" s="673"/>
      <c r="H348" s="673"/>
      <c r="I348" s="680"/>
    </row>
    <row r="349" spans="2:9">
      <c r="B349" s="678"/>
      <c r="C349" s="673"/>
      <c r="D349" s="673"/>
      <c r="E349" s="679">
        <f>E348-E339</f>
        <v>-206.76213494377339</v>
      </c>
      <c r="F349" s="673" t="str">
        <f t="shared" si="13"/>
        <v>0</v>
      </c>
      <c r="G349" s="673"/>
      <c r="H349" s="673"/>
      <c r="I349" s="680"/>
    </row>
    <row r="350" spans="2:9">
      <c r="B350" s="678"/>
      <c r="C350" s="673"/>
      <c r="D350" s="673"/>
      <c r="E350" s="679">
        <f>E349-E339</f>
        <v>-238.76213494377339</v>
      </c>
      <c r="F350" s="673" t="str">
        <f t="shared" si="13"/>
        <v>0</v>
      </c>
      <c r="G350" s="673"/>
      <c r="H350" s="673"/>
      <c r="I350" s="680"/>
    </row>
    <row r="351" spans="2:9">
      <c r="B351" s="682"/>
      <c r="C351" s="683">
        <f>D351*E339</f>
        <v>17.23786505622661</v>
      </c>
      <c r="D351" s="683">
        <f>E351-G351</f>
        <v>0.53868328300708157</v>
      </c>
      <c r="E351" s="684">
        <f>D257/E339</f>
        <v>3.5386832830070816</v>
      </c>
      <c r="F351" s="683"/>
      <c r="G351" s="683">
        <f>F340+F341+F342+F343+F344+F345+F346+F347+F348+F349+F350</f>
        <v>3</v>
      </c>
      <c r="H351" s="683"/>
      <c r="I351" s="685"/>
    </row>
    <row r="352" spans="2:9">
      <c r="B352" s="667"/>
      <c r="C352" s="668" t="s">
        <v>381</v>
      </c>
      <c r="D352" s="669"/>
      <c r="E352" s="669"/>
      <c r="F352" s="669"/>
      <c r="G352" s="669" t="s">
        <v>382</v>
      </c>
      <c r="H352" s="669" t="s">
        <v>383</v>
      </c>
      <c r="I352" s="670" t="s">
        <v>384</v>
      </c>
    </row>
    <row r="353" spans="2:9">
      <c r="B353" s="1317" t="str">
        <f>B258</f>
        <v>ОЦБ Хвоя</v>
      </c>
      <c r="C353" s="1318"/>
      <c r="D353" s="671">
        <f>C258</f>
        <v>280</v>
      </c>
      <c r="E353" s="672">
        <f>K258</f>
        <v>32</v>
      </c>
      <c r="F353" s="672">
        <f>L258</f>
        <v>19</v>
      </c>
      <c r="G353" s="673"/>
      <c r="H353" s="674">
        <f>I258</f>
        <v>30000</v>
      </c>
      <c r="I353" s="674">
        <f>J258</f>
        <v>20000</v>
      </c>
    </row>
    <row r="354" spans="2:9">
      <c r="B354" s="1317" t="s">
        <v>395</v>
      </c>
      <c r="C354" s="1319"/>
      <c r="D354" s="675">
        <v>400</v>
      </c>
      <c r="E354" s="676">
        <f>D258-E353</f>
        <v>91.562553878458189</v>
      </c>
      <c r="F354" s="673" t="str">
        <f>IF(E354&gt;0,"1","0")</f>
        <v>1</v>
      </c>
      <c r="G354" s="673" t="str">
        <f>IF(C365&lt;20,"1","0")</f>
        <v>0</v>
      </c>
      <c r="H354" s="677">
        <f>G361+G358*G359+G360</f>
        <v>4</v>
      </c>
      <c r="I354" s="677">
        <f>G354*G355+J364+G356</f>
        <v>0</v>
      </c>
    </row>
    <row r="355" spans="2:9">
      <c r="B355" s="678"/>
      <c r="C355" s="673"/>
      <c r="D355" s="673"/>
      <c r="E355" s="679">
        <f>E354-E353</f>
        <v>59.562553878458189</v>
      </c>
      <c r="F355" s="673" t="str">
        <f t="shared" ref="F355:F364" si="14">IF(E355&gt;0,"1","0")</f>
        <v>1</v>
      </c>
      <c r="G355" s="673" t="str">
        <f>IF(C365&gt;0,"1","0")</f>
        <v>1</v>
      </c>
      <c r="H355" s="673"/>
      <c r="I355" s="680"/>
    </row>
    <row r="356" spans="2:9">
      <c r="B356" s="678"/>
      <c r="C356" s="673"/>
      <c r="D356" s="673"/>
      <c r="E356" s="679">
        <f>E355-E353</f>
        <v>27.562553878458189</v>
      </c>
      <c r="F356" s="673" t="str">
        <f t="shared" si="14"/>
        <v>1</v>
      </c>
      <c r="G356" s="673" t="str">
        <f>IF(C365=20,"1","0")</f>
        <v>0</v>
      </c>
      <c r="H356" s="673"/>
      <c r="I356" s="680"/>
    </row>
    <row r="357" spans="2:9">
      <c r="B357" s="678"/>
      <c r="C357" s="673"/>
      <c r="D357" s="673"/>
      <c r="E357" s="679">
        <f>E356-E353</f>
        <v>-4.4374461215418108</v>
      </c>
      <c r="F357" s="673" t="str">
        <f t="shared" si="14"/>
        <v>0</v>
      </c>
      <c r="G357" s="673"/>
      <c r="H357" s="673"/>
      <c r="I357" s="680"/>
    </row>
    <row r="358" spans="2:9">
      <c r="B358" s="678"/>
      <c r="C358" s="673"/>
      <c r="D358" s="673"/>
      <c r="E358" s="679">
        <f>E357-E353</f>
        <v>-36.437446121541811</v>
      </c>
      <c r="F358" s="673" t="str">
        <f t="shared" si="14"/>
        <v>0</v>
      </c>
      <c r="G358" s="673" t="str">
        <f>IF(C365&gt;20,"1","0")</f>
        <v>1</v>
      </c>
      <c r="H358" s="673"/>
      <c r="I358" s="680"/>
    </row>
    <row r="359" spans="2:9">
      <c r="B359" s="678"/>
      <c r="C359" s="673"/>
      <c r="D359" s="673"/>
      <c r="E359" s="679">
        <f>E358-E353</f>
        <v>-68.437446121541811</v>
      </c>
      <c r="F359" s="673" t="str">
        <f t="shared" si="14"/>
        <v>0</v>
      </c>
      <c r="G359" s="673" t="str">
        <f>IF(C365&lt;38,"1","0")</f>
        <v>1</v>
      </c>
      <c r="H359" s="673"/>
      <c r="I359" s="680"/>
    </row>
    <row r="360" spans="2:9">
      <c r="B360" s="678"/>
      <c r="C360" s="673"/>
      <c r="D360" s="673"/>
      <c r="E360" s="679">
        <f>E359-E353</f>
        <v>-100.43744612154181</v>
      </c>
      <c r="F360" s="673" t="str">
        <f t="shared" si="14"/>
        <v>0</v>
      </c>
      <c r="G360" s="673" t="str">
        <f>IF(C365=38,"1","0")</f>
        <v>0</v>
      </c>
      <c r="H360" s="673"/>
      <c r="I360" s="680"/>
    </row>
    <row r="361" spans="2:9">
      <c r="B361" s="678"/>
      <c r="C361" s="673"/>
      <c r="D361" s="673"/>
      <c r="E361" s="679">
        <f>E360-E353</f>
        <v>-132.43744612154183</v>
      </c>
      <c r="F361" s="673" t="str">
        <f t="shared" si="14"/>
        <v>0</v>
      </c>
      <c r="G361" s="681">
        <f>G365</f>
        <v>3</v>
      </c>
      <c r="H361" s="673"/>
      <c r="I361" s="680"/>
    </row>
    <row r="362" spans="2:9">
      <c r="B362" s="678"/>
      <c r="C362" s="673"/>
      <c r="D362" s="673"/>
      <c r="E362" s="679">
        <f>E361-E353</f>
        <v>-164.43744612154183</v>
      </c>
      <c r="F362" s="673" t="str">
        <f t="shared" si="14"/>
        <v>0</v>
      </c>
      <c r="G362" s="673"/>
      <c r="H362" s="673"/>
      <c r="I362" s="680"/>
    </row>
    <row r="363" spans="2:9">
      <c r="B363" s="678"/>
      <c r="C363" s="673"/>
      <c r="D363" s="673"/>
      <c r="E363" s="679">
        <f>E362-E353</f>
        <v>-196.43744612154183</v>
      </c>
      <c r="F363" s="673" t="str">
        <f t="shared" si="14"/>
        <v>0</v>
      </c>
      <c r="G363" s="673"/>
      <c r="H363" s="673"/>
      <c r="I363" s="680"/>
    </row>
    <row r="364" spans="2:9">
      <c r="B364" s="678"/>
      <c r="C364" s="673"/>
      <c r="D364" s="673"/>
      <c r="E364" s="679">
        <f>E363-E353</f>
        <v>-228.43744612154183</v>
      </c>
      <c r="F364" s="673" t="str">
        <f t="shared" si="14"/>
        <v>0</v>
      </c>
      <c r="G364" s="673"/>
      <c r="H364" s="673"/>
      <c r="I364" s="680"/>
    </row>
    <row r="365" spans="2:9">
      <c r="B365" s="682"/>
      <c r="C365" s="683">
        <f>D365*E353</f>
        <v>27.562553878458189</v>
      </c>
      <c r="D365" s="683">
        <f>E365-G365</f>
        <v>0.86132980870181841</v>
      </c>
      <c r="E365" s="684">
        <f>D258/E353</f>
        <v>3.8613298087018184</v>
      </c>
      <c r="F365" s="683"/>
      <c r="G365" s="683">
        <f>F354+F355+F356+F357+F358+F359+F360+F361+F362+F363+F364</f>
        <v>3</v>
      </c>
      <c r="H365" s="683"/>
      <c r="I365" s="685"/>
    </row>
    <row r="366" spans="2:9">
      <c r="B366" s="667"/>
      <c r="C366" s="668" t="s">
        <v>381</v>
      </c>
      <c r="D366" s="669"/>
      <c r="E366" s="669"/>
      <c r="F366" s="669"/>
      <c r="G366" s="669" t="s">
        <v>382</v>
      </c>
      <c r="H366" s="669" t="s">
        <v>383</v>
      </c>
      <c r="I366" s="670" t="s">
        <v>384</v>
      </c>
    </row>
    <row r="367" spans="2:9">
      <c r="B367" s="1317" t="str">
        <f>B259</f>
        <v>ОЦБ Хвоя</v>
      </c>
      <c r="C367" s="1318"/>
      <c r="D367" s="671">
        <f>C259</f>
        <v>300</v>
      </c>
      <c r="E367" s="672">
        <f>K259</f>
        <v>32</v>
      </c>
      <c r="F367" s="672">
        <f>L259</f>
        <v>19</v>
      </c>
      <c r="G367" s="673"/>
      <c r="H367" s="674">
        <f>I259</f>
        <v>30000</v>
      </c>
      <c r="I367" s="674">
        <f>J259</f>
        <v>20000</v>
      </c>
    </row>
    <row r="368" spans="2:9">
      <c r="B368" s="1317" t="s">
        <v>395</v>
      </c>
      <c r="C368" s="1319"/>
      <c r="D368" s="675">
        <v>400</v>
      </c>
      <c r="E368" s="676">
        <f>D259-E367</f>
        <v>101.67899085214921</v>
      </c>
      <c r="F368" s="673" t="str">
        <f>IF(E368&gt;0,"1","0")</f>
        <v>1</v>
      </c>
      <c r="G368" s="673" t="str">
        <f>IF(C379&lt;20,"1","0")</f>
        <v>1</v>
      </c>
      <c r="H368" s="677">
        <f>G375+G372*G373+G374</f>
        <v>4</v>
      </c>
      <c r="I368" s="677">
        <f>G368*G369+J378+G370</f>
        <v>1</v>
      </c>
    </row>
    <row r="369" spans="2:9">
      <c r="B369" s="678"/>
      <c r="C369" s="673"/>
      <c r="D369" s="673"/>
      <c r="E369" s="679">
        <f>E368-E367</f>
        <v>69.678990852149212</v>
      </c>
      <c r="F369" s="673" t="str">
        <f t="shared" ref="F369:F378" si="15">IF(E369&gt;0,"1","0")</f>
        <v>1</v>
      </c>
      <c r="G369" s="673" t="str">
        <f>IF(C379&gt;0,"1","0")</f>
        <v>1</v>
      </c>
      <c r="H369" s="673"/>
      <c r="I369" s="680"/>
    </row>
    <row r="370" spans="2:9">
      <c r="B370" s="678"/>
      <c r="C370" s="673"/>
      <c r="D370" s="673"/>
      <c r="E370" s="679">
        <f>E369-E367</f>
        <v>37.678990852149212</v>
      </c>
      <c r="F370" s="673" t="str">
        <f t="shared" si="15"/>
        <v>1</v>
      </c>
      <c r="G370" s="673" t="str">
        <f>IF(C379=20,"1","0")</f>
        <v>0</v>
      </c>
      <c r="H370" s="673"/>
      <c r="I370" s="680"/>
    </row>
    <row r="371" spans="2:9">
      <c r="B371" s="678"/>
      <c r="C371" s="673"/>
      <c r="D371" s="673"/>
      <c r="E371" s="679">
        <f>E370-E367</f>
        <v>5.6789908521492123</v>
      </c>
      <c r="F371" s="673" t="str">
        <f t="shared" si="15"/>
        <v>1</v>
      </c>
      <c r="G371" s="673"/>
      <c r="H371" s="673"/>
      <c r="I371" s="680"/>
    </row>
    <row r="372" spans="2:9">
      <c r="B372" s="678"/>
      <c r="C372" s="673"/>
      <c r="D372" s="673"/>
      <c r="E372" s="679">
        <f>E371-E367</f>
        <v>-26.321009147850788</v>
      </c>
      <c r="F372" s="673" t="str">
        <f t="shared" si="15"/>
        <v>0</v>
      </c>
      <c r="G372" s="673" t="str">
        <f>IF(C379&gt;20,"1","0")</f>
        <v>0</v>
      </c>
      <c r="H372" s="673"/>
      <c r="I372" s="680"/>
    </row>
    <row r="373" spans="2:9">
      <c r="B373" s="678"/>
      <c r="C373" s="673"/>
      <c r="D373" s="673"/>
      <c r="E373" s="679">
        <f>E372-E367</f>
        <v>-58.321009147850788</v>
      </c>
      <c r="F373" s="673" t="str">
        <f t="shared" si="15"/>
        <v>0</v>
      </c>
      <c r="G373" s="673" t="str">
        <f>IF(C379&lt;38,"1","0")</f>
        <v>1</v>
      </c>
      <c r="H373" s="673"/>
      <c r="I373" s="680"/>
    </row>
    <row r="374" spans="2:9">
      <c r="B374" s="678"/>
      <c r="C374" s="673"/>
      <c r="D374" s="673"/>
      <c r="E374" s="679">
        <f>E373-E367</f>
        <v>-90.321009147850788</v>
      </c>
      <c r="F374" s="673" t="str">
        <f t="shared" si="15"/>
        <v>0</v>
      </c>
      <c r="G374" s="673" t="str">
        <f>IF(C379=38,"1","0")</f>
        <v>0</v>
      </c>
      <c r="H374" s="673"/>
      <c r="I374" s="680"/>
    </row>
    <row r="375" spans="2:9">
      <c r="B375" s="678"/>
      <c r="C375" s="673"/>
      <c r="D375" s="673"/>
      <c r="E375" s="679">
        <f>E374-E367</f>
        <v>-122.32100914785079</v>
      </c>
      <c r="F375" s="673" t="str">
        <f t="shared" si="15"/>
        <v>0</v>
      </c>
      <c r="G375" s="681">
        <f>G379</f>
        <v>4</v>
      </c>
      <c r="H375" s="673"/>
      <c r="I375" s="680"/>
    </row>
    <row r="376" spans="2:9">
      <c r="B376" s="678"/>
      <c r="C376" s="673"/>
      <c r="D376" s="673"/>
      <c r="E376" s="679">
        <f>E375-E367</f>
        <v>-154.32100914785079</v>
      </c>
      <c r="F376" s="673" t="str">
        <f t="shared" si="15"/>
        <v>0</v>
      </c>
      <c r="G376" s="673"/>
      <c r="H376" s="673"/>
      <c r="I376" s="680"/>
    </row>
    <row r="377" spans="2:9">
      <c r="B377" s="678"/>
      <c r="C377" s="673"/>
      <c r="D377" s="673"/>
      <c r="E377" s="679">
        <f>E376-E367</f>
        <v>-186.32100914785079</v>
      </c>
      <c r="F377" s="673" t="str">
        <f t="shared" si="15"/>
        <v>0</v>
      </c>
      <c r="G377" s="673"/>
      <c r="H377" s="673"/>
      <c r="I377" s="680"/>
    </row>
    <row r="378" spans="2:9">
      <c r="B378" s="678"/>
      <c r="C378" s="673"/>
      <c r="D378" s="673"/>
      <c r="E378" s="679">
        <f>E377-E367</f>
        <v>-218.32100914785079</v>
      </c>
      <c r="F378" s="673" t="str">
        <f t="shared" si="15"/>
        <v>0</v>
      </c>
      <c r="G378" s="673"/>
      <c r="H378" s="673"/>
      <c r="I378" s="680"/>
    </row>
    <row r="379" spans="2:9">
      <c r="B379" s="682"/>
      <c r="C379" s="683">
        <f>D379*E367</f>
        <v>5.6789908521492123</v>
      </c>
      <c r="D379" s="683">
        <f>E379-G379</f>
        <v>0.17746846412966288</v>
      </c>
      <c r="E379" s="684">
        <f>D259/E367</f>
        <v>4.1774684641296629</v>
      </c>
      <c r="F379" s="683"/>
      <c r="G379" s="683">
        <f>F368+F369+F370+F371+F372+F373+F374+F375+F376+F377+F378</f>
        <v>4</v>
      </c>
      <c r="H379" s="683"/>
      <c r="I379" s="685"/>
    </row>
    <row r="380" spans="2:9">
      <c r="B380" s="667"/>
      <c r="C380" s="668" t="s">
        <v>381</v>
      </c>
      <c r="D380" s="669"/>
      <c r="E380" s="669"/>
      <c r="F380" s="669"/>
      <c r="G380" s="669" t="s">
        <v>382</v>
      </c>
      <c r="H380" s="669" t="s">
        <v>383</v>
      </c>
      <c r="I380" s="670" t="s">
        <v>384</v>
      </c>
    </row>
    <row r="381" spans="2:9">
      <c r="B381" s="1317" t="str">
        <f>B261</f>
        <v>ОЦБ Листва</v>
      </c>
      <c r="C381" s="1318"/>
      <c r="D381" s="671">
        <f>C261</f>
        <v>200</v>
      </c>
      <c r="E381" s="672">
        <f>K261</f>
        <v>26</v>
      </c>
      <c r="F381" s="672">
        <f>L261</f>
        <v>14</v>
      </c>
      <c r="G381" s="673"/>
      <c r="H381" s="674">
        <f>I261</f>
        <v>30000</v>
      </c>
      <c r="I381" s="674">
        <f>J261</f>
        <v>20000</v>
      </c>
    </row>
    <row r="382" spans="2:9">
      <c r="B382" s="1317" t="s">
        <v>395</v>
      </c>
      <c r="C382" s="1319"/>
      <c r="D382" s="675">
        <v>400</v>
      </c>
      <c r="E382" s="676">
        <f>D261-E381</f>
        <v>56.599999999999994</v>
      </c>
      <c r="F382" s="673" t="str">
        <f>IF(E382&gt;0,"1","0")</f>
        <v>1</v>
      </c>
      <c r="G382" s="673" t="str">
        <f>IF(C393&lt;20,"1","0")</f>
        <v>1</v>
      </c>
      <c r="H382" s="677">
        <f>G389+G386*G387+G388</f>
        <v>3</v>
      </c>
      <c r="I382" s="677">
        <f>G382*G383+J392+G384</f>
        <v>1</v>
      </c>
    </row>
    <row r="383" spans="2:9">
      <c r="B383" s="678"/>
      <c r="C383" s="673"/>
      <c r="D383" s="673"/>
      <c r="E383" s="679">
        <f>E382-E381</f>
        <v>30.599999999999994</v>
      </c>
      <c r="F383" s="673" t="str">
        <f t="shared" ref="F383:F392" si="16">IF(E383&gt;0,"1","0")</f>
        <v>1</v>
      </c>
      <c r="G383" s="673" t="str">
        <f>IF(C393&gt;0,"1","0")</f>
        <v>1</v>
      </c>
      <c r="H383" s="673"/>
      <c r="I383" s="680"/>
    </row>
    <row r="384" spans="2:9">
      <c r="B384" s="678"/>
      <c r="C384" s="673"/>
      <c r="D384" s="673"/>
      <c r="E384" s="679">
        <f>E383-E381</f>
        <v>4.5999999999999943</v>
      </c>
      <c r="F384" s="673" t="str">
        <f t="shared" si="16"/>
        <v>1</v>
      </c>
      <c r="G384" s="673" t="str">
        <f>IF(C393=20,"1","0")</f>
        <v>0</v>
      </c>
      <c r="H384" s="673"/>
      <c r="I384" s="680"/>
    </row>
    <row r="385" spans="2:9">
      <c r="B385" s="678"/>
      <c r="C385" s="673"/>
      <c r="D385" s="673"/>
      <c r="E385" s="679">
        <f>E384-E381</f>
        <v>-21.400000000000006</v>
      </c>
      <c r="F385" s="673" t="str">
        <f t="shared" si="16"/>
        <v>0</v>
      </c>
      <c r="G385" s="673"/>
      <c r="H385" s="673"/>
      <c r="I385" s="680"/>
    </row>
    <row r="386" spans="2:9">
      <c r="B386" s="678"/>
      <c r="C386" s="673"/>
      <c r="D386" s="673"/>
      <c r="E386" s="679">
        <f>E385-E381</f>
        <v>-47.400000000000006</v>
      </c>
      <c r="F386" s="673" t="str">
        <f t="shared" si="16"/>
        <v>0</v>
      </c>
      <c r="G386" s="673" t="str">
        <f>IF(C393&gt;20,"1","0")</f>
        <v>0</v>
      </c>
      <c r="H386" s="673"/>
      <c r="I386" s="680"/>
    </row>
    <row r="387" spans="2:9">
      <c r="B387" s="678"/>
      <c r="C387" s="673"/>
      <c r="D387" s="673"/>
      <c r="E387" s="679">
        <f>E386-E381</f>
        <v>-73.400000000000006</v>
      </c>
      <c r="F387" s="673" t="str">
        <f t="shared" si="16"/>
        <v>0</v>
      </c>
      <c r="G387" s="673" t="str">
        <f>IF(C393&lt;38,"1","0")</f>
        <v>1</v>
      </c>
      <c r="H387" s="673"/>
      <c r="I387" s="680"/>
    </row>
    <row r="388" spans="2:9">
      <c r="B388" s="678"/>
      <c r="C388" s="673"/>
      <c r="D388" s="673"/>
      <c r="E388" s="679">
        <f>E387-E381</f>
        <v>-99.4</v>
      </c>
      <c r="F388" s="673" t="str">
        <f t="shared" si="16"/>
        <v>0</v>
      </c>
      <c r="G388" s="673" t="str">
        <f>IF(C393=38,"1","0")</f>
        <v>0</v>
      </c>
      <c r="H388" s="673"/>
      <c r="I388" s="680"/>
    </row>
    <row r="389" spans="2:9">
      <c r="B389" s="678"/>
      <c r="C389" s="673"/>
      <c r="D389" s="673"/>
      <c r="E389" s="679">
        <f>E388-E381</f>
        <v>-125.4</v>
      </c>
      <c r="F389" s="673" t="str">
        <f t="shared" si="16"/>
        <v>0</v>
      </c>
      <c r="G389" s="681">
        <f>G393</f>
        <v>3</v>
      </c>
      <c r="H389" s="673"/>
      <c r="I389" s="680"/>
    </row>
    <row r="390" spans="2:9">
      <c r="B390" s="678"/>
      <c r="C390" s="673"/>
      <c r="D390" s="673"/>
      <c r="E390" s="679">
        <f>E389-E381</f>
        <v>-151.4</v>
      </c>
      <c r="F390" s="673" t="str">
        <f t="shared" si="16"/>
        <v>0</v>
      </c>
      <c r="G390" s="673"/>
      <c r="H390" s="673"/>
      <c r="I390" s="680"/>
    </row>
    <row r="391" spans="2:9">
      <c r="B391" s="678"/>
      <c r="C391" s="673"/>
      <c r="D391" s="673"/>
      <c r="E391" s="679">
        <f>E390-E381</f>
        <v>-177.4</v>
      </c>
      <c r="F391" s="673" t="str">
        <f t="shared" si="16"/>
        <v>0</v>
      </c>
      <c r="G391" s="673"/>
      <c r="H391" s="673"/>
      <c r="I391" s="680"/>
    </row>
    <row r="392" spans="2:9">
      <c r="B392" s="678"/>
      <c r="C392" s="673"/>
      <c r="D392" s="673"/>
      <c r="E392" s="679">
        <f>E391-E381</f>
        <v>-203.4</v>
      </c>
      <c r="F392" s="673" t="str">
        <f t="shared" si="16"/>
        <v>0</v>
      </c>
      <c r="G392" s="673"/>
      <c r="H392" s="673"/>
      <c r="I392" s="680"/>
    </row>
    <row r="393" spans="2:9">
      <c r="B393" s="682"/>
      <c r="C393" s="683">
        <f>D393*E381</f>
        <v>4.5999999999999952</v>
      </c>
      <c r="D393" s="683">
        <f>E393-G393</f>
        <v>0.17692307692307674</v>
      </c>
      <c r="E393" s="684">
        <f>D261/E381</f>
        <v>3.1769230769230767</v>
      </c>
      <c r="F393" s="683"/>
      <c r="G393" s="683">
        <f>F382+F383+F384+F385+F386+F387+F388+F389+F390+F391+F392</f>
        <v>3</v>
      </c>
      <c r="H393" s="683"/>
      <c r="I393" s="685"/>
    </row>
    <row r="394" spans="2:9">
      <c r="B394" s="667"/>
      <c r="C394" s="668" t="s">
        <v>381</v>
      </c>
      <c r="D394" s="669"/>
      <c r="E394" s="669"/>
      <c r="F394" s="669"/>
      <c r="G394" s="669" t="s">
        <v>382</v>
      </c>
      <c r="H394" s="669" t="s">
        <v>383</v>
      </c>
      <c r="I394" s="670" t="s">
        <v>384</v>
      </c>
    </row>
    <row r="395" spans="2:9">
      <c r="B395" s="1317" t="str">
        <f>B262</f>
        <v>ОЦБ Листва</v>
      </c>
      <c r="C395" s="1318"/>
      <c r="D395" s="671">
        <f>C262</f>
        <v>220</v>
      </c>
      <c r="E395" s="672">
        <f>K262</f>
        <v>26</v>
      </c>
      <c r="F395" s="672">
        <f>L262</f>
        <v>14</v>
      </c>
      <c r="G395" s="673"/>
      <c r="H395" s="674">
        <f>I262</f>
        <v>30000</v>
      </c>
      <c r="I395" s="674">
        <f>J262</f>
        <v>20000</v>
      </c>
    </row>
    <row r="396" spans="2:9">
      <c r="B396" s="1317" t="s">
        <v>395</v>
      </c>
      <c r="C396" s="1319"/>
      <c r="D396" s="675">
        <v>400</v>
      </c>
      <c r="E396" s="676">
        <f>D262-E395</f>
        <v>64.699590799999996</v>
      </c>
      <c r="F396" s="673" t="str">
        <f>IF(E396&gt;0,"1","0")</f>
        <v>1</v>
      </c>
      <c r="G396" s="673" t="str">
        <f>IF(C407&lt;20,"1","0")</f>
        <v>1</v>
      </c>
      <c r="H396" s="677">
        <f>G403+G400*G401+G402</f>
        <v>3</v>
      </c>
      <c r="I396" s="677">
        <f>G396*G397+J406+G398</f>
        <v>1</v>
      </c>
    </row>
    <row r="397" spans="2:9">
      <c r="B397" s="678"/>
      <c r="C397" s="673"/>
      <c r="D397" s="673"/>
      <c r="E397" s="679">
        <f>E396-E395</f>
        <v>38.699590799999996</v>
      </c>
      <c r="F397" s="673" t="str">
        <f t="shared" ref="F397:F406" si="17">IF(E397&gt;0,"1","0")</f>
        <v>1</v>
      </c>
      <c r="G397" s="673" t="str">
        <f>IF(C407&gt;0,"1","0")</f>
        <v>1</v>
      </c>
      <c r="H397" s="673"/>
      <c r="I397" s="680"/>
    </row>
    <row r="398" spans="2:9">
      <c r="B398" s="678"/>
      <c r="C398" s="673"/>
      <c r="D398" s="673"/>
      <c r="E398" s="679">
        <f>E397-E395</f>
        <v>12.699590799999996</v>
      </c>
      <c r="F398" s="673" t="str">
        <f t="shared" si="17"/>
        <v>1</v>
      </c>
      <c r="G398" s="673" t="str">
        <f>IF(C407=20,"1","0")</f>
        <v>0</v>
      </c>
      <c r="H398" s="673"/>
      <c r="I398" s="680"/>
    </row>
    <row r="399" spans="2:9">
      <c r="B399" s="678"/>
      <c r="C399" s="673"/>
      <c r="D399" s="673"/>
      <c r="E399" s="679">
        <f>E398-E395</f>
        <v>-13.300409200000004</v>
      </c>
      <c r="F399" s="673" t="str">
        <f t="shared" si="17"/>
        <v>0</v>
      </c>
      <c r="G399" s="673"/>
      <c r="H399" s="673"/>
      <c r="I399" s="680"/>
    </row>
    <row r="400" spans="2:9">
      <c r="B400" s="678"/>
      <c r="C400" s="673"/>
      <c r="D400" s="673"/>
      <c r="E400" s="679">
        <f>E399-E395</f>
        <v>-39.300409200000004</v>
      </c>
      <c r="F400" s="673" t="str">
        <f t="shared" si="17"/>
        <v>0</v>
      </c>
      <c r="G400" s="673" t="str">
        <f>IF(C407&gt;20,"1","0")</f>
        <v>0</v>
      </c>
      <c r="H400" s="673"/>
      <c r="I400" s="680"/>
    </row>
    <row r="401" spans="2:9">
      <c r="B401" s="678"/>
      <c r="C401" s="673"/>
      <c r="D401" s="673"/>
      <c r="E401" s="679">
        <f>E400-E395</f>
        <v>-65.300409200000004</v>
      </c>
      <c r="F401" s="673" t="str">
        <f t="shared" si="17"/>
        <v>0</v>
      </c>
      <c r="G401" s="673" t="str">
        <f>IF(C407&lt;38,"1","0")</f>
        <v>1</v>
      </c>
      <c r="H401" s="673"/>
      <c r="I401" s="680"/>
    </row>
    <row r="402" spans="2:9">
      <c r="B402" s="678"/>
      <c r="C402" s="673"/>
      <c r="D402" s="673"/>
      <c r="E402" s="679">
        <f>E401-E395</f>
        <v>-91.300409200000004</v>
      </c>
      <c r="F402" s="673" t="str">
        <f t="shared" si="17"/>
        <v>0</v>
      </c>
      <c r="G402" s="673" t="str">
        <f>IF(C407=38,"1","0")</f>
        <v>0</v>
      </c>
      <c r="H402" s="673"/>
      <c r="I402" s="680"/>
    </row>
    <row r="403" spans="2:9">
      <c r="B403" s="678"/>
      <c r="C403" s="673"/>
      <c r="D403" s="673"/>
      <c r="E403" s="679">
        <f>E402-E395</f>
        <v>-117.3004092</v>
      </c>
      <c r="F403" s="673" t="str">
        <f t="shared" si="17"/>
        <v>0</v>
      </c>
      <c r="G403" s="681">
        <f>G407</f>
        <v>3</v>
      </c>
      <c r="H403" s="673"/>
      <c r="I403" s="680"/>
    </row>
    <row r="404" spans="2:9">
      <c r="B404" s="678"/>
      <c r="C404" s="673"/>
      <c r="D404" s="673"/>
      <c r="E404" s="679">
        <f>E403-E395</f>
        <v>-143.30040919999999</v>
      </c>
      <c r="F404" s="673" t="str">
        <f t="shared" si="17"/>
        <v>0</v>
      </c>
      <c r="G404" s="673"/>
      <c r="H404" s="673"/>
      <c r="I404" s="680"/>
    </row>
    <row r="405" spans="2:9">
      <c r="B405" s="678"/>
      <c r="C405" s="673"/>
      <c r="D405" s="673"/>
      <c r="E405" s="679">
        <f>E404-E395</f>
        <v>-169.30040919999999</v>
      </c>
      <c r="F405" s="673" t="str">
        <f t="shared" si="17"/>
        <v>0</v>
      </c>
      <c r="G405" s="673"/>
      <c r="H405" s="673"/>
      <c r="I405" s="680"/>
    </row>
    <row r="406" spans="2:9">
      <c r="B406" s="678"/>
      <c r="C406" s="673"/>
      <c r="D406" s="673"/>
      <c r="E406" s="679">
        <f>E405-E395</f>
        <v>-195.30040919999999</v>
      </c>
      <c r="F406" s="673" t="str">
        <f t="shared" si="17"/>
        <v>0</v>
      </c>
      <c r="G406" s="673"/>
      <c r="H406" s="673"/>
      <c r="I406" s="680"/>
    </row>
    <row r="407" spans="2:9">
      <c r="B407" s="682"/>
      <c r="C407" s="683">
        <f>D407*E395</f>
        <v>12.699590800000001</v>
      </c>
      <c r="D407" s="683">
        <f>E407-G407</f>
        <v>0.48844580000000004</v>
      </c>
      <c r="E407" s="684">
        <f>D262/E395</f>
        <v>3.4884458</v>
      </c>
      <c r="F407" s="683"/>
      <c r="G407" s="683">
        <f>F396+F397+F398+F399+F400+F401+F402+F403+F404+F405+F406</f>
        <v>3</v>
      </c>
      <c r="H407" s="683"/>
      <c r="I407" s="685"/>
    </row>
    <row r="408" spans="2:9">
      <c r="B408" s="667"/>
      <c r="C408" s="668" t="s">
        <v>381</v>
      </c>
      <c r="D408" s="669"/>
      <c r="E408" s="669"/>
      <c r="F408" s="669"/>
      <c r="G408" s="669" t="s">
        <v>382</v>
      </c>
      <c r="H408" s="669" t="s">
        <v>383</v>
      </c>
      <c r="I408" s="670" t="s">
        <v>384</v>
      </c>
    </row>
    <row r="409" spans="2:9">
      <c r="B409" s="1317" t="str">
        <f>B263</f>
        <v>ОЦБ Листва</v>
      </c>
      <c r="C409" s="1318"/>
      <c r="D409" s="671">
        <f>C263</f>
        <v>240</v>
      </c>
      <c r="E409" s="672">
        <f>K263</f>
        <v>26</v>
      </c>
      <c r="F409" s="672">
        <f>L263</f>
        <v>14</v>
      </c>
      <c r="G409" s="673"/>
      <c r="H409" s="674">
        <f>I263</f>
        <v>30000</v>
      </c>
      <c r="I409" s="674">
        <f>J263</f>
        <v>20000</v>
      </c>
    </row>
    <row r="410" spans="2:9">
      <c r="B410" s="1317" t="s">
        <v>395</v>
      </c>
      <c r="C410" s="1319"/>
      <c r="D410" s="675">
        <v>400</v>
      </c>
      <c r="E410" s="676">
        <f>D263-E409</f>
        <v>76.296349780097188</v>
      </c>
      <c r="F410" s="673" t="str">
        <f>IF(E410&gt;0,"1","0")</f>
        <v>1</v>
      </c>
      <c r="G410" s="673" t="str">
        <f>IF(C421&lt;20,"1","0")</f>
        <v>0</v>
      </c>
      <c r="H410" s="677">
        <f>G417+G414*G415+G416</f>
        <v>4</v>
      </c>
      <c r="I410" s="677">
        <f>G410*G411+J420+G412</f>
        <v>0</v>
      </c>
    </row>
    <row r="411" spans="2:9">
      <c r="B411" s="678"/>
      <c r="C411" s="673"/>
      <c r="D411" s="673"/>
      <c r="E411" s="679">
        <f>E410-E409</f>
        <v>50.296349780097188</v>
      </c>
      <c r="F411" s="673" t="str">
        <f t="shared" ref="F411:F420" si="18">IF(E411&gt;0,"1","0")</f>
        <v>1</v>
      </c>
      <c r="G411" s="673" t="str">
        <f>IF(C421&gt;0,"1","0")</f>
        <v>1</v>
      </c>
      <c r="H411" s="673"/>
      <c r="I411" s="680"/>
    </row>
    <row r="412" spans="2:9">
      <c r="B412" s="678"/>
      <c r="C412" s="673"/>
      <c r="D412" s="673"/>
      <c r="E412" s="679">
        <f>E411-E409</f>
        <v>24.296349780097188</v>
      </c>
      <c r="F412" s="673" t="str">
        <f t="shared" si="18"/>
        <v>1</v>
      </c>
      <c r="G412" s="673" t="str">
        <f>IF(C421=20,"1","0")</f>
        <v>0</v>
      </c>
      <c r="H412" s="673"/>
      <c r="I412" s="680"/>
    </row>
    <row r="413" spans="2:9">
      <c r="B413" s="678"/>
      <c r="C413" s="673"/>
      <c r="D413" s="673"/>
      <c r="E413" s="679">
        <f>E412-E409</f>
        <v>-1.7036502199028121</v>
      </c>
      <c r="F413" s="673" t="str">
        <f t="shared" si="18"/>
        <v>0</v>
      </c>
      <c r="G413" s="673"/>
      <c r="H413" s="673"/>
      <c r="I413" s="680"/>
    </row>
    <row r="414" spans="2:9">
      <c r="B414" s="678"/>
      <c r="C414" s="673"/>
      <c r="D414" s="673"/>
      <c r="E414" s="679">
        <f>E413-E409</f>
        <v>-27.703650219902812</v>
      </c>
      <c r="F414" s="673" t="str">
        <f t="shared" si="18"/>
        <v>0</v>
      </c>
      <c r="G414" s="673" t="str">
        <f>IF(C421&gt;20,"1","0")</f>
        <v>1</v>
      </c>
      <c r="H414" s="673"/>
      <c r="I414" s="680"/>
    </row>
    <row r="415" spans="2:9">
      <c r="B415" s="678"/>
      <c r="C415" s="673"/>
      <c r="D415" s="673"/>
      <c r="E415" s="679">
        <f>E414-E409</f>
        <v>-53.703650219902812</v>
      </c>
      <c r="F415" s="673" t="str">
        <f t="shared" si="18"/>
        <v>0</v>
      </c>
      <c r="G415" s="673" t="str">
        <f>IF(C421&lt;38,"1","0")</f>
        <v>1</v>
      </c>
      <c r="H415" s="673"/>
      <c r="I415" s="680"/>
    </row>
    <row r="416" spans="2:9">
      <c r="B416" s="678"/>
      <c r="C416" s="673"/>
      <c r="D416" s="673"/>
      <c r="E416" s="679">
        <f>E415-E409</f>
        <v>-79.703650219902812</v>
      </c>
      <c r="F416" s="673" t="str">
        <f t="shared" si="18"/>
        <v>0</v>
      </c>
      <c r="G416" s="673" t="str">
        <f>IF(C421=38,"1","0")</f>
        <v>0</v>
      </c>
      <c r="H416" s="673"/>
      <c r="I416" s="680"/>
    </row>
    <row r="417" spans="2:9">
      <c r="B417" s="678"/>
      <c r="C417" s="673"/>
      <c r="D417" s="673"/>
      <c r="E417" s="679">
        <f>E416-E409</f>
        <v>-105.70365021990281</v>
      </c>
      <c r="F417" s="673" t="str">
        <f t="shared" si="18"/>
        <v>0</v>
      </c>
      <c r="G417" s="681">
        <f>G421</f>
        <v>3</v>
      </c>
      <c r="H417" s="673"/>
      <c r="I417" s="680"/>
    </row>
    <row r="418" spans="2:9">
      <c r="B418" s="678"/>
      <c r="C418" s="673"/>
      <c r="D418" s="673"/>
      <c r="E418" s="679">
        <f>E417-E409</f>
        <v>-131.70365021990281</v>
      </c>
      <c r="F418" s="673" t="str">
        <f t="shared" si="18"/>
        <v>0</v>
      </c>
      <c r="G418" s="673"/>
      <c r="H418" s="673"/>
      <c r="I418" s="680"/>
    </row>
    <row r="419" spans="2:9">
      <c r="B419" s="678"/>
      <c r="C419" s="673"/>
      <c r="D419" s="673"/>
      <c r="E419" s="679">
        <f>E418-E409</f>
        <v>-157.70365021990281</v>
      </c>
      <c r="F419" s="673" t="str">
        <f t="shared" si="18"/>
        <v>0</v>
      </c>
      <c r="G419" s="673"/>
      <c r="H419" s="673"/>
      <c r="I419" s="680"/>
    </row>
    <row r="420" spans="2:9">
      <c r="B420" s="678"/>
      <c r="C420" s="673"/>
      <c r="D420" s="673"/>
      <c r="E420" s="679">
        <f>E419-E409</f>
        <v>-183.70365021990281</v>
      </c>
      <c r="F420" s="673" t="str">
        <f t="shared" si="18"/>
        <v>0</v>
      </c>
      <c r="G420" s="673"/>
      <c r="H420" s="673"/>
      <c r="I420" s="680"/>
    </row>
    <row r="421" spans="2:9">
      <c r="B421" s="682"/>
      <c r="C421" s="683">
        <f>D421*E409</f>
        <v>24.296349780097191</v>
      </c>
      <c r="D421" s="683">
        <f>E421-G421</f>
        <v>0.93447499154219971</v>
      </c>
      <c r="E421" s="684">
        <f>D263/E409</f>
        <v>3.9344749915421997</v>
      </c>
      <c r="F421" s="683"/>
      <c r="G421" s="683">
        <f>F410+F411+F412+F413+F414+F415+F416+F417+F418+F419+F420</f>
        <v>3</v>
      </c>
      <c r="H421" s="683"/>
      <c r="I421" s="685"/>
    </row>
    <row r="422" spans="2:9">
      <c r="B422" s="667"/>
      <c r="C422" s="668" t="s">
        <v>381</v>
      </c>
      <c r="D422" s="669"/>
      <c r="E422" s="669"/>
      <c r="F422" s="669"/>
      <c r="G422" s="669" t="s">
        <v>382</v>
      </c>
      <c r="H422" s="669" t="s">
        <v>383</v>
      </c>
      <c r="I422" s="670" t="s">
        <v>384</v>
      </c>
    </row>
    <row r="423" spans="2:9">
      <c r="B423" s="1317" t="str">
        <f>B264</f>
        <v>ОЦБ Листва</v>
      </c>
      <c r="C423" s="1318"/>
      <c r="D423" s="671">
        <f>C264</f>
        <v>260</v>
      </c>
      <c r="E423" s="672">
        <f>K264</f>
        <v>26</v>
      </c>
      <c r="F423" s="672">
        <f>L264</f>
        <v>14</v>
      </c>
      <c r="G423" s="673"/>
      <c r="H423" s="674">
        <f>I264</f>
        <v>30000</v>
      </c>
      <c r="I423" s="674">
        <f>J264</f>
        <v>20000</v>
      </c>
    </row>
    <row r="424" spans="2:9">
      <c r="B424" s="1317" t="s">
        <v>395</v>
      </c>
      <c r="C424" s="1319"/>
      <c r="D424" s="675">
        <v>400</v>
      </c>
      <c r="E424" s="676">
        <f>D264-E423</f>
        <v>87.23786505622661</v>
      </c>
      <c r="F424" s="673" t="str">
        <f>IF(E424&gt;0,"1","0")</f>
        <v>1</v>
      </c>
      <c r="G424" s="673" t="str">
        <f>IF(C435&lt;20,"1","0")</f>
        <v>1</v>
      </c>
      <c r="H424" s="677">
        <f>G431+G428*G429+G430</f>
        <v>4</v>
      </c>
      <c r="I424" s="677">
        <f>G424*G425+J434+G426</f>
        <v>1</v>
      </c>
    </row>
    <row r="425" spans="2:9">
      <c r="B425" s="678"/>
      <c r="C425" s="673"/>
      <c r="D425" s="673"/>
      <c r="E425" s="679">
        <f>E424-E423</f>
        <v>61.23786505622661</v>
      </c>
      <c r="F425" s="673" t="str">
        <f t="shared" ref="F425:F434" si="19">IF(E425&gt;0,"1","0")</f>
        <v>1</v>
      </c>
      <c r="G425" s="673" t="str">
        <f>IF(C435&gt;0,"1","0")</f>
        <v>1</v>
      </c>
      <c r="H425" s="673"/>
      <c r="I425" s="680"/>
    </row>
    <row r="426" spans="2:9">
      <c r="B426" s="678"/>
      <c r="C426" s="673"/>
      <c r="D426" s="673"/>
      <c r="E426" s="679">
        <f>E425-E423</f>
        <v>35.23786505622661</v>
      </c>
      <c r="F426" s="673" t="str">
        <f t="shared" si="19"/>
        <v>1</v>
      </c>
      <c r="G426" s="673" t="str">
        <f>IF(C435=20,"1","0")</f>
        <v>0</v>
      </c>
      <c r="H426" s="673"/>
      <c r="I426" s="680"/>
    </row>
    <row r="427" spans="2:9">
      <c r="B427" s="678"/>
      <c r="C427" s="673"/>
      <c r="D427" s="673"/>
      <c r="E427" s="679">
        <f>E426-E423</f>
        <v>9.2378650562266102</v>
      </c>
      <c r="F427" s="673" t="str">
        <f t="shared" si="19"/>
        <v>1</v>
      </c>
      <c r="G427" s="673"/>
      <c r="H427" s="673"/>
      <c r="I427" s="680"/>
    </row>
    <row r="428" spans="2:9">
      <c r="B428" s="678"/>
      <c r="C428" s="673"/>
      <c r="D428" s="673"/>
      <c r="E428" s="679">
        <f>E427-E423</f>
        <v>-16.76213494377339</v>
      </c>
      <c r="F428" s="673" t="str">
        <f t="shared" si="19"/>
        <v>0</v>
      </c>
      <c r="G428" s="673" t="str">
        <f>IF(C435&gt;20,"1","0")</f>
        <v>0</v>
      </c>
      <c r="H428" s="673"/>
      <c r="I428" s="680"/>
    </row>
    <row r="429" spans="2:9">
      <c r="B429" s="678"/>
      <c r="C429" s="673"/>
      <c r="D429" s="673"/>
      <c r="E429" s="679">
        <f>E428-E423</f>
        <v>-42.76213494377339</v>
      </c>
      <c r="F429" s="673" t="str">
        <f t="shared" si="19"/>
        <v>0</v>
      </c>
      <c r="G429" s="673" t="str">
        <f>IF(C435&lt;38,"1","0")</f>
        <v>1</v>
      </c>
      <c r="H429" s="673"/>
      <c r="I429" s="680"/>
    </row>
    <row r="430" spans="2:9">
      <c r="B430" s="678"/>
      <c r="C430" s="673"/>
      <c r="D430" s="673"/>
      <c r="E430" s="679">
        <f>E429-E423</f>
        <v>-68.76213494377339</v>
      </c>
      <c r="F430" s="673" t="str">
        <f t="shared" si="19"/>
        <v>0</v>
      </c>
      <c r="G430" s="673" t="str">
        <f>IF(C435=38,"1","0")</f>
        <v>0</v>
      </c>
      <c r="H430" s="673"/>
      <c r="I430" s="680"/>
    </row>
    <row r="431" spans="2:9">
      <c r="B431" s="678"/>
      <c r="C431" s="673"/>
      <c r="D431" s="673"/>
      <c r="E431" s="679">
        <f>E430-E423</f>
        <v>-94.76213494377339</v>
      </c>
      <c r="F431" s="673" t="str">
        <f t="shared" si="19"/>
        <v>0</v>
      </c>
      <c r="G431" s="681">
        <f>G435</f>
        <v>4</v>
      </c>
      <c r="H431" s="673"/>
      <c r="I431" s="680"/>
    </row>
    <row r="432" spans="2:9">
      <c r="B432" s="678"/>
      <c r="C432" s="673"/>
      <c r="D432" s="673"/>
      <c r="E432" s="679">
        <f>E431-E423</f>
        <v>-120.76213494377339</v>
      </c>
      <c r="F432" s="673" t="str">
        <f t="shared" si="19"/>
        <v>0</v>
      </c>
      <c r="G432" s="673"/>
      <c r="H432" s="673"/>
      <c r="I432" s="680"/>
    </row>
    <row r="433" spans="2:9">
      <c r="B433" s="678"/>
      <c r="C433" s="673"/>
      <c r="D433" s="673"/>
      <c r="E433" s="679">
        <f>E432-E423</f>
        <v>-146.76213494377339</v>
      </c>
      <c r="F433" s="673" t="str">
        <f t="shared" si="19"/>
        <v>0</v>
      </c>
      <c r="G433" s="673"/>
      <c r="H433" s="673"/>
      <c r="I433" s="680"/>
    </row>
    <row r="434" spans="2:9">
      <c r="B434" s="678"/>
      <c r="C434" s="673"/>
      <c r="D434" s="673"/>
      <c r="E434" s="679">
        <f>E433-E423</f>
        <v>-172.76213494377339</v>
      </c>
      <c r="F434" s="673" t="str">
        <f t="shared" si="19"/>
        <v>0</v>
      </c>
      <c r="G434" s="673"/>
      <c r="H434" s="673"/>
      <c r="I434" s="680"/>
    </row>
    <row r="435" spans="2:9">
      <c r="B435" s="682"/>
      <c r="C435" s="683">
        <f>D435*E423</f>
        <v>9.2378650562266174</v>
      </c>
      <c r="D435" s="683">
        <f>E435-G435</f>
        <v>0.35530250216256221</v>
      </c>
      <c r="E435" s="684">
        <f>D264/E423</f>
        <v>4.3553025021625622</v>
      </c>
      <c r="F435" s="683"/>
      <c r="G435" s="683">
        <f>F424+F425+F426+F427+F428+F429+F430+F431+F432+F433+F434</f>
        <v>4</v>
      </c>
      <c r="H435" s="683"/>
      <c r="I435" s="685"/>
    </row>
    <row r="436" spans="2:9">
      <c r="B436" s="667"/>
      <c r="C436" s="668" t="s">
        <v>381</v>
      </c>
      <c r="D436" s="669"/>
      <c r="E436" s="669"/>
      <c r="F436" s="669"/>
      <c r="G436" s="669" t="s">
        <v>382</v>
      </c>
      <c r="H436" s="669" t="s">
        <v>383</v>
      </c>
      <c r="I436" s="670" t="s">
        <v>384</v>
      </c>
    </row>
    <row r="437" spans="2:9">
      <c r="B437" s="1317" t="str">
        <f>B265</f>
        <v>ОЦБ Листва</v>
      </c>
      <c r="C437" s="1318"/>
      <c r="D437" s="671">
        <f>C265</f>
        <v>280</v>
      </c>
      <c r="E437" s="672">
        <f>K265</f>
        <v>26</v>
      </c>
      <c r="F437" s="672">
        <f>L265</f>
        <v>14</v>
      </c>
      <c r="G437" s="673"/>
      <c r="H437" s="674">
        <f>I265</f>
        <v>30000</v>
      </c>
      <c r="I437" s="674">
        <f>J265</f>
        <v>20000</v>
      </c>
    </row>
    <row r="438" spans="2:9">
      <c r="B438" s="1317" t="s">
        <v>395</v>
      </c>
      <c r="C438" s="1319"/>
      <c r="D438" s="675">
        <v>400</v>
      </c>
      <c r="E438" s="676">
        <f>D265-E437</f>
        <v>97.562553878458189</v>
      </c>
      <c r="F438" s="673" t="str">
        <f>IF(E438&gt;0,"1","0")</f>
        <v>1</v>
      </c>
      <c r="G438" s="673" t="str">
        <f>IF(C449&lt;20,"1","0")</f>
        <v>1</v>
      </c>
      <c r="H438" s="677">
        <f>G445+G442*G443+G444</f>
        <v>4</v>
      </c>
      <c r="I438" s="677">
        <f>G438*G439+J448+G440</f>
        <v>1</v>
      </c>
    </row>
    <row r="439" spans="2:9">
      <c r="B439" s="678"/>
      <c r="C439" s="673"/>
      <c r="D439" s="673"/>
      <c r="E439" s="679">
        <f>E438-E437</f>
        <v>71.562553878458189</v>
      </c>
      <c r="F439" s="673" t="str">
        <f t="shared" ref="F439:F448" si="20">IF(E439&gt;0,"1","0")</f>
        <v>1</v>
      </c>
      <c r="G439" s="673" t="str">
        <f>IF(C449&gt;0,"1","0")</f>
        <v>1</v>
      </c>
      <c r="H439" s="673"/>
      <c r="I439" s="680"/>
    </row>
    <row r="440" spans="2:9">
      <c r="B440" s="678"/>
      <c r="C440" s="673"/>
      <c r="D440" s="673"/>
      <c r="E440" s="679">
        <f>E439-E437</f>
        <v>45.562553878458189</v>
      </c>
      <c r="F440" s="673" t="str">
        <f t="shared" si="20"/>
        <v>1</v>
      </c>
      <c r="G440" s="673" t="str">
        <f>IF(C449=20,"1","0")</f>
        <v>0</v>
      </c>
      <c r="H440" s="673"/>
      <c r="I440" s="680"/>
    </row>
    <row r="441" spans="2:9">
      <c r="B441" s="678"/>
      <c r="C441" s="673"/>
      <c r="D441" s="673"/>
      <c r="E441" s="679">
        <f>E440-E437</f>
        <v>19.562553878458189</v>
      </c>
      <c r="F441" s="673" t="str">
        <f t="shared" si="20"/>
        <v>1</v>
      </c>
      <c r="G441" s="673"/>
      <c r="H441" s="673"/>
      <c r="I441" s="680"/>
    </row>
    <row r="442" spans="2:9">
      <c r="B442" s="678"/>
      <c r="C442" s="673"/>
      <c r="D442" s="673"/>
      <c r="E442" s="679">
        <f>E441-E437</f>
        <v>-6.4374461215418108</v>
      </c>
      <c r="F442" s="673" t="str">
        <f t="shared" si="20"/>
        <v>0</v>
      </c>
      <c r="G442" s="673" t="str">
        <f>IF(C449&gt;20,"1","0")</f>
        <v>0</v>
      </c>
      <c r="H442" s="673"/>
      <c r="I442" s="680"/>
    </row>
    <row r="443" spans="2:9">
      <c r="B443" s="678"/>
      <c r="C443" s="673"/>
      <c r="D443" s="673"/>
      <c r="E443" s="679">
        <f>E442-E437</f>
        <v>-32.437446121541811</v>
      </c>
      <c r="F443" s="673" t="str">
        <f t="shared" si="20"/>
        <v>0</v>
      </c>
      <c r="G443" s="673" t="str">
        <f>IF(C449&lt;38,"1","0")</f>
        <v>1</v>
      </c>
      <c r="H443" s="673"/>
      <c r="I443" s="680"/>
    </row>
    <row r="444" spans="2:9">
      <c r="B444" s="678"/>
      <c r="C444" s="673"/>
      <c r="D444" s="673"/>
      <c r="E444" s="679">
        <f>E443-E437</f>
        <v>-58.437446121541811</v>
      </c>
      <c r="F444" s="673" t="str">
        <f t="shared" si="20"/>
        <v>0</v>
      </c>
      <c r="G444" s="673" t="str">
        <f>IF(C449=38,"1","0")</f>
        <v>0</v>
      </c>
      <c r="H444" s="673"/>
      <c r="I444" s="680"/>
    </row>
    <row r="445" spans="2:9">
      <c r="B445" s="678"/>
      <c r="C445" s="673"/>
      <c r="D445" s="673"/>
      <c r="E445" s="679">
        <f>E444-E437</f>
        <v>-84.437446121541811</v>
      </c>
      <c r="F445" s="673" t="str">
        <f t="shared" si="20"/>
        <v>0</v>
      </c>
      <c r="G445" s="681">
        <f>G449</f>
        <v>4</v>
      </c>
      <c r="H445" s="673"/>
      <c r="I445" s="680"/>
    </row>
    <row r="446" spans="2:9">
      <c r="B446" s="678"/>
      <c r="C446" s="673"/>
      <c r="D446" s="673"/>
      <c r="E446" s="679">
        <f>E445-E437</f>
        <v>-110.43744612154181</v>
      </c>
      <c r="F446" s="673" t="str">
        <f t="shared" si="20"/>
        <v>0</v>
      </c>
      <c r="G446" s="673"/>
      <c r="H446" s="673"/>
      <c r="I446" s="680"/>
    </row>
    <row r="447" spans="2:9">
      <c r="B447" s="678"/>
      <c r="C447" s="673"/>
      <c r="D447" s="673"/>
      <c r="E447" s="679">
        <f>E446-E437</f>
        <v>-136.43744612154183</v>
      </c>
      <c r="F447" s="673" t="str">
        <f t="shared" si="20"/>
        <v>0</v>
      </c>
      <c r="G447" s="673"/>
      <c r="H447" s="673"/>
      <c r="I447" s="680"/>
    </row>
    <row r="448" spans="2:9">
      <c r="B448" s="678"/>
      <c r="C448" s="673"/>
      <c r="D448" s="673"/>
      <c r="E448" s="679">
        <f>E447-E437</f>
        <v>-162.43744612154183</v>
      </c>
      <c r="F448" s="673" t="str">
        <f t="shared" si="20"/>
        <v>0</v>
      </c>
      <c r="G448" s="673"/>
      <c r="H448" s="673"/>
      <c r="I448" s="680"/>
    </row>
    <row r="449" spans="2:9">
      <c r="B449" s="682"/>
      <c r="C449" s="683">
        <f>D449*E437</f>
        <v>19.562553878458196</v>
      </c>
      <c r="D449" s="683">
        <f>E449-G449</f>
        <v>0.75240591840223825</v>
      </c>
      <c r="E449" s="684">
        <f>D265/E437</f>
        <v>4.7524059184022382</v>
      </c>
      <c r="F449" s="683"/>
      <c r="G449" s="683">
        <f>F438+F439+F440+F441+F442+F443+F444+F445+F446+F447+F448</f>
        <v>4</v>
      </c>
      <c r="H449" s="683"/>
      <c r="I449" s="685"/>
    </row>
    <row r="450" spans="2:9">
      <c r="B450" s="667"/>
      <c r="C450" s="668" t="s">
        <v>381</v>
      </c>
      <c r="D450" s="669"/>
      <c r="E450" s="669"/>
      <c r="F450" s="669"/>
      <c r="G450" s="669" t="s">
        <v>382</v>
      </c>
      <c r="H450" s="669" t="s">
        <v>383</v>
      </c>
      <c r="I450" s="670" t="s">
        <v>384</v>
      </c>
    </row>
    <row r="451" spans="2:9">
      <c r="B451" s="1317" t="str">
        <f>B266</f>
        <v>ОЦБ Листва</v>
      </c>
      <c r="C451" s="1318"/>
      <c r="D451" s="671">
        <f>C266</f>
        <v>300</v>
      </c>
      <c r="E451" s="672">
        <f>K266</f>
        <v>26</v>
      </c>
      <c r="F451" s="672">
        <f>L266</f>
        <v>14</v>
      </c>
      <c r="G451" s="673"/>
      <c r="H451" s="674">
        <f>I266</f>
        <v>30000</v>
      </c>
      <c r="I451" s="674">
        <f>J266</f>
        <v>20000</v>
      </c>
    </row>
    <row r="452" spans="2:9">
      <c r="B452" s="1317" t="s">
        <v>395</v>
      </c>
      <c r="C452" s="1319"/>
      <c r="D452" s="675">
        <v>400</v>
      </c>
      <c r="E452" s="676">
        <f>D266-E451</f>
        <v>107.67899085214921</v>
      </c>
      <c r="F452" s="673" t="str">
        <f>IF(E452&gt;0,"1","0")</f>
        <v>1</v>
      </c>
      <c r="G452" s="673" t="str">
        <f>IF(C463&lt;20,"1","0")</f>
        <v>1</v>
      </c>
      <c r="H452" s="677">
        <f>G459+G456*G457+G458</f>
        <v>5</v>
      </c>
      <c r="I452" s="677">
        <f>G452*G453+J462+G454</f>
        <v>1</v>
      </c>
    </row>
    <row r="453" spans="2:9">
      <c r="B453" s="678"/>
      <c r="C453" s="673"/>
      <c r="D453" s="673"/>
      <c r="E453" s="679">
        <f>E452-E451</f>
        <v>81.678990852149212</v>
      </c>
      <c r="F453" s="673" t="str">
        <f t="shared" ref="F453:F462" si="21">IF(E453&gt;0,"1","0")</f>
        <v>1</v>
      </c>
      <c r="G453" s="673" t="str">
        <f>IF(C463&gt;0,"1","0")</f>
        <v>1</v>
      </c>
      <c r="H453" s="673"/>
      <c r="I453" s="680"/>
    </row>
    <row r="454" spans="2:9">
      <c r="B454" s="678"/>
      <c r="C454" s="673"/>
      <c r="D454" s="673"/>
      <c r="E454" s="679">
        <f>E453-E451</f>
        <v>55.678990852149212</v>
      </c>
      <c r="F454" s="673" t="str">
        <f t="shared" si="21"/>
        <v>1</v>
      </c>
      <c r="G454" s="673" t="str">
        <f>IF(C463=20,"1","0")</f>
        <v>0</v>
      </c>
      <c r="H454" s="673"/>
      <c r="I454" s="680"/>
    </row>
    <row r="455" spans="2:9">
      <c r="B455" s="678"/>
      <c r="C455" s="673"/>
      <c r="D455" s="673"/>
      <c r="E455" s="679">
        <f>E454-E451</f>
        <v>29.678990852149212</v>
      </c>
      <c r="F455" s="673" t="str">
        <f t="shared" si="21"/>
        <v>1</v>
      </c>
      <c r="G455" s="673"/>
      <c r="H455" s="673"/>
      <c r="I455" s="680"/>
    </row>
    <row r="456" spans="2:9">
      <c r="B456" s="678"/>
      <c r="C456" s="673"/>
      <c r="D456" s="673"/>
      <c r="E456" s="679">
        <f>E455-E451</f>
        <v>3.6789908521492123</v>
      </c>
      <c r="F456" s="673" t="str">
        <f t="shared" si="21"/>
        <v>1</v>
      </c>
      <c r="G456" s="673" t="str">
        <f>IF(C463&gt;20,"1","0")</f>
        <v>0</v>
      </c>
      <c r="H456" s="673"/>
      <c r="I456" s="680"/>
    </row>
    <row r="457" spans="2:9">
      <c r="B457" s="678"/>
      <c r="C457" s="673"/>
      <c r="D457" s="673"/>
      <c r="E457" s="679">
        <f>E456-E451</f>
        <v>-22.321009147850788</v>
      </c>
      <c r="F457" s="673" t="str">
        <f t="shared" si="21"/>
        <v>0</v>
      </c>
      <c r="G457" s="673" t="str">
        <f>IF(C463&lt;38,"1","0")</f>
        <v>1</v>
      </c>
      <c r="H457" s="673"/>
      <c r="I457" s="680"/>
    </row>
    <row r="458" spans="2:9">
      <c r="B458" s="678"/>
      <c r="C458" s="673"/>
      <c r="D458" s="673"/>
      <c r="E458" s="679">
        <f>E457-E451</f>
        <v>-48.321009147850788</v>
      </c>
      <c r="F458" s="673" t="str">
        <f t="shared" si="21"/>
        <v>0</v>
      </c>
      <c r="G458" s="673" t="str">
        <f>IF(C463=38,"1","0")</f>
        <v>0</v>
      </c>
      <c r="H458" s="673"/>
      <c r="I458" s="680"/>
    </row>
    <row r="459" spans="2:9">
      <c r="B459" s="678"/>
      <c r="C459" s="673"/>
      <c r="D459" s="673"/>
      <c r="E459" s="679">
        <f>E458-E451</f>
        <v>-74.321009147850788</v>
      </c>
      <c r="F459" s="673" t="str">
        <f t="shared" si="21"/>
        <v>0</v>
      </c>
      <c r="G459" s="681">
        <f>G463</f>
        <v>5</v>
      </c>
      <c r="H459" s="673"/>
      <c r="I459" s="680"/>
    </row>
    <row r="460" spans="2:9">
      <c r="B460" s="678"/>
      <c r="C460" s="673"/>
      <c r="D460" s="673"/>
      <c r="E460" s="679">
        <f>E459-E451</f>
        <v>-100.32100914785079</v>
      </c>
      <c r="F460" s="673" t="str">
        <f t="shared" si="21"/>
        <v>0</v>
      </c>
      <c r="G460" s="673"/>
      <c r="H460" s="673"/>
      <c r="I460" s="680"/>
    </row>
    <row r="461" spans="2:9">
      <c r="B461" s="678"/>
      <c r="C461" s="673"/>
      <c r="D461" s="673"/>
      <c r="E461" s="679">
        <f>E460-E451</f>
        <v>-126.32100914785079</v>
      </c>
      <c r="F461" s="673" t="str">
        <f t="shared" si="21"/>
        <v>0</v>
      </c>
      <c r="G461" s="673"/>
      <c r="H461" s="673"/>
      <c r="I461" s="680"/>
    </row>
    <row r="462" spans="2:9">
      <c r="B462" s="678"/>
      <c r="C462" s="673"/>
      <c r="D462" s="673"/>
      <c r="E462" s="679">
        <f>E461-E451</f>
        <v>-152.32100914785079</v>
      </c>
      <c r="F462" s="673" t="str">
        <f t="shared" si="21"/>
        <v>0</v>
      </c>
      <c r="G462" s="673"/>
      <c r="H462" s="673"/>
      <c r="I462" s="680"/>
    </row>
    <row r="463" spans="2:9">
      <c r="B463" s="682"/>
      <c r="C463" s="683">
        <f>D463*E451</f>
        <v>3.6789908521492141</v>
      </c>
      <c r="D463" s="683">
        <f>E463-G463</f>
        <v>0.14149964815958516</v>
      </c>
      <c r="E463" s="684">
        <f>D266/E451</f>
        <v>5.1414996481595852</v>
      </c>
      <c r="F463" s="683"/>
      <c r="G463" s="683">
        <f>F452+F453+F454+F455+F456+F457+F458+F459+F460+F461+F462</f>
        <v>5</v>
      </c>
      <c r="H463" s="683"/>
      <c r="I463" s="685"/>
    </row>
    <row r="464" spans="2:9">
      <c r="B464" s="667"/>
      <c r="C464" s="668" t="s">
        <v>381</v>
      </c>
      <c r="D464" s="669"/>
      <c r="E464" s="669"/>
      <c r="F464" s="669"/>
      <c r="G464" s="669" t="s">
        <v>382</v>
      </c>
      <c r="H464" s="669" t="s">
        <v>383</v>
      </c>
      <c r="I464" s="670" t="s">
        <v>384</v>
      </c>
    </row>
    <row r="465" spans="2:9">
      <c r="B465" s="1317" t="str">
        <f>B268</f>
        <v>ОЦБ Кедр</v>
      </c>
      <c r="C465" s="1318"/>
      <c r="D465" s="671">
        <f>C268</f>
        <v>200</v>
      </c>
      <c r="E465" s="672">
        <f>K268</f>
        <v>32</v>
      </c>
      <c r="F465" s="672">
        <f>L268</f>
        <v>19</v>
      </c>
      <c r="G465" s="673"/>
      <c r="H465" s="674">
        <f>I268</f>
        <v>30000</v>
      </c>
      <c r="I465" s="674">
        <f>J268</f>
        <v>20000</v>
      </c>
    </row>
    <row r="466" spans="2:9">
      <c r="B466" s="1317" t="s">
        <v>395</v>
      </c>
      <c r="C466" s="1319"/>
      <c r="D466" s="675">
        <v>400</v>
      </c>
      <c r="E466" s="676">
        <f>D268-E465</f>
        <v>50.599999999999994</v>
      </c>
      <c r="F466" s="673" t="str">
        <f>IF(E466&gt;0,"1","0")</f>
        <v>1</v>
      </c>
      <c r="G466" s="673" t="str">
        <f>IF(C477&lt;20,"1","0")</f>
        <v>1</v>
      </c>
      <c r="H466" s="677">
        <f>G473+G470*G471+G472</f>
        <v>2</v>
      </c>
      <c r="I466" s="677">
        <f>G466*G467+J476+G468</f>
        <v>1</v>
      </c>
    </row>
    <row r="467" spans="2:9">
      <c r="B467" s="678"/>
      <c r="C467" s="673"/>
      <c r="D467" s="673"/>
      <c r="E467" s="679">
        <f>E466-E465</f>
        <v>18.599999999999994</v>
      </c>
      <c r="F467" s="673" t="str">
        <f t="shared" ref="F467:F476" si="22">IF(E467&gt;0,"1","0")</f>
        <v>1</v>
      </c>
      <c r="G467" s="673" t="str">
        <f>IF(C477&gt;0,"1","0")</f>
        <v>1</v>
      </c>
      <c r="H467" s="673"/>
      <c r="I467" s="680"/>
    </row>
    <row r="468" spans="2:9">
      <c r="B468" s="678"/>
      <c r="C468" s="673"/>
      <c r="D468" s="673"/>
      <c r="E468" s="679">
        <f>E467-E465</f>
        <v>-13.400000000000006</v>
      </c>
      <c r="F468" s="673" t="str">
        <f t="shared" si="22"/>
        <v>0</v>
      </c>
      <c r="G468" s="673" t="str">
        <f>IF(C477=20,"1","0")</f>
        <v>0</v>
      </c>
      <c r="H468" s="673"/>
      <c r="I468" s="680"/>
    </row>
    <row r="469" spans="2:9">
      <c r="B469" s="678"/>
      <c r="C469" s="673"/>
      <c r="D469" s="673"/>
      <c r="E469" s="679">
        <f>E468-E465</f>
        <v>-45.400000000000006</v>
      </c>
      <c r="F469" s="673" t="str">
        <f t="shared" si="22"/>
        <v>0</v>
      </c>
      <c r="G469" s="673"/>
      <c r="H469" s="673"/>
      <c r="I469" s="680"/>
    </row>
    <row r="470" spans="2:9">
      <c r="B470" s="678"/>
      <c r="C470" s="673"/>
      <c r="D470" s="673"/>
      <c r="E470" s="679">
        <f>E469-E465</f>
        <v>-77.400000000000006</v>
      </c>
      <c r="F470" s="673" t="str">
        <f t="shared" si="22"/>
        <v>0</v>
      </c>
      <c r="G470" s="673" t="str">
        <f>IF(C477&gt;20,"1","0")</f>
        <v>0</v>
      </c>
      <c r="H470" s="673"/>
      <c r="I470" s="680"/>
    </row>
    <row r="471" spans="2:9">
      <c r="B471" s="678"/>
      <c r="C471" s="673"/>
      <c r="D471" s="673"/>
      <c r="E471" s="679">
        <f>E470-E465</f>
        <v>-109.4</v>
      </c>
      <c r="F471" s="673" t="str">
        <f t="shared" si="22"/>
        <v>0</v>
      </c>
      <c r="G471" s="673" t="str">
        <f>IF(C477&lt;38,"1","0")</f>
        <v>1</v>
      </c>
      <c r="H471" s="673"/>
      <c r="I471" s="680"/>
    </row>
    <row r="472" spans="2:9">
      <c r="B472" s="678"/>
      <c r="C472" s="673"/>
      <c r="D472" s="673"/>
      <c r="E472" s="679">
        <f>E471-E465</f>
        <v>-141.4</v>
      </c>
      <c r="F472" s="673" t="str">
        <f t="shared" si="22"/>
        <v>0</v>
      </c>
      <c r="G472" s="673" t="str">
        <f>IF(C477=38,"1","0")</f>
        <v>0</v>
      </c>
      <c r="H472" s="673"/>
      <c r="I472" s="680"/>
    </row>
    <row r="473" spans="2:9">
      <c r="B473" s="678"/>
      <c r="C473" s="673"/>
      <c r="D473" s="673"/>
      <c r="E473" s="679">
        <f>E472-E465</f>
        <v>-173.4</v>
      </c>
      <c r="F473" s="673" t="str">
        <f t="shared" si="22"/>
        <v>0</v>
      </c>
      <c r="G473" s="681">
        <f>G477</f>
        <v>2</v>
      </c>
      <c r="H473" s="673"/>
      <c r="I473" s="680"/>
    </row>
    <row r="474" spans="2:9">
      <c r="B474" s="678"/>
      <c r="C474" s="673"/>
      <c r="D474" s="673"/>
      <c r="E474" s="679">
        <f>E473-E465</f>
        <v>-205.4</v>
      </c>
      <c r="F474" s="673" t="str">
        <f t="shared" si="22"/>
        <v>0</v>
      </c>
      <c r="G474" s="673"/>
      <c r="H474" s="673"/>
      <c r="I474" s="680"/>
    </row>
    <row r="475" spans="2:9">
      <c r="B475" s="678"/>
      <c r="C475" s="673"/>
      <c r="D475" s="673"/>
      <c r="E475" s="679">
        <f>E474-E465</f>
        <v>-237.4</v>
      </c>
      <c r="F475" s="673" t="str">
        <f t="shared" si="22"/>
        <v>0</v>
      </c>
      <c r="G475" s="673"/>
      <c r="H475" s="673"/>
      <c r="I475" s="680"/>
    </row>
    <row r="476" spans="2:9">
      <c r="B476" s="678"/>
      <c r="C476" s="673"/>
      <c r="D476" s="673"/>
      <c r="E476" s="679">
        <f>E475-E465</f>
        <v>-269.39999999999998</v>
      </c>
      <c r="F476" s="673" t="str">
        <f t="shared" si="22"/>
        <v>0</v>
      </c>
      <c r="G476" s="673"/>
      <c r="H476" s="673"/>
      <c r="I476" s="680"/>
    </row>
    <row r="477" spans="2:9">
      <c r="B477" s="682"/>
      <c r="C477" s="683">
        <f>D477*E465</f>
        <v>18.599999999999994</v>
      </c>
      <c r="D477" s="683">
        <f>E477-G477</f>
        <v>0.58124999999999982</v>
      </c>
      <c r="E477" s="684">
        <f>D268/E465</f>
        <v>2.5812499999999998</v>
      </c>
      <c r="F477" s="683"/>
      <c r="G477" s="683">
        <f>F466+F467+F468+F469+F470+F471+F472+F473+F474+F475+F476</f>
        <v>2</v>
      </c>
      <c r="H477" s="683"/>
      <c r="I477" s="685"/>
    </row>
    <row r="478" spans="2:9">
      <c r="B478" s="667"/>
      <c r="C478" s="668" t="s">
        <v>381</v>
      </c>
      <c r="D478" s="669"/>
      <c r="E478" s="669"/>
      <c r="F478" s="669"/>
      <c r="G478" s="669" t="s">
        <v>382</v>
      </c>
      <c r="H478" s="669" t="s">
        <v>383</v>
      </c>
      <c r="I478" s="670" t="s">
        <v>384</v>
      </c>
    </row>
    <row r="479" spans="2:9">
      <c r="B479" s="1317" t="str">
        <f>B269</f>
        <v>ОЦБ Кедр</v>
      </c>
      <c r="C479" s="1318"/>
      <c r="D479" s="671">
        <f>C269</f>
        <v>220</v>
      </c>
      <c r="E479" s="672">
        <f>K269</f>
        <v>32</v>
      </c>
      <c r="F479" s="672">
        <f>L269</f>
        <v>19</v>
      </c>
      <c r="G479" s="673"/>
      <c r="H479" s="674">
        <f>I269</f>
        <v>30000</v>
      </c>
      <c r="I479" s="674">
        <f>J269</f>
        <v>20000</v>
      </c>
    </row>
    <row r="480" spans="2:9">
      <c r="B480" s="1317" t="s">
        <v>395</v>
      </c>
      <c r="C480" s="1319"/>
      <c r="D480" s="675">
        <v>400</v>
      </c>
      <c r="E480" s="676">
        <f>D269-E479</f>
        <v>58.699590799999996</v>
      </c>
      <c r="F480" s="673" t="str">
        <f>IF(E480&gt;0,"1","0")</f>
        <v>1</v>
      </c>
      <c r="G480" s="673" t="str">
        <f>IF(C491&lt;20,"1","0")</f>
        <v>0</v>
      </c>
      <c r="H480" s="677">
        <f>G487+G484*G485+G486</f>
        <v>3</v>
      </c>
      <c r="I480" s="677">
        <f>G480*G481+J490+G482</f>
        <v>0</v>
      </c>
    </row>
    <row r="481" spans="2:9">
      <c r="B481" s="678"/>
      <c r="C481" s="673"/>
      <c r="D481" s="673"/>
      <c r="E481" s="679">
        <f>E480-E479</f>
        <v>26.699590799999996</v>
      </c>
      <c r="F481" s="673" t="str">
        <f t="shared" ref="F481:F490" si="23">IF(E481&gt;0,"1","0")</f>
        <v>1</v>
      </c>
      <c r="G481" s="673" t="str">
        <f>IF(C491&gt;0,"1","0")</f>
        <v>1</v>
      </c>
      <c r="H481" s="673"/>
      <c r="I481" s="680"/>
    </row>
    <row r="482" spans="2:9">
      <c r="B482" s="678"/>
      <c r="C482" s="673"/>
      <c r="D482" s="673"/>
      <c r="E482" s="679">
        <f>E481-E479</f>
        <v>-5.3004092000000043</v>
      </c>
      <c r="F482" s="673" t="str">
        <f t="shared" si="23"/>
        <v>0</v>
      </c>
      <c r="G482" s="673" t="str">
        <f>IF(C491=20,"1","0")</f>
        <v>0</v>
      </c>
      <c r="H482" s="673"/>
      <c r="I482" s="680"/>
    </row>
    <row r="483" spans="2:9">
      <c r="B483" s="678"/>
      <c r="C483" s="673"/>
      <c r="D483" s="673"/>
      <c r="E483" s="679">
        <f>E482-E479</f>
        <v>-37.300409200000004</v>
      </c>
      <c r="F483" s="673" t="str">
        <f t="shared" si="23"/>
        <v>0</v>
      </c>
      <c r="G483" s="673"/>
      <c r="H483" s="673"/>
      <c r="I483" s="680"/>
    </row>
    <row r="484" spans="2:9">
      <c r="B484" s="678"/>
      <c r="C484" s="673"/>
      <c r="D484" s="673"/>
      <c r="E484" s="679">
        <f>E483-E479</f>
        <v>-69.300409200000004</v>
      </c>
      <c r="F484" s="673" t="str">
        <f t="shared" si="23"/>
        <v>0</v>
      </c>
      <c r="G484" s="673" t="str">
        <f>IF(C491&gt;20,"1","0")</f>
        <v>1</v>
      </c>
      <c r="H484" s="673"/>
      <c r="I484" s="680"/>
    </row>
    <row r="485" spans="2:9">
      <c r="B485" s="678"/>
      <c r="C485" s="673"/>
      <c r="D485" s="673"/>
      <c r="E485" s="679">
        <f>E484-E479</f>
        <v>-101.3004092</v>
      </c>
      <c r="F485" s="673" t="str">
        <f t="shared" si="23"/>
        <v>0</v>
      </c>
      <c r="G485" s="673" t="str">
        <f>IF(C491&lt;38,"1","0")</f>
        <v>1</v>
      </c>
      <c r="H485" s="673"/>
      <c r="I485" s="680"/>
    </row>
    <row r="486" spans="2:9">
      <c r="B486" s="678"/>
      <c r="C486" s="673"/>
      <c r="D486" s="673"/>
      <c r="E486" s="679">
        <f>E485-E479</f>
        <v>-133.30040919999999</v>
      </c>
      <c r="F486" s="673" t="str">
        <f t="shared" si="23"/>
        <v>0</v>
      </c>
      <c r="G486" s="673" t="str">
        <f>IF(C491=38,"1","0")</f>
        <v>0</v>
      </c>
      <c r="H486" s="673"/>
      <c r="I486" s="680"/>
    </row>
    <row r="487" spans="2:9">
      <c r="B487" s="678"/>
      <c r="C487" s="673"/>
      <c r="D487" s="673"/>
      <c r="E487" s="679">
        <f>E486-E479</f>
        <v>-165.30040919999999</v>
      </c>
      <c r="F487" s="673" t="str">
        <f t="shared" si="23"/>
        <v>0</v>
      </c>
      <c r="G487" s="681">
        <f>G491</f>
        <v>2</v>
      </c>
      <c r="H487" s="673"/>
      <c r="I487" s="680"/>
    </row>
    <row r="488" spans="2:9">
      <c r="B488" s="678"/>
      <c r="C488" s="673"/>
      <c r="D488" s="673"/>
      <c r="E488" s="679">
        <f>E487-E479</f>
        <v>-197.30040919999999</v>
      </c>
      <c r="F488" s="673" t="str">
        <f t="shared" si="23"/>
        <v>0</v>
      </c>
      <c r="G488" s="673"/>
      <c r="H488" s="673"/>
      <c r="I488" s="680"/>
    </row>
    <row r="489" spans="2:9">
      <c r="B489" s="678"/>
      <c r="C489" s="673"/>
      <c r="D489" s="673"/>
      <c r="E489" s="679">
        <f>E488-E479</f>
        <v>-229.30040919999999</v>
      </c>
      <c r="F489" s="673" t="str">
        <f t="shared" si="23"/>
        <v>0</v>
      </c>
      <c r="G489" s="673"/>
      <c r="H489" s="673"/>
      <c r="I489" s="680"/>
    </row>
    <row r="490" spans="2:9">
      <c r="B490" s="678"/>
      <c r="C490" s="673"/>
      <c r="D490" s="673"/>
      <c r="E490" s="679">
        <f>E489-E479</f>
        <v>-261.30040919999999</v>
      </c>
      <c r="F490" s="673" t="str">
        <f t="shared" si="23"/>
        <v>0</v>
      </c>
      <c r="G490" s="673"/>
      <c r="H490" s="673"/>
      <c r="I490" s="680"/>
    </row>
    <row r="491" spans="2:9">
      <c r="B491" s="682"/>
      <c r="C491" s="683">
        <f>D491*E479</f>
        <v>26.699590799999996</v>
      </c>
      <c r="D491" s="683">
        <f>E491-G491</f>
        <v>0.83436221249999987</v>
      </c>
      <c r="E491" s="684">
        <f>D269/E479</f>
        <v>2.8343622124999999</v>
      </c>
      <c r="F491" s="683"/>
      <c r="G491" s="683">
        <f>F480+F481+F482+F483+F484+F485+F486+F487+F488+F489+F490</f>
        <v>2</v>
      </c>
      <c r="H491" s="683"/>
      <c r="I491" s="685"/>
    </row>
    <row r="492" spans="2:9">
      <c r="B492" s="667"/>
      <c r="C492" s="668" t="s">
        <v>381</v>
      </c>
      <c r="D492" s="669"/>
      <c r="E492" s="669"/>
      <c r="F492" s="669"/>
      <c r="G492" s="669" t="s">
        <v>382</v>
      </c>
      <c r="H492" s="669" t="s">
        <v>383</v>
      </c>
      <c r="I492" s="670" t="s">
        <v>384</v>
      </c>
    </row>
    <row r="493" spans="2:9">
      <c r="B493" s="1317" t="str">
        <f>B270</f>
        <v>ОЦБ Кедр</v>
      </c>
      <c r="C493" s="1318"/>
      <c r="D493" s="671">
        <f>C270</f>
        <v>240</v>
      </c>
      <c r="E493" s="672">
        <f>K270</f>
        <v>32</v>
      </c>
      <c r="F493" s="672">
        <f>L270</f>
        <v>19</v>
      </c>
      <c r="G493" s="673"/>
      <c r="H493" s="674">
        <f>I270</f>
        <v>30000</v>
      </c>
      <c r="I493" s="674">
        <f>J270</f>
        <v>20000</v>
      </c>
    </row>
    <row r="494" spans="2:9">
      <c r="B494" s="1317" t="s">
        <v>395</v>
      </c>
      <c r="C494" s="1319"/>
      <c r="D494" s="675">
        <v>400</v>
      </c>
      <c r="E494" s="676">
        <f>D270-E493</f>
        <v>70.296349780097188</v>
      </c>
      <c r="F494" s="673" t="str">
        <f>IF(E494&gt;0,"1","0")</f>
        <v>1</v>
      </c>
      <c r="G494" s="673" t="str">
        <f>IF(C505&lt;20,"1","0")</f>
        <v>1</v>
      </c>
      <c r="H494" s="677">
        <f>G501+G498*G499+G500</f>
        <v>3</v>
      </c>
      <c r="I494" s="677">
        <f>G494*G495+J504+G496</f>
        <v>1</v>
      </c>
    </row>
    <row r="495" spans="2:9">
      <c r="B495" s="678"/>
      <c r="C495" s="673"/>
      <c r="D495" s="673"/>
      <c r="E495" s="679">
        <f>E494-E493</f>
        <v>38.296349780097188</v>
      </c>
      <c r="F495" s="673" t="str">
        <f t="shared" ref="F495:F504" si="24">IF(E495&gt;0,"1","0")</f>
        <v>1</v>
      </c>
      <c r="G495" s="673" t="str">
        <f>IF(C505&gt;0,"1","0")</f>
        <v>1</v>
      </c>
      <c r="H495" s="673"/>
      <c r="I495" s="680"/>
    </row>
    <row r="496" spans="2:9">
      <c r="B496" s="678"/>
      <c r="C496" s="673"/>
      <c r="D496" s="673"/>
      <c r="E496" s="679">
        <f>E495-E493</f>
        <v>6.2963497800971879</v>
      </c>
      <c r="F496" s="673" t="str">
        <f t="shared" si="24"/>
        <v>1</v>
      </c>
      <c r="G496" s="673" t="str">
        <f>IF(C505=20,"1","0")</f>
        <v>0</v>
      </c>
      <c r="H496" s="673"/>
      <c r="I496" s="680"/>
    </row>
    <row r="497" spans="2:9">
      <c r="B497" s="678"/>
      <c r="C497" s="673"/>
      <c r="D497" s="673"/>
      <c r="E497" s="679">
        <f>E496-E493</f>
        <v>-25.703650219902812</v>
      </c>
      <c r="F497" s="673" t="str">
        <f t="shared" si="24"/>
        <v>0</v>
      </c>
      <c r="G497" s="673"/>
      <c r="H497" s="673"/>
      <c r="I497" s="680"/>
    </row>
    <row r="498" spans="2:9">
      <c r="B498" s="678"/>
      <c r="C498" s="673"/>
      <c r="D498" s="673"/>
      <c r="E498" s="679">
        <f>E497-E493</f>
        <v>-57.703650219902812</v>
      </c>
      <c r="F498" s="673" t="str">
        <f t="shared" si="24"/>
        <v>0</v>
      </c>
      <c r="G498" s="673" t="str">
        <f>IF(C505&gt;20,"1","0")</f>
        <v>0</v>
      </c>
      <c r="H498" s="673"/>
      <c r="I498" s="680"/>
    </row>
    <row r="499" spans="2:9">
      <c r="B499" s="678"/>
      <c r="C499" s="673"/>
      <c r="D499" s="673"/>
      <c r="E499" s="679">
        <f>E498-E493</f>
        <v>-89.703650219902812</v>
      </c>
      <c r="F499" s="673" t="str">
        <f t="shared" si="24"/>
        <v>0</v>
      </c>
      <c r="G499" s="673" t="str">
        <f>IF(C505&lt;38,"1","0")</f>
        <v>1</v>
      </c>
      <c r="H499" s="673"/>
      <c r="I499" s="680"/>
    </row>
    <row r="500" spans="2:9">
      <c r="B500" s="678"/>
      <c r="C500" s="673"/>
      <c r="D500" s="673"/>
      <c r="E500" s="679">
        <f>E499-E493</f>
        <v>-121.70365021990281</v>
      </c>
      <c r="F500" s="673" t="str">
        <f t="shared" si="24"/>
        <v>0</v>
      </c>
      <c r="G500" s="673" t="str">
        <f>IF(C505=38,"1","0")</f>
        <v>0</v>
      </c>
      <c r="H500" s="673"/>
      <c r="I500" s="680"/>
    </row>
    <row r="501" spans="2:9">
      <c r="B501" s="678"/>
      <c r="C501" s="673"/>
      <c r="D501" s="673"/>
      <c r="E501" s="679">
        <f>E500-E493</f>
        <v>-153.70365021990281</v>
      </c>
      <c r="F501" s="673" t="str">
        <f t="shared" si="24"/>
        <v>0</v>
      </c>
      <c r="G501" s="681">
        <f>G505</f>
        <v>3</v>
      </c>
      <c r="H501" s="673"/>
      <c r="I501" s="680"/>
    </row>
    <row r="502" spans="2:9">
      <c r="B502" s="678"/>
      <c r="C502" s="673"/>
      <c r="D502" s="673"/>
      <c r="E502" s="679">
        <f>E501-E493</f>
        <v>-185.70365021990281</v>
      </c>
      <c r="F502" s="673" t="str">
        <f t="shared" si="24"/>
        <v>0</v>
      </c>
      <c r="G502" s="673"/>
      <c r="H502" s="673"/>
      <c r="I502" s="680"/>
    </row>
    <row r="503" spans="2:9">
      <c r="B503" s="678"/>
      <c r="C503" s="673"/>
      <c r="D503" s="673"/>
      <c r="E503" s="679">
        <f>E502-E493</f>
        <v>-217.70365021990281</v>
      </c>
      <c r="F503" s="673" t="str">
        <f t="shared" si="24"/>
        <v>0</v>
      </c>
      <c r="G503" s="673"/>
      <c r="H503" s="673"/>
      <c r="I503" s="680"/>
    </row>
    <row r="504" spans="2:9">
      <c r="B504" s="678"/>
      <c r="C504" s="673"/>
      <c r="D504" s="673"/>
      <c r="E504" s="679">
        <f>E503-E493</f>
        <v>-249.70365021990281</v>
      </c>
      <c r="F504" s="673" t="str">
        <f t="shared" si="24"/>
        <v>0</v>
      </c>
      <c r="G504" s="673"/>
      <c r="H504" s="673"/>
      <c r="I504" s="680"/>
    </row>
    <row r="505" spans="2:9">
      <c r="B505" s="682"/>
      <c r="C505" s="683">
        <f>D505*E493</f>
        <v>6.2963497800971879</v>
      </c>
      <c r="D505" s="683">
        <f>E505-G505</f>
        <v>0.19676093062803712</v>
      </c>
      <c r="E505" s="684">
        <f>D270/E493</f>
        <v>3.1967609306280371</v>
      </c>
      <c r="F505" s="683"/>
      <c r="G505" s="683">
        <f>F494+F495+F496+F497+F498+F499+F500+F501+F502+F503+F504</f>
        <v>3</v>
      </c>
      <c r="H505" s="683"/>
      <c r="I505" s="685"/>
    </row>
    <row r="506" spans="2:9">
      <c r="B506" s="667"/>
      <c r="C506" s="668" t="s">
        <v>381</v>
      </c>
      <c r="D506" s="669"/>
      <c r="E506" s="669"/>
      <c r="F506" s="669"/>
      <c r="G506" s="669" t="s">
        <v>382</v>
      </c>
      <c r="H506" s="669" t="s">
        <v>383</v>
      </c>
      <c r="I506" s="670" t="s">
        <v>384</v>
      </c>
    </row>
    <row r="507" spans="2:9">
      <c r="B507" s="1317" t="str">
        <f>B271</f>
        <v>ОЦБ Кедр</v>
      </c>
      <c r="C507" s="1318"/>
      <c r="D507" s="671">
        <f>C271</f>
        <v>260</v>
      </c>
      <c r="E507" s="672">
        <f>K271</f>
        <v>32</v>
      </c>
      <c r="F507" s="672">
        <f>L271</f>
        <v>19</v>
      </c>
      <c r="G507" s="673"/>
      <c r="H507" s="674">
        <f>I271</f>
        <v>30000</v>
      </c>
      <c r="I507" s="674">
        <f>J271</f>
        <v>20000</v>
      </c>
    </row>
    <row r="508" spans="2:9">
      <c r="B508" s="1317" t="s">
        <v>395</v>
      </c>
      <c r="C508" s="1319"/>
      <c r="D508" s="675">
        <v>400</v>
      </c>
      <c r="E508" s="676">
        <f>D271-E507</f>
        <v>81.23786505622661</v>
      </c>
      <c r="F508" s="673" t="str">
        <f>IF(E508&gt;0,"1","0")</f>
        <v>1</v>
      </c>
      <c r="G508" s="673" t="str">
        <f>IF(C519&lt;20,"1","0")</f>
        <v>1</v>
      </c>
      <c r="H508" s="677">
        <f>G515+G512*G513+G514</f>
        <v>3</v>
      </c>
      <c r="I508" s="677">
        <f>G508*G509+J518+G510</f>
        <v>1</v>
      </c>
    </row>
    <row r="509" spans="2:9">
      <c r="B509" s="678"/>
      <c r="C509" s="673"/>
      <c r="D509" s="673"/>
      <c r="E509" s="679">
        <f>E508-E507</f>
        <v>49.23786505622661</v>
      </c>
      <c r="F509" s="673" t="str">
        <f t="shared" ref="F509:F518" si="25">IF(E509&gt;0,"1","0")</f>
        <v>1</v>
      </c>
      <c r="G509" s="673" t="str">
        <f>IF(C519&gt;0,"1","0")</f>
        <v>1</v>
      </c>
      <c r="H509" s="673"/>
      <c r="I509" s="680"/>
    </row>
    <row r="510" spans="2:9">
      <c r="B510" s="678"/>
      <c r="C510" s="673"/>
      <c r="D510" s="673"/>
      <c r="E510" s="679">
        <f>E509-E507</f>
        <v>17.23786505622661</v>
      </c>
      <c r="F510" s="673" t="str">
        <f t="shared" si="25"/>
        <v>1</v>
      </c>
      <c r="G510" s="673" t="str">
        <f>IF(C519=20,"1","0")</f>
        <v>0</v>
      </c>
      <c r="H510" s="673"/>
      <c r="I510" s="680"/>
    </row>
    <row r="511" spans="2:9">
      <c r="B511" s="678"/>
      <c r="C511" s="673"/>
      <c r="D511" s="673"/>
      <c r="E511" s="679">
        <f>E510-E507</f>
        <v>-14.76213494377339</v>
      </c>
      <c r="F511" s="673" t="str">
        <f t="shared" si="25"/>
        <v>0</v>
      </c>
      <c r="G511" s="673"/>
      <c r="H511" s="673"/>
      <c r="I511" s="680"/>
    </row>
    <row r="512" spans="2:9">
      <c r="B512" s="678"/>
      <c r="C512" s="673"/>
      <c r="D512" s="673"/>
      <c r="E512" s="679">
        <f>E511-E507</f>
        <v>-46.76213494377339</v>
      </c>
      <c r="F512" s="673" t="str">
        <f t="shared" si="25"/>
        <v>0</v>
      </c>
      <c r="G512" s="673" t="str">
        <f>IF(C519&gt;20,"1","0")</f>
        <v>0</v>
      </c>
      <c r="H512" s="673"/>
      <c r="I512" s="680"/>
    </row>
    <row r="513" spans="2:9">
      <c r="B513" s="678"/>
      <c r="C513" s="673"/>
      <c r="D513" s="673"/>
      <c r="E513" s="679">
        <f>E512-E507</f>
        <v>-78.76213494377339</v>
      </c>
      <c r="F513" s="673" t="str">
        <f t="shared" si="25"/>
        <v>0</v>
      </c>
      <c r="G513" s="673" t="str">
        <f>IF(C519&lt;38,"1","0")</f>
        <v>1</v>
      </c>
      <c r="H513" s="673"/>
      <c r="I513" s="680"/>
    </row>
    <row r="514" spans="2:9">
      <c r="B514" s="678"/>
      <c r="C514" s="673"/>
      <c r="D514" s="673"/>
      <c r="E514" s="679">
        <f>E513-E507</f>
        <v>-110.76213494377339</v>
      </c>
      <c r="F514" s="673" t="str">
        <f t="shared" si="25"/>
        <v>0</v>
      </c>
      <c r="G514" s="673" t="str">
        <f>IF(C519=38,"1","0")</f>
        <v>0</v>
      </c>
      <c r="H514" s="673"/>
      <c r="I514" s="680"/>
    </row>
    <row r="515" spans="2:9">
      <c r="B515" s="678"/>
      <c r="C515" s="673"/>
      <c r="D515" s="673"/>
      <c r="E515" s="679">
        <f>E514-E507</f>
        <v>-142.76213494377339</v>
      </c>
      <c r="F515" s="673" t="str">
        <f t="shared" si="25"/>
        <v>0</v>
      </c>
      <c r="G515" s="681">
        <f>G519</f>
        <v>3</v>
      </c>
      <c r="H515" s="673"/>
      <c r="I515" s="680"/>
    </row>
    <row r="516" spans="2:9">
      <c r="B516" s="678"/>
      <c r="C516" s="673"/>
      <c r="D516" s="673"/>
      <c r="E516" s="679">
        <f>E515-E507</f>
        <v>-174.76213494377339</v>
      </c>
      <c r="F516" s="673" t="str">
        <f t="shared" si="25"/>
        <v>0</v>
      </c>
      <c r="G516" s="673"/>
      <c r="H516" s="673"/>
      <c r="I516" s="680"/>
    </row>
    <row r="517" spans="2:9">
      <c r="B517" s="678"/>
      <c r="C517" s="673"/>
      <c r="D517" s="673"/>
      <c r="E517" s="679">
        <f>E516-E507</f>
        <v>-206.76213494377339</v>
      </c>
      <c r="F517" s="673" t="str">
        <f t="shared" si="25"/>
        <v>0</v>
      </c>
      <c r="G517" s="673"/>
      <c r="H517" s="673"/>
      <c r="I517" s="680"/>
    </row>
    <row r="518" spans="2:9">
      <c r="B518" s="678"/>
      <c r="C518" s="673"/>
      <c r="D518" s="673"/>
      <c r="E518" s="679">
        <f>E517-E507</f>
        <v>-238.76213494377339</v>
      </c>
      <c r="F518" s="673" t="str">
        <f t="shared" si="25"/>
        <v>0</v>
      </c>
      <c r="G518" s="673"/>
      <c r="H518" s="673"/>
      <c r="I518" s="680"/>
    </row>
    <row r="519" spans="2:9">
      <c r="B519" s="682"/>
      <c r="C519" s="683">
        <f>D519*E507</f>
        <v>17.23786505622661</v>
      </c>
      <c r="D519" s="683">
        <f>E519-G519</f>
        <v>0.53868328300708157</v>
      </c>
      <c r="E519" s="684">
        <f>D271/E507</f>
        <v>3.5386832830070816</v>
      </c>
      <c r="F519" s="683"/>
      <c r="G519" s="683">
        <f>F508+F509+F510+F511+F512+F513+F514+F515+F516+F517+F518</f>
        <v>3</v>
      </c>
      <c r="H519" s="683"/>
      <c r="I519" s="685"/>
    </row>
    <row r="520" spans="2:9">
      <c r="B520" s="667"/>
      <c r="C520" s="668" t="s">
        <v>381</v>
      </c>
      <c r="D520" s="669"/>
      <c r="E520" s="669"/>
      <c r="F520" s="669"/>
      <c r="G520" s="669" t="s">
        <v>382</v>
      </c>
      <c r="H520" s="669" t="s">
        <v>383</v>
      </c>
      <c r="I520" s="670" t="s">
        <v>384</v>
      </c>
    </row>
    <row r="521" spans="2:9">
      <c r="B521" s="1317" t="str">
        <f>B272</f>
        <v>ОЦБ Кедр</v>
      </c>
      <c r="C521" s="1318"/>
      <c r="D521" s="671">
        <f>C272</f>
        <v>280</v>
      </c>
      <c r="E521" s="672">
        <f>K272</f>
        <v>32</v>
      </c>
      <c r="F521" s="672">
        <f>L272</f>
        <v>19</v>
      </c>
      <c r="G521" s="673"/>
      <c r="H521" s="674">
        <f>I272</f>
        <v>30000</v>
      </c>
      <c r="I521" s="674">
        <f>J272</f>
        <v>20000</v>
      </c>
    </row>
    <row r="522" spans="2:9">
      <c r="B522" s="1317" t="s">
        <v>395</v>
      </c>
      <c r="C522" s="1319"/>
      <c r="D522" s="675">
        <v>400</v>
      </c>
      <c r="E522" s="676">
        <f>D272-E521</f>
        <v>91.562553878458189</v>
      </c>
      <c r="F522" s="673" t="str">
        <f>IF(E522&gt;0,"1","0")</f>
        <v>1</v>
      </c>
      <c r="G522" s="673" t="str">
        <f>IF(C533&lt;20,"1","0")</f>
        <v>0</v>
      </c>
      <c r="H522" s="677">
        <f>G529+G526*G527+G528</f>
        <v>4</v>
      </c>
      <c r="I522" s="677">
        <f>G522*G523+J532+G524</f>
        <v>0</v>
      </c>
    </row>
    <row r="523" spans="2:9">
      <c r="B523" s="678"/>
      <c r="C523" s="673"/>
      <c r="D523" s="673"/>
      <c r="E523" s="679">
        <f>E522-E521</f>
        <v>59.562553878458189</v>
      </c>
      <c r="F523" s="673" t="str">
        <f t="shared" ref="F523:F532" si="26">IF(E523&gt;0,"1","0")</f>
        <v>1</v>
      </c>
      <c r="G523" s="673" t="str">
        <f>IF(C533&gt;0,"1","0")</f>
        <v>1</v>
      </c>
      <c r="H523" s="673"/>
      <c r="I523" s="680"/>
    </row>
    <row r="524" spans="2:9">
      <c r="B524" s="678"/>
      <c r="C524" s="673"/>
      <c r="D524" s="673"/>
      <c r="E524" s="679">
        <f>E523-E521</f>
        <v>27.562553878458189</v>
      </c>
      <c r="F524" s="673" t="str">
        <f t="shared" si="26"/>
        <v>1</v>
      </c>
      <c r="G524" s="673" t="str">
        <f>IF(C533=20,"1","0")</f>
        <v>0</v>
      </c>
      <c r="H524" s="673"/>
      <c r="I524" s="680"/>
    </row>
    <row r="525" spans="2:9">
      <c r="B525" s="678"/>
      <c r="C525" s="673"/>
      <c r="D525" s="673"/>
      <c r="E525" s="679">
        <f>E524-E521</f>
        <v>-4.4374461215418108</v>
      </c>
      <c r="F525" s="673" t="str">
        <f t="shared" si="26"/>
        <v>0</v>
      </c>
      <c r="G525" s="673"/>
      <c r="H525" s="673"/>
      <c r="I525" s="680"/>
    </row>
    <row r="526" spans="2:9">
      <c r="B526" s="678"/>
      <c r="C526" s="673"/>
      <c r="D526" s="673"/>
      <c r="E526" s="679">
        <f>E525-E521</f>
        <v>-36.437446121541811</v>
      </c>
      <c r="F526" s="673" t="str">
        <f t="shared" si="26"/>
        <v>0</v>
      </c>
      <c r="G526" s="673" t="str">
        <f>IF(C533&gt;20,"1","0")</f>
        <v>1</v>
      </c>
      <c r="H526" s="673"/>
      <c r="I526" s="680"/>
    </row>
    <row r="527" spans="2:9">
      <c r="B527" s="678"/>
      <c r="C527" s="673"/>
      <c r="D527" s="673"/>
      <c r="E527" s="679">
        <f>E526-E521</f>
        <v>-68.437446121541811</v>
      </c>
      <c r="F527" s="673" t="str">
        <f t="shared" si="26"/>
        <v>0</v>
      </c>
      <c r="G527" s="673" t="str">
        <f>IF(C533&lt;38,"1","0")</f>
        <v>1</v>
      </c>
      <c r="H527" s="673"/>
      <c r="I527" s="680"/>
    </row>
    <row r="528" spans="2:9">
      <c r="B528" s="678"/>
      <c r="C528" s="673"/>
      <c r="D528" s="673"/>
      <c r="E528" s="679">
        <f>E527-E521</f>
        <v>-100.43744612154181</v>
      </c>
      <c r="F528" s="673" t="str">
        <f t="shared" si="26"/>
        <v>0</v>
      </c>
      <c r="G528" s="673" t="str">
        <f>IF(C533=38,"1","0")</f>
        <v>0</v>
      </c>
      <c r="H528" s="673"/>
      <c r="I528" s="680"/>
    </row>
    <row r="529" spans="2:9">
      <c r="B529" s="678"/>
      <c r="C529" s="673"/>
      <c r="D529" s="673"/>
      <c r="E529" s="679">
        <f>E528-E521</f>
        <v>-132.43744612154183</v>
      </c>
      <c r="F529" s="673" t="str">
        <f t="shared" si="26"/>
        <v>0</v>
      </c>
      <c r="G529" s="681">
        <f>G533</f>
        <v>3</v>
      </c>
      <c r="H529" s="673"/>
      <c r="I529" s="680"/>
    </row>
    <row r="530" spans="2:9">
      <c r="B530" s="678"/>
      <c r="C530" s="673"/>
      <c r="D530" s="673"/>
      <c r="E530" s="679">
        <f>E529-E521</f>
        <v>-164.43744612154183</v>
      </c>
      <c r="F530" s="673" t="str">
        <f t="shared" si="26"/>
        <v>0</v>
      </c>
      <c r="G530" s="673"/>
      <c r="H530" s="673"/>
      <c r="I530" s="680"/>
    </row>
    <row r="531" spans="2:9">
      <c r="B531" s="678"/>
      <c r="C531" s="673"/>
      <c r="D531" s="673"/>
      <c r="E531" s="679">
        <f>E530-E521</f>
        <v>-196.43744612154183</v>
      </c>
      <c r="F531" s="673" t="str">
        <f t="shared" si="26"/>
        <v>0</v>
      </c>
      <c r="G531" s="673"/>
      <c r="H531" s="673"/>
      <c r="I531" s="680"/>
    </row>
    <row r="532" spans="2:9">
      <c r="B532" s="678"/>
      <c r="C532" s="673"/>
      <c r="D532" s="673"/>
      <c r="E532" s="679">
        <f>E531-E521</f>
        <v>-228.43744612154183</v>
      </c>
      <c r="F532" s="673" t="str">
        <f t="shared" si="26"/>
        <v>0</v>
      </c>
      <c r="G532" s="673"/>
      <c r="H532" s="673"/>
      <c r="I532" s="680"/>
    </row>
    <row r="533" spans="2:9">
      <c r="B533" s="682"/>
      <c r="C533" s="683">
        <f>D533*E521</f>
        <v>27.562553878458189</v>
      </c>
      <c r="D533" s="683">
        <f>E533-G533</f>
        <v>0.86132980870181841</v>
      </c>
      <c r="E533" s="684">
        <f>D272/E521</f>
        <v>3.8613298087018184</v>
      </c>
      <c r="F533" s="683"/>
      <c r="G533" s="683">
        <f>F522+F523+F524+F525+F526+F527+F528+F529+F530+F531+F532</f>
        <v>3</v>
      </c>
      <c r="H533" s="683"/>
      <c r="I533" s="685"/>
    </row>
    <row r="534" spans="2:9">
      <c r="B534" s="667"/>
      <c r="C534" s="668" t="s">
        <v>381</v>
      </c>
      <c r="D534" s="669"/>
      <c r="E534" s="669"/>
      <c r="F534" s="669"/>
      <c r="G534" s="669" t="s">
        <v>382</v>
      </c>
      <c r="H534" s="669" t="s">
        <v>383</v>
      </c>
      <c r="I534" s="670" t="s">
        <v>384</v>
      </c>
    </row>
    <row r="535" spans="2:9">
      <c r="B535" s="1317" t="str">
        <f>B273</f>
        <v>ОЦБ Кедр</v>
      </c>
      <c r="C535" s="1318"/>
      <c r="D535" s="671">
        <f>C273</f>
        <v>300</v>
      </c>
      <c r="E535" s="672">
        <f>K273</f>
        <v>32</v>
      </c>
      <c r="F535" s="672">
        <f>L273</f>
        <v>19</v>
      </c>
      <c r="G535" s="673"/>
      <c r="H535" s="674">
        <f>I273</f>
        <v>30000</v>
      </c>
      <c r="I535" s="674">
        <f>J273</f>
        <v>20000</v>
      </c>
    </row>
    <row r="536" spans="2:9">
      <c r="B536" s="1317" t="s">
        <v>395</v>
      </c>
      <c r="C536" s="1319"/>
      <c r="D536" s="675">
        <v>400</v>
      </c>
      <c r="E536" s="676">
        <f>D273-E535</f>
        <v>101.67899085214921</v>
      </c>
      <c r="F536" s="673" t="str">
        <f>IF(E536&gt;0,"1","0")</f>
        <v>1</v>
      </c>
      <c r="G536" s="673" t="str">
        <f>IF(C547&lt;20,"1","0")</f>
        <v>1</v>
      </c>
      <c r="H536" s="677">
        <f>G543+G540*G541+G542</f>
        <v>4</v>
      </c>
      <c r="I536" s="677">
        <f>G536*G537+J546+G538</f>
        <v>1</v>
      </c>
    </row>
    <row r="537" spans="2:9">
      <c r="B537" s="678"/>
      <c r="C537" s="673"/>
      <c r="D537" s="673"/>
      <c r="E537" s="679">
        <f>E536-E535</f>
        <v>69.678990852149212</v>
      </c>
      <c r="F537" s="673" t="str">
        <f t="shared" ref="F537:F546" si="27">IF(E537&gt;0,"1","0")</f>
        <v>1</v>
      </c>
      <c r="G537" s="673" t="str">
        <f>IF(C547&gt;0,"1","0")</f>
        <v>1</v>
      </c>
      <c r="H537" s="673"/>
      <c r="I537" s="680"/>
    </row>
    <row r="538" spans="2:9">
      <c r="B538" s="678"/>
      <c r="C538" s="673"/>
      <c r="D538" s="673"/>
      <c r="E538" s="679">
        <f>E537-E535</f>
        <v>37.678990852149212</v>
      </c>
      <c r="F538" s="673" t="str">
        <f t="shared" si="27"/>
        <v>1</v>
      </c>
      <c r="G538" s="673" t="str">
        <f>IF(C547=20,"1","0")</f>
        <v>0</v>
      </c>
      <c r="H538" s="673"/>
      <c r="I538" s="680"/>
    </row>
    <row r="539" spans="2:9">
      <c r="B539" s="678"/>
      <c r="C539" s="673"/>
      <c r="D539" s="673"/>
      <c r="E539" s="679">
        <f>E538-E535</f>
        <v>5.6789908521492123</v>
      </c>
      <c r="F539" s="673" t="str">
        <f t="shared" si="27"/>
        <v>1</v>
      </c>
      <c r="G539" s="673"/>
      <c r="H539" s="673"/>
      <c r="I539" s="680"/>
    </row>
    <row r="540" spans="2:9">
      <c r="B540" s="678"/>
      <c r="C540" s="673"/>
      <c r="D540" s="673"/>
      <c r="E540" s="679">
        <f>E539-E535</f>
        <v>-26.321009147850788</v>
      </c>
      <c r="F540" s="673" t="str">
        <f t="shared" si="27"/>
        <v>0</v>
      </c>
      <c r="G540" s="673" t="str">
        <f>IF(C547&gt;20,"1","0")</f>
        <v>0</v>
      </c>
      <c r="H540" s="673"/>
      <c r="I540" s="680"/>
    </row>
    <row r="541" spans="2:9">
      <c r="B541" s="678"/>
      <c r="C541" s="673"/>
      <c r="D541" s="673"/>
      <c r="E541" s="679">
        <f>E540-E535</f>
        <v>-58.321009147850788</v>
      </c>
      <c r="F541" s="673" t="str">
        <f t="shared" si="27"/>
        <v>0</v>
      </c>
      <c r="G541" s="673" t="str">
        <f>IF(C547&lt;38,"1","0")</f>
        <v>1</v>
      </c>
      <c r="H541" s="673"/>
      <c r="I541" s="680"/>
    </row>
    <row r="542" spans="2:9">
      <c r="B542" s="678"/>
      <c r="C542" s="673"/>
      <c r="D542" s="673"/>
      <c r="E542" s="679">
        <f>E541-E535</f>
        <v>-90.321009147850788</v>
      </c>
      <c r="F542" s="673" t="str">
        <f t="shared" si="27"/>
        <v>0</v>
      </c>
      <c r="G542" s="673" t="str">
        <f>IF(C547=38,"1","0")</f>
        <v>0</v>
      </c>
      <c r="H542" s="673"/>
      <c r="I542" s="680"/>
    </row>
    <row r="543" spans="2:9">
      <c r="B543" s="678"/>
      <c r="C543" s="673"/>
      <c r="D543" s="673"/>
      <c r="E543" s="679">
        <f>E542-E535</f>
        <v>-122.32100914785079</v>
      </c>
      <c r="F543" s="673" t="str">
        <f t="shared" si="27"/>
        <v>0</v>
      </c>
      <c r="G543" s="681">
        <f>G547</f>
        <v>4</v>
      </c>
      <c r="H543" s="673"/>
      <c r="I543" s="680"/>
    </row>
    <row r="544" spans="2:9">
      <c r="B544" s="678"/>
      <c r="C544" s="673"/>
      <c r="D544" s="673"/>
      <c r="E544" s="679">
        <f>E543-E535</f>
        <v>-154.32100914785079</v>
      </c>
      <c r="F544" s="673" t="str">
        <f t="shared" si="27"/>
        <v>0</v>
      </c>
      <c r="G544" s="673"/>
      <c r="H544" s="673"/>
      <c r="I544" s="680"/>
    </row>
    <row r="545" spans="2:9">
      <c r="B545" s="678"/>
      <c r="C545" s="673"/>
      <c r="D545" s="673"/>
      <c r="E545" s="679">
        <f>E544-E535</f>
        <v>-186.32100914785079</v>
      </c>
      <c r="F545" s="673" t="str">
        <f t="shared" si="27"/>
        <v>0</v>
      </c>
      <c r="G545" s="673"/>
      <c r="H545" s="673"/>
      <c r="I545" s="680"/>
    </row>
    <row r="546" spans="2:9">
      <c r="B546" s="678"/>
      <c r="C546" s="673"/>
      <c r="D546" s="673"/>
      <c r="E546" s="679">
        <f>E545-E535</f>
        <v>-218.32100914785079</v>
      </c>
      <c r="F546" s="673" t="str">
        <f t="shared" si="27"/>
        <v>0</v>
      </c>
      <c r="G546" s="673"/>
      <c r="H546" s="673"/>
      <c r="I546" s="680"/>
    </row>
    <row r="547" spans="2:9">
      <c r="B547" s="682"/>
      <c r="C547" s="683">
        <f>D547*E535</f>
        <v>5.6789908521492123</v>
      </c>
      <c r="D547" s="683">
        <f>E547-G547</f>
        <v>0.17746846412966288</v>
      </c>
      <c r="E547" s="684">
        <f>D273/E535</f>
        <v>4.1774684641296629</v>
      </c>
      <c r="F547" s="683"/>
      <c r="G547" s="683">
        <f>F536+F537+F538+F539+F540+F541+F542+F543+F544+F545+F546</f>
        <v>4</v>
      </c>
      <c r="H547" s="683"/>
      <c r="I547" s="685"/>
    </row>
  </sheetData>
  <sheetProtection algorithmName="SHA-512" hashValue="pAPHM+cEpczFMcqdSaxNs0IQAF8saYp4PHUGDO9EHkherwg+INXGTcNWKvVyhH3d0+twD1uSEZk889C8of+WtQ==" saltValue="7+LuNkl75QK5lWDqSuaXow==" spinCount="100000" sheet="1" objects="1" scenarios="1"/>
  <customSheetViews>
    <customSheetView guid="{3274156B-1D2A-4448-883E-F1EEF1AAE0AF}" state="hidden" topLeftCell="A244">
      <selection activeCell="K259" sqref="K259"/>
      <pageMargins left="0.7" right="0.7" top="0.75" bottom="0.75" header="0.3" footer="0.3"/>
      <pageSetup paperSize="9" orientation="portrait" horizontalDpi="0" verticalDpi="0" r:id="rId1"/>
    </customSheetView>
  </customSheetViews>
  <mergeCells count="44">
    <mergeCell ref="H2:J2"/>
    <mergeCell ref="G3:K4"/>
    <mergeCell ref="G9:H9"/>
    <mergeCell ref="G21:H21"/>
    <mergeCell ref="B508:C508"/>
    <mergeCell ref="B438:C438"/>
    <mergeCell ref="B451:C451"/>
    <mergeCell ref="B452:C452"/>
    <mergeCell ref="B465:C465"/>
    <mergeCell ref="B466:C466"/>
    <mergeCell ref="B409:C409"/>
    <mergeCell ref="B410:C410"/>
    <mergeCell ref="B423:C423"/>
    <mergeCell ref="B424:C424"/>
    <mergeCell ref="B437:C437"/>
    <mergeCell ref="B368:C368"/>
    <mergeCell ref="B521:C521"/>
    <mergeCell ref="B522:C522"/>
    <mergeCell ref="B535:C535"/>
    <mergeCell ref="B536:C536"/>
    <mergeCell ref="B479:C479"/>
    <mergeCell ref="B480:C480"/>
    <mergeCell ref="B493:C493"/>
    <mergeCell ref="B494:C494"/>
    <mergeCell ref="B507:C507"/>
    <mergeCell ref="B381:C381"/>
    <mergeCell ref="B382:C382"/>
    <mergeCell ref="B395:C395"/>
    <mergeCell ref="B396:C396"/>
    <mergeCell ref="B339:C339"/>
    <mergeCell ref="B340:C340"/>
    <mergeCell ref="B353:C353"/>
    <mergeCell ref="B354:C354"/>
    <mergeCell ref="B367:C367"/>
    <mergeCell ref="B298:C298"/>
    <mergeCell ref="B311:C311"/>
    <mergeCell ref="B312:C312"/>
    <mergeCell ref="B325:C325"/>
    <mergeCell ref="B326:C326"/>
    <mergeCell ref="I250:J250"/>
    <mergeCell ref="K250:L250"/>
    <mergeCell ref="B283:C283"/>
    <mergeCell ref="B284:C284"/>
    <mergeCell ref="B297:C297"/>
  </mergeCells>
  <pageMargins left="0.7" right="0.7" top="0.75" bottom="0.75" header="0.3" footer="0.3"/>
  <pageSetup paperSize="9" orientation="portrait" horizontalDpi="0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7724-98DE-4CC0-BAE2-3F78ED7748A0}">
  <sheetPr codeName="Worksheet____10">
    <tabColor rgb="FFFF0000"/>
  </sheetPr>
  <dimension ref="B2:Y634"/>
  <sheetViews>
    <sheetView zoomScale="90" zoomScaleNormal="90" workbookViewId="0">
      <selection activeCell="D14" sqref="D14"/>
    </sheetView>
  </sheetViews>
  <sheetFormatPr baseColWidth="10" defaultColWidth="8.83203125" defaultRowHeight="15"/>
  <cols>
    <col min="1" max="1" width="8.6640625" style="544" customWidth="1"/>
    <col min="2" max="2" width="46.6640625" style="544" customWidth="1"/>
    <col min="3" max="3" width="8.83203125" style="544"/>
    <col min="4" max="4" width="11.83203125" style="544" customWidth="1"/>
    <col min="5" max="5" width="11" style="544" customWidth="1"/>
    <col min="6" max="6" width="13.33203125" style="544" customWidth="1"/>
    <col min="7" max="7" width="11.5" style="544" customWidth="1"/>
    <col min="8" max="15" width="13.5" style="544" customWidth="1"/>
    <col min="16" max="16" width="13.83203125" style="544" customWidth="1"/>
    <col min="17" max="19" width="8.83203125" style="544"/>
    <col min="20" max="20" width="12.1640625" style="544" customWidth="1"/>
    <col min="21" max="16384" width="8.83203125" style="544"/>
  </cols>
  <sheetData>
    <row r="2" spans="2:22">
      <c r="B2" s="741" t="s">
        <v>192</v>
      </c>
      <c r="C2" s="742" t="s">
        <v>86</v>
      </c>
      <c r="D2" s="743">
        <f>'Данные Брус'!D4</f>
        <v>65.2</v>
      </c>
      <c r="E2" s="744"/>
      <c r="F2" s="745"/>
    </row>
    <row r="3" spans="2:22">
      <c r="B3" s="746" t="s">
        <v>204</v>
      </c>
      <c r="C3" s="612" t="s">
        <v>63</v>
      </c>
      <c r="D3" s="747">
        <f>'Данные Брус'!D5</f>
        <v>0</v>
      </c>
      <c r="E3" s="613"/>
      <c r="F3" s="614"/>
    </row>
    <row r="4" spans="2:22">
      <c r="B4" s="746" t="s">
        <v>205</v>
      </c>
      <c r="C4" s="612" t="s">
        <v>63</v>
      </c>
      <c r="D4" s="747">
        <f>'Данные Брус'!D6</f>
        <v>0</v>
      </c>
      <c r="E4" s="613"/>
      <c r="F4" s="614"/>
    </row>
    <row r="5" spans="2:22">
      <c r="B5" s="748" t="s">
        <v>147</v>
      </c>
      <c r="C5" s="612" t="s">
        <v>86</v>
      </c>
      <c r="D5" s="749">
        <f>'Данные Брус'!D7</f>
        <v>0</v>
      </c>
      <c r="E5" s="613"/>
      <c r="F5" s="614"/>
    </row>
    <row r="6" spans="2:22">
      <c r="B6" s="750" t="s">
        <v>180</v>
      </c>
      <c r="C6" s="612" t="s">
        <v>182</v>
      </c>
      <c r="D6" s="749">
        <f>ROUNDUP(H239*5/1000,0)</f>
        <v>22</v>
      </c>
      <c r="E6" s="613"/>
      <c r="F6" s="614"/>
      <c r="P6" s="751"/>
    </row>
    <row r="7" spans="2:22" ht="16">
      <c r="B7" s="752" t="s">
        <v>197</v>
      </c>
      <c r="C7" s="612" t="s">
        <v>85</v>
      </c>
      <c r="D7" s="749">
        <f>('Данные Брус'!D9+'Данные Брус'!D10+'Данные Брус'!D11+'Данные Брус'!D12)*2*1.5</f>
        <v>24</v>
      </c>
      <c r="E7" s="753" t="s">
        <v>553</v>
      </c>
      <c r="F7" s="614"/>
      <c r="H7" s="551"/>
      <c r="I7" s="551"/>
      <c r="J7" s="551"/>
      <c r="K7" s="551"/>
      <c r="O7" s="754"/>
      <c r="R7" s="751"/>
      <c r="S7" s="751"/>
      <c r="T7" s="751"/>
      <c r="U7" s="751"/>
    </row>
    <row r="8" spans="2:22" ht="16">
      <c r="B8" s="755" t="s">
        <v>187</v>
      </c>
      <c r="C8" s="612" t="s">
        <v>85</v>
      </c>
      <c r="D8" s="749">
        <f>D7*4</f>
        <v>96</v>
      </c>
      <c r="E8" s="753" t="s">
        <v>554</v>
      </c>
      <c r="F8" s="614"/>
      <c r="H8" s="551"/>
      <c r="I8" s="551"/>
      <c r="J8" s="551"/>
      <c r="K8" s="551"/>
      <c r="N8" s="756"/>
      <c r="O8" s="757"/>
      <c r="P8" s="751"/>
    </row>
    <row r="9" spans="2:22" ht="16">
      <c r="B9" s="755" t="s">
        <v>198</v>
      </c>
      <c r="C9" s="612" t="s">
        <v>85</v>
      </c>
      <c r="D9" s="749">
        <f>D10*2</f>
        <v>32</v>
      </c>
      <c r="E9" s="753" t="s">
        <v>556</v>
      </c>
      <c r="F9" s="614"/>
      <c r="O9" s="757"/>
      <c r="P9" s="751"/>
    </row>
    <row r="10" spans="2:22" ht="16">
      <c r="B10" s="752" t="s">
        <v>191</v>
      </c>
      <c r="C10" s="612" t="s">
        <v>85</v>
      </c>
      <c r="D10" s="749">
        <f>('Данные Брус'!D9+'Данные Брус'!D10+'Данные Брус'!D11+'Данные Брус'!D12)*2</f>
        <v>16</v>
      </c>
      <c r="E10" s="753" t="s">
        <v>555</v>
      </c>
      <c r="F10" s="614"/>
      <c r="L10" s="551"/>
      <c r="O10" s="757"/>
      <c r="P10" s="751"/>
    </row>
    <row r="11" spans="2:22">
      <c r="B11" s="752" t="s">
        <v>209</v>
      </c>
      <c r="C11" s="612" t="s">
        <v>85</v>
      </c>
      <c r="D11" s="749">
        <f>'Данные Брус'!D17</f>
        <v>2</v>
      </c>
      <c r="E11" s="613"/>
      <c r="F11" s="614"/>
      <c r="L11" s="551"/>
      <c r="N11" s="758"/>
      <c r="O11" s="757"/>
      <c r="P11" s="751"/>
    </row>
    <row r="12" spans="2:22">
      <c r="B12" s="759" t="s">
        <v>210</v>
      </c>
      <c r="C12" s="612" t="s">
        <v>85</v>
      </c>
      <c r="D12" s="760">
        <f>D11*8</f>
        <v>16</v>
      </c>
      <c r="E12" s="613"/>
      <c r="F12" s="614"/>
      <c r="O12" s="757"/>
      <c r="P12" s="751"/>
    </row>
    <row r="13" spans="2:22">
      <c r="B13" s="752"/>
      <c r="C13" s="612"/>
      <c r="D13" s="761"/>
      <c r="E13" s="613"/>
      <c r="F13" s="614"/>
      <c r="O13" s="757"/>
      <c r="P13" s="751"/>
    </row>
    <row r="14" spans="2:22">
      <c r="B14" s="752" t="s">
        <v>155</v>
      </c>
      <c r="C14" s="612" t="s">
        <v>63</v>
      </c>
      <c r="D14" s="762">
        <f>D2/30</f>
        <v>2.1733333333333333</v>
      </c>
      <c r="E14" s="613"/>
      <c r="F14" s="614"/>
      <c r="O14" s="757"/>
      <c r="P14" s="751"/>
    </row>
    <row r="15" spans="2:22">
      <c r="B15" s="748" t="s">
        <v>194</v>
      </c>
      <c r="C15" s="612" t="s">
        <v>156</v>
      </c>
      <c r="D15" s="761">
        <f>ROUNDUP(D14*225/87,0)</f>
        <v>6</v>
      </c>
      <c r="E15" s="613"/>
      <c r="F15" s="614"/>
      <c r="N15" s="763"/>
    </row>
    <row r="16" spans="2:22">
      <c r="B16" s="748" t="s">
        <v>154</v>
      </c>
      <c r="C16" s="612" t="s">
        <v>150</v>
      </c>
      <c r="D16" s="761">
        <f>D49*'Данные Брус'!E111</f>
        <v>16300</v>
      </c>
      <c r="E16" s="613"/>
      <c r="F16" s="614"/>
      <c r="O16" s="751"/>
      <c r="Q16" s="757"/>
      <c r="V16" s="757"/>
    </row>
    <row r="17" spans="2:22">
      <c r="B17" s="748"/>
      <c r="C17" s="612"/>
      <c r="D17" s="761"/>
      <c r="E17" s="613"/>
      <c r="F17" s="614"/>
      <c r="O17" s="751"/>
      <c r="Q17" s="757"/>
      <c r="V17" s="757"/>
    </row>
    <row r="18" spans="2:22">
      <c r="B18" s="748" t="s">
        <v>89</v>
      </c>
      <c r="C18" s="612" t="s">
        <v>85</v>
      </c>
      <c r="D18" s="761"/>
      <c r="E18" s="613"/>
      <c r="F18" s="614"/>
      <c r="O18" s="751"/>
      <c r="Q18" s="757"/>
      <c r="S18" s="751"/>
      <c r="V18" s="757"/>
    </row>
    <row r="19" spans="2:22">
      <c r="B19" s="748" t="s">
        <v>229</v>
      </c>
      <c r="C19" s="612" t="s">
        <v>85</v>
      </c>
      <c r="D19" s="749"/>
      <c r="E19" s="613"/>
      <c r="F19" s="614"/>
      <c r="O19" s="751"/>
      <c r="Q19" s="757"/>
      <c r="V19" s="757"/>
    </row>
    <row r="20" spans="2:22">
      <c r="B20" s="748" t="s">
        <v>161</v>
      </c>
      <c r="C20" s="612" t="s">
        <v>156</v>
      </c>
      <c r="D20" s="761">
        <f>D18*20/395</f>
        <v>0</v>
      </c>
      <c r="E20" s="613"/>
      <c r="F20" s="614"/>
      <c r="N20" s="758"/>
      <c r="O20" s="751"/>
      <c r="Q20" s="757"/>
      <c r="V20" s="757"/>
    </row>
    <row r="21" spans="2:22">
      <c r="B21" s="748" t="s">
        <v>387</v>
      </c>
      <c r="C21" s="612" t="s">
        <v>63</v>
      </c>
      <c r="D21" s="749"/>
      <c r="E21" s="613"/>
      <c r="F21" s="614"/>
      <c r="N21" s="764"/>
      <c r="O21" s="764"/>
      <c r="P21" s="764"/>
      <c r="Q21" s="757"/>
      <c r="S21" s="764"/>
      <c r="T21" s="764"/>
      <c r="U21" s="764"/>
      <c r="V21" s="757"/>
    </row>
    <row r="22" spans="2:22">
      <c r="B22" s="748" t="s">
        <v>386</v>
      </c>
      <c r="C22" s="612" t="s">
        <v>63</v>
      </c>
      <c r="D22" s="747">
        <f>балки!K9/0.2*0.15</f>
        <v>2.1599999999999997</v>
      </c>
      <c r="E22" s="613"/>
      <c r="F22" s="614"/>
      <c r="O22" s="751"/>
      <c r="Q22" s="757"/>
      <c r="V22" s="757"/>
    </row>
    <row r="23" spans="2:22">
      <c r="B23" s="748"/>
      <c r="C23" s="612"/>
      <c r="D23" s="749"/>
      <c r="E23" s="613"/>
      <c r="F23" s="614"/>
      <c r="O23" s="751"/>
      <c r="Q23" s="757"/>
      <c r="V23" s="757"/>
    </row>
    <row r="24" spans="2:22">
      <c r="B24" s="765"/>
      <c r="C24" s="621"/>
      <c r="D24" s="587"/>
      <c r="E24" s="587"/>
      <c r="F24" s="614"/>
    </row>
    <row r="25" spans="2:22">
      <c r="B25" s="766" t="s">
        <v>192</v>
      </c>
      <c r="C25" s="612" t="s">
        <v>86</v>
      </c>
      <c r="D25" s="767">
        <f>'Данные Брус'!D39</f>
        <v>65.2</v>
      </c>
      <c r="E25" s="613"/>
      <c r="F25" s="614"/>
    </row>
    <row r="26" spans="2:22">
      <c r="B26" s="768" t="s">
        <v>206</v>
      </c>
      <c r="C26" s="612" t="s">
        <v>63</v>
      </c>
      <c r="D26" s="769">
        <f>'Данные Брус'!D40</f>
        <v>0</v>
      </c>
      <c r="E26" s="613"/>
      <c r="F26" s="614"/>
    </row>
    <row r="27" spans="2:22">
      <c r="B27" s="768" t="s">
        <v>205</v>
      </c>
      <c r="C27" s="612" t="s">
        <v>63</v>
      </c>
      <c r="D27" s="769">
        <f>'Данные Брус'!D41</f>
        <v>0</v>
      </c>
      <c r="E27" s="613"/>
      <c r="F27" s="614"/>
    </row>
    <row r="28" spans="2:22">
      <c r="B28" s="770" t="s">
        <v>147</v>
      </c>
      <c r="C28" s="612" t="s">
        <v>86</v>
      </c>
      <c r="D28" s="771">
        <f>'Данные Брус'!D42</f>
        <v>0</v>
      </c>
      <c r="E28" s="613"/>
      <c r="F28" s="614"/>
    </row>
    <row r="29" spans="2:22">
      <c r="B29" s="772" t="s">
        <v>180</v>
      </c>
      <c r="C29" s="612" t="s">
        <v>181</v>
      </c>
      <c r="D29" s="771">
        <f>ROUNDUP(H240*5/1000,0)</f>
        <v>22</v>
      </c>
      <c r="E29" s="613"/>
      <c r="F29" s="614"/>
    </row>
    <row r="30" spans="2:22" ht="16">
      <c r="B30" s="773" t="s">
        <v>197</v>
      </c>
      <c r="C30" s="612" t="s">
        <v>85</v>
      </c>
      <c r="D30" s="771">
        <f>('Данные Брус'!D9+'Данные Брус'!D10+'Данные Брус'!D11+'Данные Брус'!D12)*2*1.5</f>
        <v>24</v>
      </c>
      <c r="E30" s="753" t="s">
        <v>553</v>
      </c>
      <c r="F30" s="614"/>
    </row>
    <row r="31" spans="2:22" ht="16">
      <c r="B31" s="774" t="s">
        <v>187</v>
      </c>
      <c r="C31" s="612" t="s">
        <v>85</v>
      </c>
      <c r="D31" s="771">
        <f>D8</f>
        <v>96</v>
      </c>
      <c r="E31" s="753" t="s">
        <v>554</v>
      </c>
      <c r="F31" s="614"/>
    </row>
    <row r="32" spans="2:22" ht="16">
      <c r="B32" s="774" t="s">
        <v>198</v>
      </c>
      <c r="C32" s="612" t="s">
        <v>85</v>
      </c>
      <c r="D32" s="771">
        <f>D9</f>
        <v>32</v>
      </c>
      <c r="E32" s="753" t="s">
        <v>556</v>
      </c>
      <c r="F32" s="614"/>
    </row>
    <row r="33" spans="2:6" ht="16">
      <c r="B33" s="773" t="s">
        <v>191</v>
      </c>
      <c r="C33" s="612" t="s">
        <v>85</v>
      </c>
      <c r="D33" s="771">
        <f>D10</f>
        <v>16</v>
      </c>
      <c r="E33" s="753" t="s">
        <v>555</v>
      </c>
      <c r="F33" s="614"/>
    </row>
    <row r="34" spans="2:6">
      <c r="B34" s="773" t="s">
        <v>209</v>
      </c>
      <c r="C34" s="612" t="s">
        <v>85</v>
      </c>
      <c r="D34" s="771">
        <f>'Данные Брус'!D48</f>
        <v>2</v>
      </c>
      <c r="E34" s="613"/>
      <c r="F34" s="614"/>
    </row>
    <row r="35" spans="2:6">
      <c r="B35" s="775" t="s">
        <v>210</v>
      </c>
      <c r="C35" s="612" t="s">
        <v>85</v>
      </c>
      <c r="D35" s="771">
        <f>D34*8</f>
        <v>16</v>
      </c>
      <c r="E35" s="613"/>
      <c r="F35" s="614"/>
    </row>
    <row r="36" spans="2:6">
      <c r="B36" s="773"/>
      <c r="C36" s="612"/>
      <c r="D36" s="771"/>
      <c r="E36" s="613"/>
      <c r="F36" s="614"/>
    </row>
    <row r="37" spans="2:6">
      <c r="B37" s="773" t="s">
        <v>155</v>
      </c>
      <c r="C37" s="612" t="s">
        <v>63</v>
      </c>
      <c r="D37" s="776">
        <f>D25/30</f>
        <v>2.1733333333333333</v>
      </c>
      <c r="E37" s="613"/>
      <c r="F37" s="614"/>
    </row>
    <row r="38" spans="2:6">
      <c r="B38" s="770" t="s">
        <v>194</v>
      </c>
      <c r="C38" s="612" t="s">
        <v>156</v>
      </c>
      <c r="D38" s="777">
        <f>ROUNDUP(D37*225/87,0)</f>
        <v>6</v>
      </c>
      <c r="E38" s="613"/>
      <c r="F38" s="614"/>
    </row>
    <row r="39" spans="2:6">
      <c r="B39" s="770" t="s">
        <v>154</v>
      </c>
      <c r="C39" s="612" t="s">
        <v>150</v>
      </c>
      <c r="D39" s="777">
        <f>D25*200</f>
        <v>13040</v>
      </c>
      <c r="E39" s="613"/>
      <c r="F39" s="614"/>
    </row>
    <row r="40" spans="2:6">
      <c r="B40" s="770"/>
      <c r="C40" s="612"/>
      <c r="D40" s="777"/>
      <c r="E40" s="613"/>
      <c r="F40" s="614"/>
    </row>
    <row r="41" spans="2:6">
      <c r="B41" s="770" t="s">
        <v>89</v>
      </c>
      <c r="C41" s="612"/>
      <c r="D41" s="777"/>
      <c r="E41" s="613"/>
      <c r="F41" s="614"/>
    </row>
    <row r="42" spans="2:6">
      <c r="B42" s="770" t="s">
        <v>229</v>
      </c>
      <c r="C42" s="612"/>
      <c r="D42" s="777">
        <f>D41*4</f>
        <v>0</v>
      </c>
      <c r="E42" s="613"/>
      <c r="F42" s="614"/>
    </row>
    <row r="43" spans="2:6">
      <c r="B43" s="770" t="s">
        <v>161</v>
      </c>
      <c r="C43" s="612"/>
      <c r="D43" s="777">
        <f>D41*20/395</f>
        <v>0</v>
      </c>
      <c r="E43" s="613"/>
      <c r="F43" s="614"/>
    </row>
    <row r="44" spans="2:6">
      <c r="B44" s="770" t="s">
        <v>387</v>
      </c>
      <c r="C44" s="621" t="s">
        <v>63</v>
      </c>
      <c r="D44" s="778"/>
      <c r="E44" s="613"/>
      <c r="F44" s="614"/>
    </row>
    <row r="45" spans="2:6">
      <c r="B45" s="770" t="s">
        <v>386</v>
      </c>
      <c r="C45" s="621" t="s">
        <v>63</v>
      </c>
      <c r="D45" s="776">
        <f>балки!K9/0.2*0.15</f>
        <v>2.1599999999999997</v>
      </c>
      <c r="E45" s="613"/>
      <c r="F45" s="614"/>
    </row>
    <row r="46" spans="2:6">
      <c r="B46" s="770"/>
      <c r="C46" s="612"/>
      <c r="D46" s="778"/>
      <c r="E46" s="613"/>
      <c r="F46" s="614"/>
    </row>
    <row r="47" spans="2:6">
      <c r="B47" s="620"/>
      <c r="C47" s="612"/>
      <c r="D47" s="600"/>
      <c r="E47" s="613"/>
      <c r="F47" s="614"/>
    </row>
    <row r="48" spans="2:6">
      <c r="B48" s="611"/>
      <c r="C48" s="612"/>
      <c r="D48" s="779"/>
      <c r="E48" s="613"/>
      <c r="F48" s="614"/>
    </row>
    <row r="49" spans="2:6">
      <c r="B49" s="611" t="s">
        <v>208</v>
      </c>
      <c r="C49" s="612" t="s">
        <v>86</v>
      </c>
      <c r="D49" s="595">
        <f>'Данные Брус'!D71</f>
        <v>65.2</v>
      </c>
      <c r="E49" s="613"/>
      <c r="F49" s="614"/>
    </row>
    <row r="50" spans="2:6">
      <c r="B50" s="616" t="s">
        <v>87</v>
      </c>
      <c r="C50" s="612" t="s">
        <v>63</v>
      </c>
      <c r="D50" s="780">
        <f>'Данные Брус'!D72</f>
        <v>67.78</v>
      </c>
      <c r="E50" s="613"/>
      <c r="F50" s="614"/>
    </row>
    <row r="51" spans="2:6">
      <c r="B51" s="618" t="s">
        <v>88</v>
      </c>
      <c r="C51" s="612" t="s">
        <v>63</v>
      </c>
      <c r="D51" s="780">
        <f>'Данные Брус'!D73</f>
        <v>70.45</v>
      </c>
      <c r="E51" s="613"/>
      <c r="F51" s="614"/>
    </row>
    <row r="52" spans="2:6">
      <c r="B52" s="618" t="s">
        <v>147</v>
      </c>
      <c r="C52" s="612" t="s">
        <v>86</v>
      </c>
      <c r="D52" s="619">
        <f>'Данные Брус'!D74</f>
        <v>0</v>
      </c>
      <c r="E52" s="613"/>
      <c r="F52" s="614"/>
    </row>
    <row r="53" spans="2:6">
      <c r="B53" s="781" t="s">
        <v>180</v>
      </c>
      <c r="C53" s="630" t="s">
        <v>182</v>
      </c>
      <c r="D53" s="782">
        <f>ROUNDUP(D52*8/1000,0)</f>
        <v>0</v>
      </c>
      <c r="E53" s="632"/>
      <c r="F53" s="635"/>
    </row>
    <row r="54" spans="2:6">
      <c r="B54" s="783" t="s">
        <v>197</v>
      </c>
      <c r="C54" s="630" t="s">
        <v>85</v>
      </c>
      <c r="D54" s="782"/>
      <c r="E54" s="632"/>
      <c r="F54" s="635"/>
    </row>
    <row r="55" spans="2:6">
      <c r="B55" s="784" t="s">
        <v>187</v>
      </c>
      <c r="C55" s="630" t="s">
        <v>85</v>
      </c>
      <c r="D55" s="782"/>
      <c r="E55" s="632"/>
      <c r="F55" s="635"/>
    </row>
    <row r="56" spans="2:6">
      <c r="B56" s="784" t="s">
        <v>198</v>
      </c>
      <c r="C56" s="630" t="s">
        <v>85</v>
      </c>
      <c r="D56" s="782"/>
      <c r="E56" s="632"/>
      <c r="F56" s="635"/>
    </row>
    <row r="57" spans="2:6">
      <c r="B57" s="783" t="s">
        <v>191</v>
      </c>
      <c r="C57" s="630" t="s">
        <v>85</v>
      </c>
      <c r="D57" s="782"/>
      <c r="E57" s="632"/>
      <c r="F57" s="635"/>
    </row>
    <row r="58" spans="2:6">
      <c r="B58" s="783" t="s">
        <v>152</v>
      </c>
      <c r="C58" s="630" t="s">
        <v>85</v>
      </c>
      <c r="D58" s="782">
        <f>'Данные Брус'!D90</f>
        <v>3</v>
      </c>
      <c r="E58" s="632"/>
      <c r="F58" s="635"/>
    </row>
    <row r="59" spans="2:6">
      <c r="B59" s="785" t="s">
        <v>231</v>
      </c>
      <c r="C59" s="630" t="s">
        <v>85</v>
      </c>
      <c r="D59" s="782">
        <f>D58*8</f>
        <v>24</v>
      </c>
      <c r="E59" s="632"/>
      <c r="F59" s="635"/>
    </row>
    <row r="60" spans="2:6">
      <c r="B60" s="786"/>
      <c r="C60" s="630"/>
      <c r="D60" s="782"/>
      <c r="E60" s="632"/>
      <c r="F60" s="635"/>
    </row>
    <row r="61" spans="2:6" ht="30">
      <c r="B61" s="636" t="s">
        <v>183</v>
      </c>
      <c r="C61" s="630" t="s">
        <v>85</v>
      </c>
      <c r="D61" s="782"/>
      <c r="E61" s="632"/>
      <c r="F61" s="635"/>
    </row>
    <row r="62" spans="2:6">
      <c r="B62" s="611" t="s">
        <v>161</v>
      </c>
      <c r="C62" s="630" t="s">
        <v>156</v>
      </c>
      <c r="D62" s="782"/>
      <c r="E62" s="632"/>
      <c r="F62" s="635"/>
    </row>
    <row r="63" spans="2:6">
      <c r="B63" s="783" t="s">
        <v>155</v>
      </c>
      <c r="C63" s="630" t="s">
        <v>63</v>
      </c>
      <c r="D63" s="787">
        <f>D49/30</f>
        <v>2.1733333333333333</v>
      </c>
      <c r="E63" s="632"/>
      <c r="F63" s="635"/>
    </row>
    <row r="64" spans="2:6">
      <c r="B64" s="611" t="s">
        <v>194</v>
      </c>
      <c r="C64" s="630" t="s">
        <v>156</v>
      </c>
      <c r="D64" s="782">
        <f>ROUNDUP(D63*225/87,0)</f>
        <v>6</v>
      </c>
      <c r="E64" s="632"/>
      <c r="F64" s="635"/>
    </row>
    <row r="65" spans="2:6">
      <c r="B65" s="611" t="s">
        <v>154</v>
      </c>
      <c r="C65" s="630" t="s">
        <v>150</v>
      </c>
      <c r="D65" s="782">
        <f>D49*'Данные Брус'!E111</f>
        <v>16300</v>
      </c>
      <c r="E65" s="632"/>
      <c r="F65" s="635"/>
    </row>
    <row r="66" spans="2:6">
      <c r="B66" s="611"/>
      <c r="C66" s="630"/>
      <c r="D66" s="782"/>
      <c r="E66" s="632"/>
      <c r="F66" s="635"/>
    </row>
    <row r="67" spans="2:6">
      <c r="B67" s="611" t="s">
        <v>89</v>
      </c>
      <c r="C67" s="630" t="s">
        <v>85</v>
      </c>
      <c r="D67" s="782"/>
      <c r="E67" s="632"/>
      <c r="F67" s="635"/>
    </row>
    <row r="68" spans="2:6">
      <c r="B68" s="611" t="s">
        <v>153</v>
      </c>
      <c r="C68" s="630" t="s">
        <v>85</v>
      </c>
      <c r="D68" s="782">
        <f>D67*4</f>
        <v>0</v>
      </c>
      <c r="E68" s="632"/>
      <c r="F68" s="635"/>
    </row>
    <row r="69" spans="2:6">
      <c r="B69" s="611" t="s">
        <v>161</v>
      </c>
      <c r="C69" s="630" t="s">
        <v>156</v>
      </c>
      <c r="D69" s="782">
        <f>D67*20/395</f>
        <v>0</v>
      </c>
      <c r="E69" s="632"/>
      <c r="F69" s="635"/>
    </row>
    <row r="70" spans="2:6">
      <c r="B70" s="788"/>
      <c r="C70" s="630"/>
      <c r="D70" s="782"/>
      <c r="E70" s="632"/>
      <c r="F70" s="635"/>
    </row>
    <row r="71" spans="2:6">
      <c r="B71" s="788"/>
      <c r="C71" s="630"/>
      <c r="D71" s="782"/>
      <c r="E71" s="632"/>
      <c r="F71" s="635"/>
    </row>
    <row r="72" spans="2:6">
      <c r="B72" s="788"/>
      <c r="C72" s="630"/>
      <c r="D72" s="782"/>
      <c r="E72" s="632"/>
      <c r="F72" s="635"/>
    </row>
    <row r="73" spans="2:6">
      <c r="B73" s="788"/>
      <c r="C73" s="630"/>
      <c r="D73" s="782"/>
      <c r="E73" s="632"/>
      <c r="F73" s="635"/>
    </row>
    <row r="74" spans="2:6">
      <c r="B74" s="634"/>
      <c r="C74" s="630"/>
      <c r="D74" s="632"/>
      <c r="E74" s="632"/>
      <c r="F74" s="635"/>
    </row>
    <row r="75" spans="2:6">
      <c r="B75" s="634"/>
      <c r="C75" s="630"/>
      <c r="D75" s="632"/>
      <c r="E75" s="632"/>
      <c r="F75" s="635"/>
    </row>
    <row r="76" spans="2:6">
      <c r="B76" s="634"/>
      <c r="C76" s="630"/>
      <c r="D76" s="632"/>
      <c r="E76" s="632"/>
      <c r="F76" s="635"/>
    </row>
    <row r="77" spans="2:6">
      <c r="B77" s="634"/>
      <c r="C77" s="630"/>
      <c r="D77" s="632"/>
      <c r="E77" s="632"/>
      <c r="F77" s="635"/>
    </row>
    <row r="144" spans="13:13">
      <c r="M144" s="551"/>
    </row>
    <row r="145" spans="13:13">
      <c r="M145" s="551"/>
    </row>
    <row r="146" spans="13:13">
      <c r="M146" s="551"/>
    </row>
    <row r="147" spans="13:13">
      <c r="M147" s="551"/>
    </row>
    <row r="148" spans="13:13">
      <c r="M148" s="551"/>
    </row>
    <row r="149" spans="13:13">
      <c r="M149" s="551"/>
    </row>
    <row r="150" spans="13:13">
      <c r="M150" s="551"/>
    </row>
    <row r="151" spans="13:13">
      <c r="M151" s="551"/>
    </row>
    <row r="152" spans="13:13">
      <c r="M152" s="551"/>
    </row>
    <row r="153" spans="13:13">
      <c r="M153" s="551"/>
    </row>
    <row r="154" spans="13:13">
      <c r="M154" s="551"/>
    </row>
    <row r="155" spans="13:13">
      <c r="M155" s="551"/>
    </row>
    <row r="156" spans="13:13">
      <c r="M156" s="551"/>
    </row>
    <row r="157" spans="13:13">
      <c r="M157" s="551"/>
    </row>
    <row r="158" spans="13:13">
      <c r="M158" s="551"/>
    </row>
    <row r="159" spans="13:13">
      <c r="M159" s="551"/>
    </row>
    <row r="160" spans="13:13">
      <c r="M160" s="551"/>
    </row>
    <row r="161" spans="13:13">
      <c r="M161" s="551"/>
    </row>
    <row r="162" spans="13:13">
      <c r="M162" s="551"/>
    </row>
    <row r="163" spans="13:13">
      <c r="M163" s="551"/>
    </row>
    <row r="164" spans="13:13">
      <c r="M164" s="551"/>
    </row>
    <row r="165" spans="13:13">
      <c r="M165" s="551"/>
    </row>
    <row r="166" spans="13:13">
      <c r="M166" s="551"/>
    </row>
    <row r="167" spans="13:13">
      <c r="M167" s="551"/>
    </row>
    <row r="168" spans="13:13">
      <c r="M168" s="551"/>
    </row>
    <row r="169" spans="13:13">
      <c r="M169" s="551"/>
    </row>
    <row r="170" spans="13:13">
      <c r="M170" s="551"/>
    </row>
    <row r="171" spans="13:13">
      <c r="M171" s="551"/>
    </row>
    <row r="172" spans="13:13">
      <c r="M172" s="551"/>
    </row>
    <row r="173" spans="13:13">
      <c r="M173" s="551"/>
    </row>
    <row r="174" spans="13:13">
      <c r="M174" s="551"/>
    </row>
    <row r="175" spans="13:13">
      <c r="M175" s="551"/>
    </row>
    <row r="176" spans="13:13">
      <c r="M176" s="551"/>
    </row>
    <row r="177" spans="13:13">
      <c r="M177" s="551"/>
    </row>
    <row r="178" spans="13:13">
      <c r="M178" s="551"/>
    </row>
    <row r="179" spans="13:13">
      <c r="M179" s="551"/>
    </row>
    <row r="180" spans="13:13">
      <c r="M180" s="551"/>
    </row>
    <row r="181" spans="13:13">
      <c r="M181" s="551"/>
    </row>
    <row r="182" spans="13:13">
      <c r="M182" s="551"/>
    </row>
    <row r="183" spans="13:13">
      <c r="M183" s="551"/>
    </row>
    <row r="184" spans="13:13">
      <c r="M184" s="551"/>
    </row>
    <row r="185" spans="13:13">
      <c r="M185" s="551"/>
    </row>
    <row r="186" spans="13:13">
      <c r="M186" s="551"/>
    </row>
    <row r="187" spans="13:13">
      <c r="M187" s="551"/>
    </row>
    <row r="188" spans="13:13">
      <c r="M188" s="551"/>
    </row>
    <row r="189" spans="13:13">
      <c r="M189" s="551"/>
    </row>
    <row r="190" spans="13:13">
      <c r="M190" s="551"/>
    </row>
    <row r="191" spans="13:13">
      <c r="M191" s="551"/>
    </row>
    <row r="192" spans="13:13">
      <c r="M192" s="551"/>
    </row>
    <row r="193" spans="2:13">
      <c r="M193" s="551"/>
    </row>
    <row r="194" spans="2:13">
      <c r="M194" s="551"/>
    </row>
    <row r="195" spans="2:13">
      <c r="M195" s="551"/>
    </row>
    <row r="196" spans="2:13">
      <c r="M196" s="551"/>
    </row>
    <row r="197" spans="2:13">
      <c r="M197" s="551"/>
    </row>
    <row r="198" spans="2:13">
      <c r="M198" s="551"/>
    </row>
    <row r="199" spans="2:13">
      <c r="C199" s="789"/>
      <c r="D199" s="789"/>
      <c r="M199" s="551"/>
    </row>
    <row r="200" spans="2:13">
      <c r="C200" s="789"/>
      <c r="D200" s="789"/>
      <c r="E200" s="1320" t="s">
        <v>558</v>
      </c>
      <c r="M200" s="551"/>
    </row>
    <row r="201" spans="2:13">
      <c r="B201" s="790"/>
      <c r="C201" s="791"/>
      <c r="D201" s="792" t="s">
        <v>179</v>
      </c>
      <c r="E201" s="1320"/>
      <c r="F201" s="793"/>
      <c r="G201" s="794"/>
      <c r="H201" s="789"/>
      <c r="M201" s="551"/>
    </row>
    <row r="202" spans="2:13">
      <c r="B202" s="653" t="s">
        <v>235</v>
      </c>
      <c r="C202" s="653" t="s">
        <v>105</v>
      </c>
      <c r="D202" s="655">
        <f t="shared" ref="D202:D207" si="0">H232</f>
        <v>4646.4000000000005</v>
      </c>
      <c r="E202" s="655">
        <f>ROUNDUP(D202*10/1000,0)</f>
        <v>47</v>
      </c>
      <c r="F202" s="655"/>
      <c r="G202" s="655"/>
      <c r="H202" s="655"/>
      <c r="I202" s="795"/>
      <c r="J202" s="795"/>
      <c r="K202" s="795"/>
      <c r="M202" s="551"/>
    </row>
    <row r="203" spans="2:13">
      <c r="B203" s="653" t="s">
        <v>235</v>
      </c>
      <c r="C203" s="653" t="s">
        <v>106</v>
      </c>
      <c r="D203" s="655">
        <f t="shared" si="0"/>
        <v>4645.1900000000014</v>
      </c>
      <c r="E203" s="655">
        <f t="shared" ref="E203:E207" si="1">ROUNDUP(D203*10/1000,0)</f>
        <v>47</v>
      </c>
      <c r="F203" s="655"/>
      <c r="G203" s="655"/>
      <c r="H203" s="655"/>
      <c r="I203" s="795"/>
      <c r="J203" s="795"/>
      <c r="K203" s="795"/>
      <c r="M203" s="551"/>
    </row>
    <row r="204" spans="2:13">
      <c r="B204" s="653" t="s">
        <v>235</v>
      </c>
      <c r="C204" s="653" t="s">
        <v>236</v>
      </c>
      <c r="D204" s="655">
        <f t="shared" si="0"/>
        <v>3122.9</v>
      </c>
      <c r="E204" s="655">
        <f t="shared" si="1"/>
        <v>32</v>
      </c>
      <c r="F204" s="655"/>
      <c r="G204" s="655"/>
      <c r="H204" s="655"/>
      <c r="I204" s="795"/>
      <c r="J204" s="795"/>
      <c r="K204" s="795"/>
      <c r="M204" s="551"/>
    </row>
    <row r="205" spans="2:13">
      <c r="B205" s="653" t="s">
        <v>237</v>
      </c>
      <c r="C205" s="653" t="s">
        <v>105</v>
      </c>
      <c r="D205" s="655">
        <f t="shared" si="0"/>
        <v>4224</v>
      </c>
      <c r="E205" s="655">
        <f t="shared" si="1"/>
        <v>43</v>
      </c>
      <c r="F205" s="655"/>
      <c r="G205" s="655"/>
      <c r="H205" s="655"/>
      <c r="I205" s="795"/>
      <c r="J205" s="795"/>
      <c r="K205" s="795"/>
      <c r="M205" s="551"/>
    </row>
    <row r="206" spans="2:13">
      <c r="B206" s="653" t="s">
        <v>237</v>
      </c>
      <c r="C206" s="653" t="s">
        <v>106</v>
      </c>
      <c r="D206" s="655">
        <f t="shared" si="0"/>
        <v>4222.9000000000005</v>
      </c>
      <c r="E206" s="655">
        <f t="shared" si="1"/>
        <v>43</v>
      </c>
      <c r="F206" s="655"/>
      <c r="G206" s="655"/>
      <c r="H206" s="655"/>
      <c r="I206" s="795"/>
      <c r="J206" s="795"/>
      <c r="K206" s="795"/>
      <c r="M206" s="551"/>
    </row>
    <row r="207" spans="2:13">
      <c r="B207" s="653" t="s">
        <v>237</v>
      </c>
      <c r="C207" s="653" t="s">
        <v>107</v>
      </c>
      <c r="D207" s="655">
        <f t="shared" si="0"/>
        <v>3122.9</v>
      </c>
      <c r="E207" s="655">
        <f t="shared" si="1"/>
        <v>32</v>
      </c>
      <c r="F207" s="655"/>
      <c r="G207" s="655"/>
      <c r="H207" s="655"/>
      <c r="I207" s="795"/>
      <c r="J207" s="795"/>
      <c r="K207" s="795"/>
      <c r="M207" s="551"/>
    </row>
    <row r="208" spans="2:13">
      <c r="B208" s="653" t="s">
        <v>101</v>
      </c>
      <c r="C208" s="653" t="s">
        <v>102</v>
      </c>
      <c r="D208" s="655">
        <f>H239</f>
        <v>4224</v>
      </c>
      <c r="E208" s="655">
        <f>ROUNDUP(D208*5/1000,0)</f>
        <v>22</v>
      </c>
      <c r="F208" s="655"/>
      <c r="G208" s="655"/>
      <c r="H208" s="655"/>
      <c r="I208" s="795"/>
      <c r="J208" s="795"/>
      <c r="K208" s="795"/>
      <c r="M208" s="551"/>
    </row>
    <row r="209" spans="2:13">
      <c r="B209" s="653" t="s">
        <v>101</v>
      </c>
      <c r="C209" s="653" t="s">
        <v>103</v>
      </c>
      <c r="D209" s="655">
        <f>H240</f>
        <v>4224</v>
      </c>
      <c r="E209" s="655">
        <f>ROUNDUP(D209*5/1000,0)</f>
        <v>22</v>
      </c>
      <c r="F209" s="655"/>
      <c r="G209" s="655"/>
      <c r="H209" s="655"/>
      <c r="I209" s="795"/>
      <c r="J209" s="795"/>
      <c r="K209" s="795"/>
      <c r="M209" s="551"/>
    </row>
    <row r="210" spans="2:13">
      <c r="B210" s="653" t="s">
        <v>238</v>
      </c>
      <c r="C210" s="653" t="s">
        <v>105</v>
      </c>
      <c r="D210" s="655">
        <f t="shared" ref="D210:D227" si="2">H241</f>
        <v>4224</v>
      </c>
      <c r="E210" s="655">
        <f t="shared" ref="E210:E227" si="3">ROUNDUP(D210*10/1000,0)</f>
        <v>43</v>
      </c>
      <c r="F210" s="655"/>
      <c r="G210" s="655"/>
      <c r="H210" s="655"/>
      <c r="I210" s="795"/>
      <c r="J210" s="795"/>
      <c r="K210" s="795"/>
      <c r="M210" s="551"/>
    </row>
    <row r="211" spans="2:13">
      <c r="B211" s="653" t="s">
        <v>104</v>
      </c>
      <c r="C211" s="653" t="s">
        <v>106</v>
      </c>
      <c r="D211" s="655">
        <f t="shared" si="2"/>
        <v>4222.9000000000005</v>
      </c>
      <c r="E211" s="655">
        <f t="shared" si="3"/>
        <v>43</v>
      </c>
      <c r="F211" s="655"/>
      <c r="G211" s="655"/>
      <c r="H211" s="655"/>
      <c r="I211" s="795"/>
      <c r="J211" s="795"/>
      <c r="K211" s="795"/>
      <c r="M211" s="551"/>
    </row>
    <row r="212" spans="2:13">
      <c r="B212" s="653" t="s">
        <v>104</v>
      </c>
      <c r="C212" s="653" t="s">
        <v>107</v>
      </c>
      <c r="D212" s="655">
        <f t="shared" si="2"/>
        <v>3122.9</v>
      </c>
      <c r="E212" s="655">
        <f t="shared" si="3"/>
        <v>32</v>
      </c>
      <c r="F212" s="655"/>
      <c r="G212" s="655"/>
      <c r="H212" s="655"/>
      <c r="I212" s="795"/>
      <c r="J212" s="795"/>
      <c r="K212" s="795"/>
      <c r="M212" s="551"/>
    </row>
    <row r="213" spans="2:13">
      <c r="B213" s="653" t="s">
        <v>101</v>
      </c>
      <c r="C213" s="653" t="s">
        <v>108</v>
      </c>
      <c r="D213" s="655">
        <f t="shared" si="2"/>
        <v>4224</v>
      </c>
      <c r="E213" s="655">
        <f t="shared" si="3"/>
        <v>43</v>
      </c>
      <c r="F213" s="655"/>
      <c r="G213" s="655"/>
      <c r="H213" s="655"/>
      <c r="I213" s="795"/>
      <c r="J213" s="795"/>
      <c r="K213" s="795"/>
      <c r="M213" s="551"/>
    </row>
    <row r="214" spans="2:13">
      <c r="B214" s="653" t="s">
        <v>101</v>
      </c>
      <c r="C214" s="653" t="s">
        <v>109</v>
      </c>
      <c r="D214" s="655">
        <f t="shared" si="2"/>
        <v>4222.9000000000005</v>
      </c>
      <c r="E214" s="655">
        <f t="shared" si="3"/>
        <v>43</v>
      </c>
      <c r="F214" s="655"/>
      <c r="G214" s="655"/>
      <c r="H214" s="655"/>
      <c r="I214" s="795"/>
      <c r="J214" s="795"/>
      <c r="K214" s="795"/>
      <c r="M214" s="551"/>
    </row>
    <row r="215" spans="2:13">
      <c r="B215" s="653" t="s">
        <v>101</v>
      </c>
      <c r="C215" s="653" t="s">
        <v>110</v>
      </c>
      <c r="D215" s="655">
        <f t="shared" si="2"/>
        <v>3121.8</v>
      </c>
      <c r="E215" s="655">
        <f t="shared" si="3"/>
        <v>32</v>
      </c>
      <c r="F215" s="655"/>
      <c r="G215" s="655"/>
      <c r="H215" s="655"/>
      <c r="I215" s="795"/>
      <c r="J215" s="795"/>
      <c r="K215" s="795"/>
      <c r="M215" s="551"/>
    </row>
    <row r="216" spans="2:13">
      <c r="B216" s="653" t="s">
        <v>111</v>
      </c>
      <c r="C216" s="653" t="s">
        <v>112</v>
      </c>
      <c r="D216" s="655">
        <f>H248</f>
        <v>4268</v>
      </c>
      <c r="E216" s="655">
        <f t="shared" si="3"/>
        <v>43</v>
      </c>
      <c r="F216" s="655"/>
      <c r="G216" s="655"/>
      <c r="H216" s="655"/>
      <c r="I216" s="795"/>
      <c r="J216" s="795"/>
      <c r="K216" s="795"/>
      <c r="M216" s="551"/>
    </row>
    <row r="217" spans="2:13">
      <c r="B217" s="653" t="s">
        <v>111</v>
      </c>
      <c r="C217" s="653" t="s">
        <v>113</v>
      </c>
      <c r="D217" s="655">
        <f t="shared" si="2"/>
        <v>4268</v>
      </c>
      <c r="E217" s="655">
        <f t="shared" si="3"/>
        <v>43</v>
      </c>
      <c r="F217" s="655"/>
      <c r="G217" s="655"/>
      <c r="H217" s="655"/>
      <c r="I217" s="795"/>
      <c r="J217" s="795"/>
      <c r="K217" s="795"/>
      <c r="M217" s="551"/>
    </row>
    <row r="218" spans="2:13">
      <c r="B218" s="653" t="s">
        <v>111</v>
      </c>
      <c r="C218" s="653" t="s">
        <v>114</v>
      </c>
      <c r="D218" s="655">
        <f t="shared" si="2"/>
        <v>4268</v>
      </c>
      <c r="E218" s="655">
        <f t="shared" si="3"/>
        <v>43</v>
      </c>
      <c r="F218" s="655"/>
      <c r="G218" s="655"/>
      <c r="H218" s="655"/>
      <c r="I218" s="795"/>
      <c r="J218" s="795"/>
      <c r="K218" s="795"/>
      <c r="M218" s="551"/>
    </row>
    <row r="219" spans="2:13">
      <c r="B219" s="653" t="s">
        <v>111</v>
      </c>
      <c r="C219" s="653" t="s">
        <v>115</v>
      </c>
      <c r="D219" s="655">
        <f t="shared" si="2"/>
        <v>3154.8</v>
      </c>
      <c r="E219" s="655">
        <f t="shared" si="3"/>
        <v>32</v>
      </c>
      <c r="F219" s="655"/>
      <c r="G219" s="655"/>
      <c r="H219" s="655"/>
      <c r="I219" s="795"/>
      <c r="J219" s="795"/>
      <c r="K219" s="795"/>
      <c r="M219" s="551"/>
    </row>
    <row r="220" spans="2:13">
      <c r="B220" s="653" t="s">
        <v>111</v>
      </c>
      <c r="C220" s="653" t="s">
        <v>116</v>
      </c>
      <c r="D220" s="655">
        <f t="shared" si="2"/>
        <v>3154.8</v>
      </c>
      <c r="E220" s="655">
        <f t="shared" si="3"/>
        <v>32</v>
      </c>
      <c r="F220" s="655"/>
      <c r="G220" s="655"/>
      <c r="H220" s="655"/>
      <c r="I220" s="795"/>
      <c r="J220" s="795"/>
      <c r="K220" s="795"/>
      <c r="M220" s="551"/>
    </row>
    <row r="221" spans="2:13">
      <c r="B221" s="653" t="s">
        <v>111</v>
      </c>
      <c r="C221" s="653" t="s">
        <v>117</v>
      </c>
      <c r="D221" s="655">
        <f t="shared" si="2"/>
        <v>4198.7000000000007</v>
      </c>
      <c r="E221" s="655">
        <f t="shared" si="3"/>
        <v>42</v>
      </c>
      <c r="F221" s="655"/>
      <c r="G221" s="655"/>
      <c r="H221" s="655"/>
      <c r="I221" s="795"/>
      <c r="J221" s="795"/>
      <c r="K221" s="795"/>
      <c r="M221" s="551"/>
    </row>
    <row r="222" spans="2:13">
      <c r="B222" s="653" t="s">
        <v>111</v>
      </c>
      <c r="C222" s="653" t="s">
        <v>118</v>
      </c>
      <c r="D222" s="655">
        <f t="shared" si="2"/>
        <v>3153.7000000000003</v>
      </c>
      <c r="E222" s="655">
        <f t="shared" si="3"/>
        <v>32</v>
      </c>
      <c r="F222" s="655"/>
      <c r="G222" s="655"/>
      <c r="H222" s="655"/>
      <c r="I222" s="795"/>
      <c r="J222" s="795"/>
      <c r="K222" s="795"/>
      <c r="M222" s="551"/>
    </row>
    <row r="223" spans="2:13">
      <c r="B223" s="653" t="s">
        <v>111</v>
      </c>
      <c r="C223" s="653" t="s">
        <v>119</v>
      </c>
      <c r="D223" s="655">
        <f t="shared" si="2"/>
        <v>2598.2000000000003</v>
      </c>
      <c r="E223" s="655">
        <f t="shared" si="3"/>
        <v>26</v>
      </c>
      <c r="F223" s="655"/>
      <c r="G223" s="655"/>
      <c r="H223" s="655"/>
      <c r="I223" s="795"/>
      <c r="J223" s="795"/>
      <c r="K223" s="795"/>
      <c r="M223" s="551"/>
    </row>
    <row r="224" spans="2:13">
      <c r="B224" s="653" t="s">
        <v>111</v>
      </c>
      <c r="C224" s="653" t="s">
        <v>120</v>
      </c>
      <c r="D224" s="655">
        <f t="shared" si="2"/>
        <v>2597.1000000000004</v>
      </c>
      <c r="E224" s="655">
        <f t="shared" si="3"/>
        <v>26</v>
      </c>
      <c r="F224" s="655"/>
      <c r="G224" s="655"/>
      <c r="H224" s="655"/>
      <c r="I224" s="795"/>
      <c r="J224" s="795"/>
      <c r="K224" s="795"/>
      <c r="M224" s="551"/>
    </row>
    <row r="225" spans="2:25">
      <c r="B225" s="653" t="s">
        <v>111</v>
      </c>
      <c r="C225" s="653" t="s">
        <v>121</v>
      </c>
      <c r="D225" s="655">
        <f t="shared" si="2"/>
        <v>2597.1000000000004</v>
      </c>
      <c r="E225" s="655">
        <f t="shared" si="3"/>
        <v>26</v>
      </c>
      <c r="F225" s="655"/>
      <c r="G225" s="655"/>
      <c r="H225" s="655"/>
      <c r="I225" s="795"/>
      <c r="J225" s="795"/>
      <c r="K225" s="795"/>
      <c r="M225" s="551"/>
    </row>
    <row r="226" spans="2:25">
      <c r="B226" s="653" t="s">
        <v>111</v>
      </c>
      <c r="C226" s="653" t="s">
        <v>122</v>
      </c>
      <c r="D226" s="655">
        <f t="shared" si="2"/>
        <v>2413.4</v>
      </c>
      <c r="E226" s="655">
        <f t="shared" si="3"/>
        <v>25</v>
      </c>
      <c r="F226" s="655"/>
      <c r="G226" s="655"/>
      <c r="H226" s="655"/>
      <c r="I226" s="795"/>
      <c r="J226" s="795"/>
      <c r="K226" s="795"/>
      <c r="M226" s="551"/>
    </row>
    <row r="227" spans="2:25">
      <c r="B227" s="653" t="s">
        <v>111</v>
      </c>
      <c r="C227" s="653" t="s">
        <v>123</v>
      </c>
      <c r="D227" s="655">
        <f t="shared" si="2"/>
        <v>2413.4</v>
      </c>
      <c r="E227" s="655">
        <f t="shared" si="3"/>
        <v>25</v>
      </c>
      <c r="F227" s="655"/>
      <c r="G227" s="655"/>
      <c r="H227" s="655"/>
      <c r="I227" s="795"/>
      <c r="J227" s="795"/>
      <c r="K227" s="795"/>
      <c r="M227" s="551"/>
    </row>
    <row r="228" spans="2:25">
      <c r="M228" s="551"/>
    </row>
    <row r="229" spans="2:25">
      <c r="I229" s="1309" t="s">
        <v>243</v>
      </c>
      <c r="J229" s="1309"/>
      <c r="K229" s="1309" t="s">
        <v>242</v>
      </c>
      <c r="L229" s="1309"/>
    </row>
    <row r="230" spans="2:25">
      <c r="C230" s="551" t="s">
        <v>91</v>
      </c>
      <c r="D230" s="551" t="s">
        <v>63</v>
      </c>
      <c r="E230" s="551" t="s">
        <v>376</v>
      </c>
      <c r="F230" s="551"/>
      <c r="G230" s="551" t="s">
        <v>178</v>
      </c>
      <c r="H230" s="551" t="s">
        <v>179</v>
      </c>
      <c r="I230" s="641" t="s">
        <v>239</v>
      </c>
      <c r="J230" s="641" t="s">
        <v>240</v>
      </c>
      <c r="K230" s="641" t="s">
        <v>239</v>
      </c>
      <c r="L230" s="641" t="s">
        <v>240</v>
      </c>
      <c r="M230" s="551" t="s">
        <v>185</v>
      </c>
      <c r="N230" s="551" t="s">
        <v>190</v>
      </c>
      <c r="O230" s="551" t="s">
        <v>186</v>
      </c>
      <c r="P230" s="796" t="s">
        <v>93</v>
      </c>
      <c r="Q230" s="551" t="s">
        <v>94</v>
      </c>
      <c r="R230" s="551" t="s">
        <v>95</v>
      </c>
      <c r="S230" s="551" t="s">
        <v>96</v>
      </c>
      <c r="T230" s="551" t="s">
        <v>97</v>
      </c>
      <c r="U230" s="551" t="s">
        <v>98</v>
      </c>
      <c r="V230" s="551" t="s">
        <v>99</v>
      </c>
      <c r="W230" s="551" t="s">
        <v>80</v>
      </c>
      <c r="X230" s="551" t="s">
        <v>100</v>
      </c>
      <c r="Y230" s="551" t="s">
        <v>92</v>
      </c>
    </row>
    <row r="231" spans="2:25">
      <c r="C231" s="551"/>
      <c r="D231" s="551"/>
      <c r="E231" s="551"/>
      <c r="F231" s="551"/>
      <c r="G231" s="551"/>
      <c r="H231" s="551"/>
      <c r="I231" s="551"/>
      <c r="J231" s="551"/>
      <c r="K231" s="551"/>
      <c r="L231" s="551"/>
      <c r="M231" s="551"/>
      <c r="N231" s="551"/>
      <c r="O231" s="551"/>
      <c r="P231" s="796"/>
      <c r="Q231" s="551"/>
      <c r="R231" s="551"/>
      <c r="S231" s="551"/>
      <c r="T231" s="551"/>
      <c r="U231" s="551"/>
      <c r="V231" s="551"/>
      <c r="W231" s="551"/>
      <c r="X231" s="551"/>
      <c r="Y231" s="551"/>
    </row>
    <row r="232" spans="2:25">
      <c r="B232" s="797" t="s">
        <v>235</v>
      </c>
      <c r="C232" s="797" t="s">
        <v>105</v>
      </c>
      <c r="D232" s="798">
        <f>D235</f>
        <v>67.78</v>
      </c>
      <c r="E232" s="798">
        <f>E241</f>
        <v>70.45</v>
      </c>
      <c r="F232" s="799">
        <f>F235</f>
        <v>2.6700000000000017</v>
      </c>
      <c r="G232" s="799">
        <f>G235</f>
        <v>49.26</v>
      </c>
      <c r="H232" s="800">
        <f>H235*1.1</f>
        <v>4646.4000000000005</v>
      </c>
      <c r="I232" s="801">
        <f>H553</f>
        <v>3</v>
      </c>
      <c r="J232" s="801">
        <f>I553</f>
        <v>0</v>
      </c>
      <c r="K232" s="802">
        <v>26</v>
      </c>
      <c r="L232" s="802">
        <v>14</v>
      </c>
      <c r="M232" s="802">
        <f t="shared" ref="M232:O234" si="4">M235</f>
        <v>3</v>
      </c>
      <c r="N232" s="803">
        <f t="shared" si="4"/>
        <v>8.4527665822784801</v>
      </c>
      <c r="O232" s="802">
        <f t="shared" si="4"/>
        <v>563.42972250000003</v>
      </c>
      <c r="P232" s="796"/>
      <c r="Q232" s="551"/>
      <c r="R232" s="551"/>
      <c r="S232" s="551"/>
      <c r="T232" s="551"/>
      <c r="U232" s="551"/>
      <c r="V232" s="551"/>
      <c r="W232" s="551"/>
      <c r="X232" s="551"/>
      <c r="Y232" s="551"/>
    </row>
    <row r="233" spans="2:25">
      <c r="B233" s="797" t="s">
        <v>235</v>
      </c>
      <c r="C233" s="797" t="s">
        <v>106</v>
      </c>
      <c r="D233" s="798">
        <f>D242</f>
        <v>91.987142857142842</v>
      </c>
      <c r="E233" s="798">
        <f>E242</f>
        <v>95.61071428571428</v>
      </c>
      <c r="F233" s="799">
        <f>F242</f>
        <v>3.6235714285714304</v>
      </c>
      <c r="G233" s="799">
        <f>G242</f>
        <v>36.29</v>
      </c>
      <c r="H233" s="800">
        <f>H236*1.1</f>
        <v>4645.1900000000014</v>
      </c>
      <c r="I233" s="801">
        <f>H567</f>
        <v>3</v>
      </c>
      <c r="J233" s="801">
        <f>I567</f>
        <v>1</v>
      </c>
      <c r="K233" s="802">
        <v>26</v>
      </c>
      <c r="L233" s="802">
        <v>14</v>
      </c>
      <c r="M233" s="802">
        <f t="shared" si="4"/>
        <v>3</v>
      </c>
      <c r="N233" s="803">
        <f t="shared" si="4"/>
        <v>8.4511732007233267</v>
      </c>
      <c r="O233" s="802">
        <f t="shared" si="4"/>
        <v>563.32351366071418</v>
      </c>
      <c r="P233" s="796"/>
      <c r="Q233" s="551"/>
      <c r="R233" s="551"/>
      <c r="S233" s="551"/>
      <c r="T233" s="551"/>
      <c r="U233" s="551"/>
      <c r="V233" s="551"/>
      <c r="W233" s="551"/>
      <c r="X233" s="551"/>
      <c r="Y233" s="551"/>
    </row>
    <row r="234" spans="2:25">
      <c r="B234" s="797" t="s">
        <v>235</v>
      </c>
      <c r="C234" s="797" t="s">
        <v>107</v>
      </c>
      <c r="D234" s="798">
        <f>D237</f>
        <v>91.435495823516817</v>
      </c>
      <c r="E234" s="798">
        <f>E243</f>
        <v>95.037336688798462</v>
      </c>
      <c r="F234" s="799">
        <f>F237</f>
        <v>3.6235714285714304</v>
      </c>
      <c r="G234" s="799">
        <f>G237</f>
        <v>26.99</v>
      </c>
      <c r="H234" s="800">
        <f>H237</f>
        <v>3122.9</v>
      </c>
      <c r="I234" s="801">
        <f>H581</f>
        <v>3</v>
      </c>
      <c r="J234" s="801">
        <f>I581</f>
        <v>1</v>
      </c>
      <c r="K234" s="802">
        <v>26</v>
      </c>
      <c r="L234" s="802">
        <v>14</v>
      </c>
      <c r="M234" s="802">
        <f t="shared" si="4"/>
        <v>2</v>
      </c>
      <c r="N234" s="803">
        <f t="shared" si="4"/>
        <v>6.2477064108271358</v>
      </c>
      <c r="O234" s="802">
        <f t="shared" si="4"/>
        <v>570.68893246399125</v>
      </c>
      <c r="P234" s="796"/>
      <c r="Q234" s="551"/>
      <c r="R234" s="551"/>
      <c r="S234" s="551"/>
      <c r="T234" s="551"/>
      <c r="U234" s="551"/>
      <c r="V234" s="551"/>
      <c r="W234" s="551"/>
      <c r="X234" s="551"/>
      <c r="Y234" s="551"/>
    </row>
    <row r="235" spans="2:25">
      <c r="B235" s="797" t="s">
        <v>237</v>
      </c>
      <c r="C235" s="797" t="s">
        <v>105</v>
      </c>
      <c r="D235" s="798">
        <f>D241</f>
        <v>67.78</v>
      </c>
      <c r="E235" s="798">
        <f>E241</f>
        <v>70.45</v>
      </c>
      <c r="F235" s="799">
        <f t="shared" ref="F235:H237" si="5">F241</f>
        <v>2.6700000000000017</v>
      </c>
      <c r="G235" s="799">
        <f t="shared" si="5"/>
        <v>49.26</v>
      </c>
      <c r="H235" s="800">
        <f t="shared" si="5"/>
        <v>4224</v>
      </c>
      <c r="I235" s="801">
        <f>H595</f>
        <v>2</v>
      </c>
      <c r="J235" s="801">
        <f>I595</f>
        <v>1</v>
      </c>
      <c r="K235" s="802">
        <v>33</v>
      </c>
      <c r="L235" s="802">
        <v>16</v>
      </c>
      <c r="M235" s="802">
        <f t="shared" ref="M235:O237" si="6">M241</f>
        <v>3</v>
      </c>
      <c r="N235" s="803">
        <f t="shared" si="6"/>
        <v>8.4527665822784801</v>
      </c>
      <c r="O235" s="802">
        <f t="shared" si="6"/>
        <v>563.42972250000003</v>
      </c>
      <c r="P235" s="796"/>
      <c r="Q235" s="551"/>
      <c r="R235" s="551"/>
      <c r="S235" s="551"/>
      <c r="T235" s="551"/>
      <c r="U235" s="551"/>
      <c r="V235" s="551"/>
      <c r="W235" s="551"/>
      <c r="X235" s="551"/>
      <c r="Y235" s="551"/>
    </row>
    <row r="236" spans="2:25">
      <c r="B236" s="797" t="s">
        <v>237</v>
      </c>
      <c r="C236" s="797" t="s">
        <v>106</v>
      </c>
      <c r="D236" s="798">
        <f>D242</f>
        <v>91.987142857142842</v>
      </c>
      <c r="E236" s="798">
        <f>E242</f>
        <v>95.61071428571428</v>
      </c>
      <c r="F236" s="799">
        <f t="shared" si="5"/>
        <v>3.6235714285714304</v>
      </c>
      <c r="G236" s="799">
        <f t="shared" si="5"/>
        <v>36.29</v>
      </c>
      <c r="H236" s="800">
        <f t="shared" si="5"/>
        <v>4222.9000000000005</v>
      </c>
      <c r="I236" s="801">
        <f>H609</f>
        <v>3</v>
      </c>
      <c r="J236" s="801">
        <f>I609</f>
        <v>0</v>
      </c>
      <c r="K236" s="802">
        <v>33</v>
      </c>
      <c r="L236" s="802">
        <v>16</v>
      </c>
      <c r="M236" s="802">
        <f t="shared" si="6"/>
        <v>3</v>
      </c>
      <c r="N236" s="803">
        <f t="shared" si="6"/>
        <v>8.4511732007233267</v>
      </c>
      <c r="O236" s="802">
        <f t="shared" si="6"/>
        <v>563.32351366071418</v>
      </c>
      <c r="P236" s="796"/>
      <c r="Q236" s="551"/>
      <c r="R236" s="551"/>
      <c r="S236" s="551"/>
      <c r="T236" s="551"/>
      <c r="U236" s="551"/>
      <c r="V236" s="551"/>
      <c r="W236" s="551"/>
      <c r="X236" s="551"/>
      <c r="Y236" s="551"/>
    </row>
    <row r="237" spans="2:25">
      <c r="B237" s="797" t="s">
        <v>237</v>
      </c>
      <c r="C237" s="797" t="s">
        <v>107</v>
      </c>
      <c r="D237" s="799">
        <f>D241*X243</f>
        <v>91.435495823516817</v>
      </c>
      <c r="E237" s="798">
        <f>E243</f>
        <v>95.037336688798462</v>
      </c>
      <c r="F237" s="799">
        <f t="shared" si="5"/>
        <v>3.6235714285714304</v>
      </c>
      <c r="G237" s="799">
        <f t="shared" si="5"/>
        <v>26.99</v>
      </c>
      <c r="H237" s="800">
        <f t="shared" si="5"/>
        <v>3122.9</v>
      </c>
      <c r="I237" s="801">
        <f>H623</f>
        <v>3</v>
      </c>
      <c r="J237" s="801">
        <f>I623</f>
        <v>0</v>
      </c>
      <c r="K237" s="802">
        <v>33</v>
      </c>
      <c r="L237" s="802">
        <v>16</v>
      </c>
      <c r="M237" s="802">
        <f t="shared" si="6"/>
        <v>2</v>
      </c>
      <c r="N237" s="803">
        <f t="shared" si="6"/>
        <v>6.2477064108271358</v>
      </c>
      <c r="O237" s="802">
        <f t="shared" si="6"/>
        <v>570.68893246399125</v>
      </c>
      <c r="P237" s="796"/>
      <c r="Q237" s="551"/>
      <c r="R237" s="551"/>
      <c r="S237" s="551"/>
      <c r="T237" s="551"/>
      <c r="U237" s="551"/>
      <c r="V237" s="551"/>
      <c r="W237" s="551"/>
      <c r="X237" s="551"/>
      <c r="Y237" s="551"/>
    </row>
    <row r="238" spans="2:25">
      <c r="B238" s="653"/>
      <c r="C238" s="653"/>
      <c r="D238" s="657"/>
      <c r="E238" s="804"/>
      <c r="F238" s="657"/>
      <c r="G238" s="657"/>
      <c r="H238" s="658"/>
      <c r="I238" s="659"/>
      <c r="J238" s="659"/>
      <c r="K238" s="658"/>
      <c r="L238" s="658"/>
      <c r="M238" s="658"/>
      <c r="N238" s="655"/>
      <c r="O238" s="658"/>
      <c r="P238" s="796"/>
      <c r="Q238" s="551"/>
      <c r="R238" s="551"/>
      <c r="S238" s="551"/>
      <c r="T238" s="551"/>
      <c r="U238" s="551"/>
      <c r="V238" s="551"/>
      <c r="W238" s="551"/>
      <c r="X238" s="551"/>
      <c r="Y238" s="551"/>
    </row>
    <row r="239" spans="2:25">
      <c r="B239" s="805" t="s">
        <v>101</v>
      </c>
      <c r="C239" s="805" t="s">
        <v>102</v>
      </c>
      <c r="D239" s="806">
        <f>D241*X239</f>
        <v>21.786428571428573</v>
      </c>
      <c r="E239" s="806">
        <f>E241*X239</f>
        <v>22.644642857142859</v>
      </c>
      <c r="F239" s="806">
        <f>F241/0.14*0.045</f>
        <v>0.85821428571428604</v>
      </c>
      <c r="G239" s="806">
        <v>153.25</v>
      </c>
      <c r="H239" s="807">
        <f>ROUNDUP(D239*G239*1.15,0)*1.1</f>
        <v>4224</v>
      </c>
      <c r="I239" s="808">
        <f>H273</f>
        <v>1</v>
      </c>
      <c r="J239" s="808">
        <f>I273</f>
        <v>0</v>
      </c>
      <c r="K239" s="808">
        <v>38</v>
      </c>
      <c r="L239" s="808">
        <v>20</v>
      </c>
      <c r="M239" s="808"/>
      <c r="N239" s="809"/>
      <c r="O239" s="810"/>
      <c r="Q239" s="544">
        <v>23</v>
      </c>
      <c r="R239" s="544">
        <v>23</v>
      </c>
      <c r="S239" s="544">
        <v>0.2349</v>
      </c>
      <c r="T239" s="551">
        <v>1.3050000000000001E-2</v>
      </c>
      <c r="U239" s="544">
        <f t="shared" ref="U239:V242" si="7">S239*23</f>
        <v>5.4027000000000003</v>
      </c>
      <c r="V239" s="544">
        <f t="shared" si="7"/>
        <v>0.30015000000000003</v>
      </c>
      <c r="W239" s="544">
        <f t="shared" ref="W239:W259" si="8">U239+V239</f>
        <v>5.7028500000000006</v>
      </c>
      <c r="X239" s="811">
        <f>W239/W241</f>
        <v>0.32142857142857145</v>
      </c>
    </row>
    <row r="240" spans="2:25">
      <c r="B240" s="805" t="s">
        <v>101</v>
      </c>
      <c r="C240" s="805" t="s">
        <v>103</v>
      </c>
      <c r="D240" s="806">
        <f>D241*X240</f>
        <v>45.993571428571421</v>
      </c>
      <c r="E240" s="806">
        <f>E241*X240</f>
        <v>47.80535714285714</v>
      </c>
      <c r="F240" s="806">
        <f>F241/0.14*0.095</f>
        <v>1.8117857142857152</v>
      </c>
      <c r="G240" s="806">
        <v>72.59</v>
      </c>
      <c r="H240" s="807">
        <f t="shared" ref="H240:H246" si="9">ROUNDUP(D240*G240*1.15,0)*1.1</f>
        <v>4224</v>
      </c>
      <c r="I240" s="808">
        <f>H287</f>
        <v>1</v>
      </c>
      <c r="J240" s="808">
        <f>I287</f>
        <v>1</v>
      </c>
      <c r="K240" s="808">
        <v>38</v>
      </c>
      <c r="L240" s="808">
        <v>20</v>
      </c>
      <c r="M240" s="812"/>
      <c r="N240" s="809"/>
      <c r="O240" s="808"/>
      <c r="Q240" s="544">
        <v>23</v>
      </c>
      <c r="R240" s="544">
        <v>23</v>
      </c>
      <c r="S240" s="544">
        <v>0.49590000000000001</v>
      </c>
      <c r="T240" s="551">
        <v>2.7550000000000002E-2</v>
      </c>
      <c r="U240" s="544">
        <f t="shared" si="7"/>
        <v>11.4057</v>
      </c>
      <c r="V240" s="544">
        <f t="shared" si="7"/>
        <v>0.63365000000000005</v>
      </c>
      <c r="W240" s="544">
        <f t="shared" si="8"/>
        <v>12.039349999999999</v>
      </c>
      <c r="X240" s="811">
        <f>W240/W241</f>
        <v>0.67857142857142849</v>
      </c>
    </row>
    <row r="241" spans="2:25">
      <c r="B241" s="650" t="s">
        <v>241</v>
      </c>
      <c r="C241" s="805" t="s">
        <v>105</v>
      </c>
      <c r="D241" s="813">
        <v>67.78</v>
      </c>
      <c r="E241" s="814">
        <v>70.45</v>
      </c>
      <c r="F241" s="815">
        <f>E241-D241</f>
        <v>2.6700000000000017</v>
      </c>
      <c r="G241" s="806">
        <v>49.26</v>
      </c>
      <c r="H241" s="807">
        <f t="shared" si="9"/>
        <v>4224</v>
      </c>
      <c r="I241" s="808">
        <f>H301</f>
        <v>2</v>
      </c>
      <c r="J241" s="808">
        <f>I301</f>
        <v>1</v>
      </c>
      <c r="K241" s="808">
        <v>32</v>
      </c>
      <c r="L241" s="808">
        <v>17</v>
      </c>
      <c r="M241" s="808">
        <f t="shared" ref="M241:M259" si="10">ROUNDUP(G241*D241/10*0.08/10,0)</f>
        <v>3</v>
      </c>
      <c r="N241" s="816">
        <f t="shared" ref="N241:N259" si="11">G241*D241/10*10/395</f>
        <v>8.4527665822784801</v>
      </c>
      <c r="O241" s="810">
        <f>G241/1.2*0.135*1.5*D241</f>
        <v>563.42972250000003</v>
      </c>
      <c r="Q241" s="544">
        <v>23</v>
      </c>
      <c r="R241" s="544">
        <v>23</v>
      </c>
      <c r="S241" s="544">
        <v>0.73080000000000001</v>
      </c>
      <c r="T241" s="551">
        <v>4.0599999999999997E-2</v>
      </c>
      <c r="U241" s="544">
        <f t="shared" si="7"/>
        <v>16.808399999999999</v>
      </c>
      <c r="V241" s="544">
        <f t="shared" si="7"/>
        <v>0.93379999999999996</v>
      </c>
      <c r="W241" s="817">
        <f t="shared" si="8"/>
        <v>17.7422</v>
      </c>
      <c r="X241" s="811"/>
      <c r="Y241" s="544">
        <v>38.78</v>
      </c>
    </row>
    <row r="242" spans="2:25">
      <c r="B242" s="805" t="s">
        <v>104</v>
      </c>
      <c r="C242" s="805" t="s">
        <v>106</v>
      </c>
      <c r="D242" s="806">
        <f>D241*X242</f>
        <v>91.987142857142842</v>
      </c>
      <c r="E242" s="806">
        <f>E241*X242</f>
        <v>95.61071428571428</v>
      </c>
      <c r="F242" s="806">
        <f>F241/0.14*0.19</f>
        <v>3.6235714285714304</v>
      </c>
      <c r="G242" s="806">
        <v>36.29</v>
      </c>
      <c r="H242" s="807">
        <f t="shared" si="9"/>
        <v>4222.9000000000005</v>
      </c>
      <c r="I242" s="808">
        <f>H315</f>
        <v>3</v>
      </c>
      <c r="J242" s="808">
        <f>I315</f>
        <v>0</v>
      </c>
      <c r="K242" s="808">
        <v>32</v>
      </c>
      <c r="L242" s="808">
        <v>17</v>
      </c>
      <c r="M242" s="808">
        <f t="shared" si="10"/>
        <v>3</v>
      </c>
      <c r="N242" s="816">
        <f t="shared" si="11"/>
        <v>8.4511732007233267</v>
      </c>
      <c r="O242" s="810">
        <f t="shared" ref="O242:O245" si="12">G242/1.2*0.135*1.5*D242</f>
        <v>563.32351366071418</v>
      </c>
      <c r="Q242" s="544">
        <v>23</v>
      </c>
      <c r="R242" s="544">
        <v>23</v>
      </c>
      <c r="S242" s="544">
        <v>0.99180000000000001</v>
      </c>
      <c r="T242" s="551">
        <v>5.5100000000000003E-2</v>
      </c>
      <c r="U242" s="544">
        <f t="shared" si="7"/>
        <v>22.811399999999999</v>
      </c>
      <c r="V242" s="544">
        <f t="shared" si="7"/>
        <v>1.2673000000000001</v>
      </c>
      <c r="W242" s="544">
        <f t="shared" si="8"/>
        <v>24.078699999999998</v>
      </c>
      <c r="X242" s="811">
        <f>W242/W241</f>
        <v>1.357142857142857</v>
      </c>
    </row>
    <row r="243" spans="2:25">
      <c r="B243" s="805" t="s">
        <v>104</v>
      </c>
      <c r="C243" s="805" t="s">
        <v>107</v>
      </c>
      <c r="D243" s="806">
        <f>D241*X243</f>
        <v>91.435495823516817</v>
      </c>
      <c r="E243" s="806">
        <f>E241*X243</f>
        <v>95.037336688798462</v>
      </c>
      <c r="F243" s="806">
        <f>F241/0.14*0.19</f>
        <v>3.6235714285714304</v>
      </c>
      <c r="G243" s="806">
        <v>26.99</v>
      </c>
      <c r="H243" s="807">
        <f t="shared" si="9"/>
        <v>3122.9</v>
      </c>
      <c r="I243" s="808">
        <f>H329</f>
        <v>3</v>
      </c>
      <c r="J243" s="808">
        <f>I329</f>
        <v>0</v>
      </c>
      <c r="K243" s="808">
        <v>32</v>
      </c>
      <c r="L243" s="808">
        <v>17</v>
      </c>
      <c r="M243" s="808">
        <f t="shared" si="10"/>
        <v>2</v>
      </c>
      <c r="N243" s="816">
        <f t="shared" si="11"/>
        <v>6.2477064108271358</v>
      </c>
      <c r="O243" s="810">
        <f>G243/1.2*0.185*1.5*D243</f>
        <v>570.68893246399125</v>
      </c>
      <c r="Q243" s="544">
        <v>17</v>
      </c>
      <c r="R243" s="544">
        <v>17</v>
      </c>
      <c r="S243" s="544">
        <v>1.3338000000000001</v>
      </c>
      <c r="T243" s="551">
        <v>7.4099999999999999E-2</v>
      </c>
      <c r="U243" s="544">
        <f>S243*17</f>
        <v>22.674600000000002</v>
      </c>
      <c r="V243" s="544">
        <f>T243*17</f>
        <v>1.2597</v>
      </c>
      <c r="W243" s="544">
        <f t="shared" si="8"/>
        <v>23.9343</v>
      </c>
      <c r="X243" s="811">
        <f>W243/W241</f>
        <v>1.3490040693938745</v>
      </c>
    </row>
    <row r="244" spans="2:25">
      <c r="B244" s="805" t="s">
        <v>101</v>
      </c>
      <c r="C244" s="805" t="s">
        <v>108</v>
      </c>
      <c r="D244" s="806">
        <f>D241*X244</f>
        <v>70.19632097485092</v>
      </c>
      <c r="E244" s="806">
        <f>E241*X244</f>
        <v>72.961505055742805</v>
      </c>
      <c r="F244" s="806">
        <f>F241/0.14*0.145</f>
        <v>2.7653571428571437</v>
      </c>
      <c r="G244" s="806">
        <v>47.56</v>
      </c>
      <c r="H244" s="807">
        <f t="shared" si="9"/>
        <v>4224</v>
      </c>
      <c r="I244" s="808">
        <f>H343</f>
        <v>2</v>
      </c>
      <c r="J244" s="808">
        <f>I343</f>
        <v>0</v>
      </c>
      <c r="K244" s="808">
        <v>38</v>
      </c>
      <c r="L244" s="808">
        <v>20</v>
      </c>
      <c r="M244" s="808">
        <f t="shared" si="10"/>
        <v>3</v>
      </c>
      <c r="N244" s="816">
        <f t="shared" si="11"/>
        <v>8.4519924697820503</v>
      </c>
      <c r="O244" s="810">
        <f t="shared" si="12"/>
        <v>563.37812306390992</v>
      </c>
      <c r="Q244" s="544">
        <v>23</v>
      </c>
      <c r="R244" s="544">
        <v>23</v>
      </c>
      <c r="S244" s="544">
        <v>0.75690000000000002</v>
      </c>
      <c r="T244" s="818">
        <v>4.2000000000000003E-2</v>
      </c>
      <c r="U244" s="544">
        <f>S244*23</f>
        <v>17.4087</v>
      </c>
      <c r="V244" s="819">
        <f>T244*23</f>
        <v>0.96600000000000008</v>
      </c>
      <c r="W244" s="544">
        <f t="shared" si="8"/>
        <v>18.374700000000001</v>
      </c>
      <c r="X244" s="811">
        <f>W244/W241</f>
        <v>1.0356494684988333</v>
      </c>
    </row>
    <row r="245" spans="2:25">
      <c r="B245" s="805" t="s">
        <v>101</v>
      </c>
      <c r="C245" s="805" t="s">
        <v>109</v>
      </c>
      <c r="D245" s="806">
        <f>D241*X245</f>
        <v>94.403463831993776</v>
      </c>
      <c r="E245" s="806">
        <f>E241*X245</f>
        <v>98.122219341457082</v>
      </c>
      <c r="F245" s="806">
        <f>F241/0.14*0.195</f>
        <v>3.7189285714285734</v>
      </c>
      <c r="G245" s="806">
        <v>35.36</v>
      </c>
      <c r="H245" s="807">
        <f t="shared" si="9"/>
        <v>4222.9000000000005</v>
      </c>
      <c r="I245" s="808">
        <f>H357</f>
        <v>2</v>
      </c>
      <c r="J245" s="808">
        <f>I357</f>
        <v>1</v>
      </c>
      <c r="K245" s="808">
        <v>38</v>
      </c>
      <c r="L245" s="808">
        <v>20</v>
      </c>
      <c r="M245" s="808">
        <f t="shared" si="10"/>
        <v>3</v>
      </c>
      <c r="N245" s="816">
        <f t="shared" si="11"/>
        <v>8.4509024837956943</v>
      </c>
      <c r="O245" s="810">
        <f t="shared" si="12"/>
        <v>563.30546868550687</v>
      </c>
      <c r="Q245" s="544">
        <v>23</v>
      </c>
      <c r="R245" s="544">
        <v>23</v>
      </c>
      <c r="S245" s="544">
        <v>1.0179</v>
      </c>
      <c r="T245" s="551">
        <v>5.6500000000000002E-2</v>
      </c>
      <c r="U245" s="544">
        <f>S245*23</f>
        <v>23.4117</v>
      </c>
      <c r="V245" s="544">
        <f>T245*23</f>
        <v>1.2995000000000001</v>
      </c>
      <c r="W245" s="544">
        <f t="shared" si="8"/>
        <v>24.711199999999998</v>
      </c>
      <c r="X245" s="811">
        <f>W245/W241</f>
        <v>1.3927923256416903</v>
      </c>
    </row>
    <row r="246" spans="2:25">
      <c r="B246" s="805" t="s">
        <v>101</v>
      </c>
      <c r="C246" s="805" t="s">
        <v>110</v>
      </c>
      <c r="D246" s="806">
        <f>D241*X246</f>
        <v>93.838445852261842</v>
      </c>
      <c r="E246" s="806">
        <f>E241*X246</f>
        <v>97.534944088106329</v>
      </c>
      <c r="F246" s="806">
        <f>F241/0.14*0.195</f>
        <v>3.7189285714285734</v>
      </c>
      <c r="G246" s="806">
        <v>26.29</v>
      </c>
      <c r="H246" s="807">
        <f t="shared" si="9"/>
        <v>3121.8</v>
      </c>
      <c r="I246" s="808">
        <f>H371</f>
        <v>2</v>
      </c>
      <c r="J246" s="808">
        <f>I371</f>
        <v>1</v>
      </c>
      <c r="K246" s="808">
        <v>38</v>
      </c>
      <c r="L246" s="808">
        <v>20</v>
      </c>
      <c r="M246" s="808">
        <f t="shared" si="10"/>
        <v>2</v>
      </c>
      <c r="N246" s="816">
        <f t="shared" si="11"/>
        <v>6.2456018771037058</v>
      </c>
      <c r="O246" s="810">
        <f>G246/1.2*0.185*1.5*D246</f>
        <v>570.49669646169173</v>
      </c>
      <c r="Q246" s="544">
        <v>17</v>
      </c>
      <c r="R246" s="544">
        <v>17</v>
      </c>
      <c r="S246" s="544">
        <v>1.3689</v>
      </c>
      <c r="T246" s="818">
        <v>7.5999999999999998E-2</v>
      </c>
      <c r="U246" s="544">
        <f>S246*17</f>
        <v>23.2713</v>
      </c>
      <c r="V246" s="819">
        <f>T246*17</f>
        <v>1.292</v>
      </c>
      <c r="W246" s="544">
        <f t="shared" si="8"/>
        <v>24.563300000000002</v>
      </c>
      <c r="X246" s="811">
        <f>W246/W241</f>
        <v>1.3844562681065482</v>
      </c>
    </row>
    <row r="247" spans="2:25">
      <c r="B247" s="653"/>
      <c r="C247" s="653"/>
      <c r="D247" s="657"/>
      <c r="E247" s="657"/>
      <c r="F247" s="814" t="s">
        <v>572</v>
      </c>
      <c r="G247" s="657"/>
      <c r="H247" s="659"/>
      <c r="I247" s="659"/>
      <c r="J247" s="659"/>
      <c r="K247" s="659"/>
      <c r="L247" s="659"/>
      <c r="M247" s="659"/>
      <c r="N247" s="655"/>
      <c r="O247" s="658"/>
      <c r="T247" s="818"/>
      <c r="V247" s="819"/>
      <c r="X247" s="811"/>
    </row>
    <row r="248" spans="2:25">
      <c r="B248" s="820" t="s">
        <v>111</v>
      </c>
      <c r="C248" s="820" t="s">
        <v>112</v>
      </c>
      <c r="D248" s="821">
        <f>D241*X248</f>
        <v>78.271226341716371</v>
      </c>
      <c r="E248" s="821">
        <f>E241*X248</f>
        <v>81.354498314752405</v>
      </c>
      <c r="F248" s="821">
        <f>(E248-D248)/2+D248</f>
        <v>79.812862328234388</v>
      </c>
      <c r="G248" s="821">
        <v>43.1</v>
      </c>
      <c r="H248" s="822">
        <f>ROUNDUP(D248*G248*1.15,0)*1.1</f>
        <v>4268</v>
      </c>
      <c r="I248" s="823">
        <f>H385</f>
        <v>2</v>
      </c>
      <c r="J248" s="823">
        <f>I385</f>
        <v>1</v>
      </c>
      <c r="K248" s="823">
        <v>35</v>
      </c>
      <c r="L248" s="823">
        <v>19</v>
      </c>
      <c r="M248" s="823">
        <f t="shared" si="10"/>
        <v>3</v>
      </c>
      <c r="N248" s="824">
        <f t="shared" si="11"/>
        <v>8.5404806463999385</v>
      </c>
      <c r="O248" s="825">
        <f>G248/1.2*0.135*1.5*D248</f>
        <v>569.27641308659599</v>
      </c>
      <c r="Q248" s="544">
        <v>23</v>
      </c>
      <c r="R248" s="544">
        <v>23</v>
      </c>
      <c r="S248" s="544">
        <v>0.83520000000000005</v>
      </c>
      <c r="T248" s="818">
        <v>5.5599999999999997E-2</v>
      </c>
      <c r="U248" s="544">
        <f>S248*23</f>
        <v>19.209600000000002</v>
      </c>
      <c r="V248" s="544">
        <f>T248*23</f>
        <v>1.2787999999999999</v>
      </c>
      <c r="W248" s="544">
        <f t="shared" si="8"/>
        <v>20.488400000000002</v>
      </c>
      <c r="X248" s="811">
        <f>W248/W241</f>
        <v>1.154783510500389</v>
      </c>
    </row>
    <row r="249" spans="2:25">
      <c r="B249" s="820" t="s">
        <v>111</v>
      </c>
      <c r="C249" s="820" t="s">
        <v>113</v>
      </c>
      <c r="D249" s="821">
        <f>D241*X249</f>
        <v>97.847819548872181</v>
      </c>
      <c r="E249" s="821">
        <f>E241*X249</f>
        <v>101.70225563909774</v>
      </c>
      <c r="F249" s="821">
        <f t="shared" ref="F249:F259" si="13">(E249-D249)/2+D249</f>
        <v>99.775037593984962</v>
      </c>
      <c r="G249" s="821">
        <v>34.479999999999997</v>
      </c>
      <c r="H249" s="822">
        <f t="shared" ref="H249:H259" si="14">ROUNDUP(D249*G249*1.15,0)*1.1</f>
        <v>4268</v>
      </c>
      <c r="I249" s="823">
        <f>H399</f>
        <v>3</v>
      </c>
      <c r="J249" s="823">
        <f>I399</f>
        <v>0</v>
      </c>
      <c r="K249" s="823">
        <v>35</v>
      </c>
      <c r="L249" s="823">
        <v>19</v>
      </c>
      <c r="M249" s="823">
        <f t="shared" si="10"/>
        <v>3</v>
      </c>
      <c r="N249" s="824">
        <f t="shared" si="11"/>
        <v>8.5412476406205382</v>
      </c>
      <c r="O249" s="825">
        <f t="shared" ref="O249:O252" si="15">G249/1.2*0.135*1.5*D249</f>
        <v>569.32753804511276</v>
      </c>
      <c r="Q249" s="544">
        <v>23</v>
      </c>
      <c r="R249" s="544">
        <v>23</v>
      </c>
      <c r="S249" s="819">
        <v>1.044</v>
      </c>
      <c r="T249" s="818">
        <v>6.9599999999999995E-2</v>
      </c>
      <c r="U249" s="544">
        <f>S249*23</f>
        <v>24.012</v>
      </c>
      <c r="V249" s="544">
        <f>T249*23</f>
        <v>1.6008</v>
      </c>
      <c r="W249" s="819">
        <f t="shared" si="8"/>
        <v>25.6128</v>
      </c>
      <c r="X249" s="811">
        <f>W249/W241</f>
        <v>1.4436090225563909</v>
      </c>
    </row>
    <row r="250" spans="2:25">
      <c r="B250" s="820" t="s">
        <v>111</v>
      </c>
      <c r="C250" s="820" t="s">
        <v>114</v>
      </c>
      <c r="D250" s="821">
        <f>D241*X250</f>
        <v>75.809826177136998</v>
      </c>
      <c r="E250" s="821">
        <f>E241*X250</f>
        <v>78.79613830302894</v>
      </c>
      <c r="F250" s="821">
        <f t="shared" si="13"/>
        <v>77.302982240082969</v>
      </c>
      <c r="G250" s="821">
        <v>32.89</v>
      </c>
      <c r="H250" s="822">
        <f t="shared" si="14"/>
        <v>3154.8</v>
      </c>
      <c r="I250" s="823">
        <f>H413</f>
        <v>2</v>
      </c>
      <c r="J250" s="823">
        <f>I413</f>
        <v>1</v>
      </c>
      <c r="K250" s="823">
        <v>35</v>
      </c>
      <c r="L250" s="823">
        <v>19</v>
      </c>
      <c r="M250" s="823">
        <f t="shared" si="10"/>
        <v>2</v>
      </c>
      <c r="N250" s="824">
        <f t="shared" si="11"/>
        <v>6.3123675518127484</v>
      </c>
      <c r="O250" s="825">
        <f>G250/1.2*0.18*1.5*D250</f>
        <v>561.01166616735816</v>
      </c>
      <c r="Q250" s="544">
        <v>17</v>
      </c>
      <c r="R250" s="544">
        <v>17</v>
      </c>
      <c r="S250" s="544">
        <v>1.0944</v>
      </c>
      <c r="T250" s="818">
        <v>7.2900000000000006E-2</v>
      </c>
      <c r="U250" s="544">
        <f>S250*17</f>
        <v>18.604800000000001</v>
      </c>
      <c r="V250" s="544">
        <f>T250*17</f>
        <v>1.2393000000000001</v>
      </c>
      <c r="W250" s="544">
        <f t="shared" si="8"/>
        <v>19.844100000000001</v>
      </c>
      <c r="X250" s="811">
        <f>W250/W241</f>
        <v>1.1184689610082177</v>
      </c>
    </row>
    <row r="251" spans="2:25">
      <c r="B251" s="820" t="s">
        <v>111</v>
      </c>
      <c r="C251" s="820" t="s">
        <v>115</v>
      </c>
      <c r="D251" s="821">
        <f>D241*X251</f>
        <v>94.7671535660741</v>
      </c>
      <c r="E251" s="821">
        <f>E241*X251</f>
        <v>98.500235596487471</v>
      </c>
      <c r="F251" s="821">
        <f t="shared" si="13"/>
        <v>96.633694581280793</v>
      </c>
      <c r="G251" s="821">
        <v>26.31</v>
      </c>
      <c r="H251" s="822">
        <f t="shared" si="14"/>
        <v>3154.8</v>
      </c>
      <c r="I251" s="823">
        <f>H427</f>
        <v>3</v>
      </c>
      <c r="J251" s="823">
        <f>I427</f>
        <v>0</v>
      </c>
      <c r="K251" s="823">
        <v>35</v>
      </c>
      <c r="L251" s="823">
        <v>19</v>
      </c>
      <c r="M251" s="823">
        <f t="shared" si="10"/>
        <v>2</v>
      </c>
      <c r="N251" s="824">
        <f t="shared" si="11"/>
        <v>6.3122121780339482</v>
      </c>
      <c r="O251" s="825">
        <f>G251/1.2*0.18*1.5*D251</f>
        <v>560.99785732276712</v>
      </c>
      <c r="Q251" s="544">
        <v>17</v>
      </c>
      <c r="R251" s="544">
        <v>17</v>
      </c>
      <c r="S251" s="819">
        <v>1.3680000000000001</v>
      </c>
      <c r="T251" s="818">
        <v>9.1200000000000003E-2</v>
      </c>
      <c r="U251" s="819">
        <f>S251*17</f>
        <v>23.256</v>
      </c>
      <c r="V251" s="544">
        <f>T251*17</f>
        <v>1.5504</v>
      </c>
      <c r="W251" s="819">
        <f t="shared" si="8"/>
        <v>24.8064</v>
      </c>
      <c r="X251" s="811">
        <f>W251/W241</f>
        <v>1.3981580638252302</v>
      </c>
    </row>
    <row r="252" spans="2:25">
      <c r="B252" s="820" t="s">
        <v>111</v>
      </c>
      <c r="C252" s="820" t="s">
        <v>116</v>
      </c>
      <c r="D252" s="821">
        <f>D241*X252</f>
        <v>115.50167070600038</v>
      </c>
      <c r="E252" s="821">
        <f>E241*X252</f>
        <v>120.05152996809866</v>
      </c>
      <c r="F252" s="821">
        <f t="shared" si="13"/>
        <v>117.77660033704953</v>
      </c>
      <c r="G252" s="821">
        <v>28.73</v>
      </c>
      <c r="H252" s="822">
        <f t="shared" si="14"/>
        <v>4198.7000000000007</v>
      </c>
      <c r="I252" s="823">
        <f>H441</f>
        <v>3</v>
      </c>
      <c r="J252" s="823">
        <f>I441</f>
        <v>1</v>
      </c>
      <c r="K252" s="823">
        <v>35</v>
      </c>
      <c r="L252" s="823">
        <v>19</v>
      </c>
      <c r="M252" s="823">
        <f t="shared" si="10"/>
        <v>3</v>
      </c>
      <c r="N252" s="824">
        <f t="shared" si="11"/>
        <v>8.400918985780736</v>
      </c>
      <c r="O252" s="825">
        <f t="shared" si="15"/>
        <v>559.97375614594728</v>
      </c>
      <c r="Q252" s="544">
        <v>23</v>
      </c>
      <c r="R252" s="544">
        <v>23</v>
      </c>
      <c r="S252" s="544">
        <v>1.2527999999999999</v>
      </c>
      <c r="T252" s="818">
        <v>8.3500000000000005E-2</v>
      </c>
      <c r="U252" s="819">
        <f>S252*23</f>
        <v>28.814399999999999</v>
      </c>
      <c r="V252" s="544">
        <f>T252*17</f>
        <v>1.4195</v>
      </c>
      <c r="W252" s="819">
        <f t="shared" si="8"/>
        <v>30.233899999999998</v>
      </c>
      <c r="X252" s="811">
        <f>W252/W241</f>
        <v>1.7040671393626494</v>
      </c>
    </row>
    <row r="253" spans="2:25">
      <c r="B253" s="820" t="s">
        <v>111</v>
      </c>
      <c r="C253" s="820" t="s">
        <v>117</v>
      </c>
      <c r="D253" s="821">
        <f>D241*X253</f>
        <v>113.71798649547407</v>
      </c>
      <c r="E253" s="821">
        <f>E241*X253</f>
        <v>118.1975825996776</v>
      </c>
      <c r="F253" s="821">
        <f t="shared" si="13"/>
        <v>115.95778454757584</v>
      </c>
      <c r="G253" s="821">
        <v>21.92</v>
      </c>
      <c r="H253" s="822">
        <f t="shared" si="14"/>
        <v>3153.7000000000003</v>
      </c>
      <c r="I253" s="823">
        <f>H455</f>
        <v>3</v>
      </c>
      <c r="J253" s="823">
        <f>I444</f>
        <v>0</v>
      </c>
      <c r="K253" s="823">
        <v>35</v>
      </c>
      <c r="L253" s="823">
        <v>19</v>
      </c>
      <c r="M253" s="823">
        <f t="shared" si="10"/>
        <v>2</v>
      </c>
      <c r="N253" s="824">
        <f t="shared" si="11"/>
        <v>6.3106285164070677</v>
      </c>
      <c r="O253" s="825">
        <f>G253/1.2*0.18*1.5*D253</f>
        <v>560.85710939567809</v>
      </c>
      <c r="Q253" s="544">
        <v>17</v>
      </c>
      <c r="R253" s="544">
        <v>17</v>
      </c>
      <c r="S253" s="544">
        <v>1.6415999999999999</v>
      </c>
      <c r="T253" s="818">
        <v>0.1094</v>
      </c>
      <c r="U253" s="819">
        <f>S253*17</f>
        <v>27.9072</v>
      </c>
      <c r="V253" s="544">
        <f>T253*17</f>
        <v>1.8597999999999999</v>
      </c>
      <c r="W253" s="819">
        <f t="shared" si="8"/>
        <v>29.766999999999999</v>
      </c>
      <c r="X253" s="811">
        <f>W253/W241</f>
        <v>1.6777513498889651</v>
      </c>
    </row>
    <row r="254" spans="2:25">
      <c r="B254" s="820" t="s">
        <v>111</v>
      </c>
      <c r="C254" s="820" t="s">
        <v>118</v>
      </c>
      <c r="D254" s="821">
        <f>D241*X254</f>
        <v>75.577935768957616</v>
      </c>
      <c r="E254" s="821">
        <f>E241*X254</f>
        <v>78.555113232857252</v>
      </c>
      <c r="F254" s="821">
        <f t="shared" si="13"/>
        <v>77.066524500907434</v>
      </c>
      <c r="G254" s="821">
        <v>27.17</v>
      </c>
      <c r="H254" s="822">
        <f t="shared" si="14"/>
        <v>2598.2000000000003</v>
      </c>
      <c r="I254" s="823">
        <f>H469</f>
        <v>2</v>
      </c>
      <c r="J254" s="823">
        <f>I469</f>
        <v>1</v>
      </c>
      <c r="K254" s="823">
        <v>35</v>
      </c>
      <c r="L254" s="823">
        <v>19</v>
      </c>
      <c r="M254" s="823">
        <f t="shared" si="10"/>
        <v>2</v>
      </c>
      <c r="N254" s="824">
        <f t="shared" si="11"/>
        <v>5.1986139616267817</v>
      </c>
      <c r="O254" s="825">
        <f>G254/1.2*0.22*1.5*D254</f>
        <v>564.69944158170927</v>
      </c>
      <c r="Q254" s="544">
        <v>14</v>
      </c>
      <c r="R254" s="544">
        <v>14</v>
      </c>
      <c r="S254" s="544">
        <v>1.3248</v>
      </c>
      <c r="T254" s="818">
        <v>8.8300000000000003E-2</v>
      </c>
      <c r="U254" s="819">
        <f t="shared" ref="U254:V256" si="16">S254*14</f>
        <v>18.5472</v>
      </c>
      <c r="V254" s="544">
        <f t="shared" si="16"/>
        <v>1.2362</v>
      </c>
      <c r="W254" s="819">
        <f t="shared" si="8"/>
        <v>19.7834</v>
      </c>
      <c r="X254" s="811">
        <f>W254/W241</f>
        <v>1.1150477392882505</v>
      </c>
    </row>
    <row r="255" spans="2:25">
      <c r="B255" s="820" t="s">
        <v>111</v>
      </c>
      <c r="C255" s="820" t="s">
        <v>119</v>
      </c>
      <c r="D255" s="821">
        <f>D241*X255</f>
        <v>94.473756805807625</v>
      </c>
      <c r="E255" s="821">
        <f>E241*X255</f>
        <v>98.19528130671506</v>
      </c>
      <c r="F255" s="821">
        <f t="shared" si="13"/>
        <v>96.334519056261342</v>
      </c>
      <c r="G255" s="821">
        <v>21.73</v>
      </c>
      <c r="H255" s="822">
        <f t="shared" si="14"/>
        <v>2597.1000000000004</v>
      </c>
      <c r="I255" s="823">
        <f>H483</f>
        <v>3</v>
      </c>
      <c r="J255" s="823">
        <f>I483</f>
        <v>0</v>
      </c>
      <c r="K255" s="823">
        <v>35</v>
      </c>
      <c r="L255" s="823">
        <v>19</v>
      </c>
      <c r="M255" s="823">
        <f t="shared" si="10"/>
        <v>2</v>
      </c>
      <c r="N255" s="824">
        <f t="shared" si="11"/>
        <v>5.1972524946587342</v>
      </c>
      <c r="O255" s="825">
        <f>G255/1.2*0.22*1.5*D255</f>
        <v>564.55155223230497</v>
      </c>
      <c r="Q255" s="544">
        <v>14</v>
      </c>
      <c r="R255" s="544">
        <v>14</v>
      </c>
      <c r="S255" s="819">
        <v>1.6559999999999999</v>
      </c>
      <c r="T255" s="818">
        <v>0.1104</v>
      </c>
      <c r="U255" s="819">
        <f t="shared" si="16"/>
        <v>23.183999999999997</v>
      </c>
      <c r="V255" s="544">
        <f t="shared" si="16"/>
        <v>1.5455999999999999</v>
      </c>
      <c r="W255" s="819">
        <f t="shared" si="8"/>
        <v>24.729599999999998</v>
      </c>
      <c r="X255" s="811">
        <f>W255/W241</f>
        <v>1.3938294010889292</v>
      </c>
    </row>
    <row r="256" spans="2:25">
      <c r="B256" s="820" t="s">
        <v>111</v>
      </c>
      <c r="C256" s="820" t="s">
        <v>120</v>
      </c>
      <c r="D256" s="821">
        <f>D241*X256</f>
        <v>113.36422946421527</v>
      </c>
      <c r="E256" s="821">
        <f>E241*X256</f>
        <v>117.82989031799892</v>
      </c>
      <c r="F256" s="821">
        <f t="shared" si="13"/>
        <v>115.59705989110709</v>
      </c>
      <c r="G256" s="821">
        <v>18.11</v>
      </c>
      <c r="H256" s="822">
        <f t="shared" si="14"/>
        <v>2597.1000000000004</v>
      </c>
      <c r="I256" s="823">
        <f>H497</f>
        <v>3</v>
      </c>
      <c r="J256" s="823">
        <f>I497</f>
        <v>1</v>
      </c>
      <c r="K256" s="823">
        <v>35</v>
      </c>
      <c r="L256" s="823">
        <v>19</v>
      </c>
      <c r="M256" s="823">
        <f t="shared" si="10"/>
        <v>2</v>
      </c>
      <c r="N256" s="824">
        <f t="shared" si="11"/>
        <v>5.197534672397313</v>
      </c>
      <c r="O256" s="825">
        <f>G256/1.2*0.22*1.5*D256</f>
        <v>564.58220378915803</v>
      </c>
      <c r="Q256" s="544">
        <v>14</v>
      </c>
      <c r="R256" s="544">
        <v>14</v>
      </c>
      <c r="S256" s="544">
        <v>1.9872000000000001</v>
      </c>
      <c r="T256" s="818">
        <v>0.13239999999999999</v>
      </c>
      <c r="U256" s="819">
        <f t="shared" si="16"/>
        <v>27.820800000000002</v>
      </c>
      <c r="V256" s="544">
        <f t="shared" si="16"/>
        <v>1.8535999999999999</v>
      </c>
      <c r="W256" s="819">
        <f t="shared" si="8"/>
        <v>29.674400000000002</v>
      </c>
      <c r="X256" s="811">
        <f>W256/W241</f>
        <v>1.6725321549751442</v>
      </c>
    </row>
    <row r="257" spans="2:24">
      <c r="B257" s="820" t="s">
        <v>111</v>
      </c>
      <c r="C257" s="820" t="s">
        <v>121</v>
      </c>
      <c r="D257" s="821">
        <f>D241*X257</f>
        <v>76.283157669285657</v>
      </c>
      <c r="E257" s="821">
        <f>E241*X257</f>
        <v>79.288115340825826</v>
      </c>
      <c r="F257" s="821">
        <f t="shared" si="13"/>
        <v>77.785636505055749</v>
      </c>
      <c r="G257" s="821">
        <v>25</v>
      </c>
      <c r="H257" s="822">
        <f t="shared" si="14"/>
        <v>2413.4</v>
      </c>
      <c r="I257" s="823">
        <f>H511</f>
        <v>2</v>
      </c>
      <c r="J257" s="823">
        <f>I511</f>
        <v>1</v>
      </c>
      <c r="K257" s="823">
        <v>35</v>
      </c>
      <c r="L257" s="823">
        <v>19</v>
      </c>
      <c r="M257" s="823">
        <f t="shared" si="10"/>
        <v>2</v>
      </c>
      <c r="N257" s="824">
        <f t="shared" si="11"/>
        <v>4.8280479537522565</v>
      </c>
      <c r="O257" s="825">
        <f>G257/1.2*0.24*1.5*D257</f>
        <v>572.12368251964244</v>
      </c>
      <c r="Q257" s="544">
        <v>13</v>
      </c>
      <c r="R257" s="544">
        <v>13</v>
      </c>
      <c r="S257" s="819">
        <v>1.44</v>
      </c>
      <c r="T257" s="818">
        <v>9.6000000000000002E-2</v>
      </c>
      <c r="U257" s="819">
        <f>S257*13</f>
        <v>18.72</v>
      </c>
      <c r="V257" s="544">
        <f>T257*13</f>
        <v>1.248</v>
      </c>
      <c r="W257" s="819">
        <f t="shared" si="8"/>
        <v>19.968</v>
      </c>
      <c r="X257" s="811">
        <f>W257/W241</f>
        <v>1.1254523114382657</v>
      </c>
    </row>
    <row r="258" spans="2:24">
      <c r="B258" s="820" t="s">
        <v>111</v>
      </c>
      <c r="C258" s="820" t="s">
        <v>122</v>
      </c>
      <c r="D258" s="821">
        <f>D241*X258</f>
        <v>95.353947086607079</v>
      </c>
      <c r="E258" s="821">
        <f>E241*X258</f>
        <v>99.110144176032293</v>
      </c>
      <c r="F258" s="821">
        <f t="shared" si="13"/>
        <v>97.232045631319693</v>
      </c>
      <c r="G258" s="821">
        <v>20</v>
      </c>
      <c r="H258" s="822">
        <f t="shared" si="14"/>
        <v>2413.4</v>
      </c>
      <c r="I258" s="823">
        <f>H525</f>
        <v>3</v>
      </c>
      <c r="J258" s="823">
        <f>I525</f>
        <v>0</v>
      </c>
      <c r="K258" s="823">
        <v>35</v>
      </c>
      <c r="L258" s="823">
        <v>19</v>
      </c>
      <c r="M258" s="823">
        <f t="shared" si="10"/>
        <v>2</v>
      </c>
      <c r="N258" s="824">
        <f t="shared" si="11"/>
        <v>4.8280479537522574</v>
      </c>
      <c r="O258" s="825">
        <f>G258/1.2*0.24*1.5*D258</f>
        <v>572.12368251964244</v>
      </c>
      <c r="Q258" s="544">
        <v>13</v>
      </c>
      <c r="R258" s="544">
        <v>13</v>
      </c>
      <c r="S258" s="819">
        <v>1.8</v>
      </c>
      <c r="T258" s="818">
        <v>0.12</v>
      </c>
      <c r="U258" s="819">
        <f>S258*13</f>
        <v>23.400000000000002</v>
      </c>
      <c r="V258" s="544">
        <f>T258*13</f>
        <v>1.56</v>
      </c>
      <c r="W258" s="819">
        <f t="shared" si="8"/>
        <v>24.96</v>
      </c>
      <c r="X258" s="811">
        <f>W258/W241</f>
        <v>1.4068153892978323</v>
      </c>
    </row>
    <row r="259" spans="2:24">
      <c r="B259" s="820" t="s">
        <v>111</v>
      </c>
      <c r="C259" s="820" t="s">
        <v>123</v>
      </c>
      <c r="D259" s="821">
        <f>D241*X259</f>
        <v>98.58131144953839</v>
      </c>
      <c r="E259" s="821">
        <f>E241*X259</f>
        <v>102.46464136352877</v>
      </c>
      <c r="F259" s="821">
        <f t="shared" si="13"/>
        <v>100.52297640653359</v>
      </c>
      <c r="G259" s="821">
        <v>17.850000000000001</v>
      </c>
      <c r="H259" s="822">
        <f t="shared" si="14"/>
        <v>2226.4</v>
      </c>
      <c r="I259" s="823">
        <f>H539</f>
        <v>3</v>
      </c>
      <c r="J259" s="823">
        <f>I539</f>
        <v>0</v>
      </c>
      <c r="K259" s="823">
        <v>35</v>
      </c>
      <c r="L259" s="823">
        <v>19</v>
      </c>
      <c r="M259" s="823">
        <f t="shared" si="10"/>
        <v>2</v>
      </c>
      <c r="N259" s="824">
        <f t="shared" si="11"/>
        <v>4.4548769857576209</v>
      </c>
      <c r="O259" s="825">
        <f>G259/1.2*0.27*1.5*D259</f>
        <v>593.89078816381289</v>
      </c>
      <c r="Q259" s="544">
        <v>12</v>
      </c>
      <c r="R259" s="544">
        <v>12</v>
      </c>
      <c r="S259" s="819">
        <v>2.016</v>
      </c>
      <c r="T259" s="818">
        <v>0.13439999999999999</v>
      </c>
      <c r="U259" s="819">
        <f>S259*12</f>
        <v>24.192</v>
      </c>
      <c r="V259" s="544">
        <f>T259*12</f>
        <v>1.6128</v>
      </c>
      <c r="W259" s="819">
        <f t="shared" si="8"/>
        <v>25.8048</v>
      </c>
      <c r="X259" s="811">
        <f>W259/W241</f>
        <v>1.4544306793971435</v>
      </c>
    </row>
    <row r="270" spans="2:24">
      <c r="J270" s="826"/>
    </row>
    <row r="271" spans="2:24">
      <c r="B271" s="667"/>
      <c r="C271" s="668" t="s">
        <v>381</v>
      </c>
      <c r="D271" s="669"/>
      <c r="E271" s="669"/>
      <c r="F271" s="669"/>
      <c r="G271" s="669" t="s">
        <v>382</v>
      </c>
      <c r="H271" s="669" t="s">
        <v>383</v>
      </c>
      <c r="I271" s="670" t="s">
        <v>384</v>
      </c>
    </row>
    <row r="272" spans="2:24">
      <c r="B272" s="1317" t="s">
        <v>101</v>
      </c>
      <c r="C272" s="1318"/>
      <c r="D272" s="671" t="str">
        <f>C239</f>
        <v>145х45</v>
      </c>
      <c r="E272" s="672">
        <f>K239</f>
        <v>38</v>
      </c>
      <c r="F272" s="672">
        <f>L239</f>
        <v>20</v>
      </c>
      <c r="G272" s="673"/>
      <c r="H272" s="674">
        <f>'Данные Брус'!F279</f>
        <v>80000</v>
      </c>
      <c r="I272" s="674">
        <f>'Данные Брус'!G279</f>
        <v>70000</v>
      </c>
    </row>
    <row r="273" spans="2:11">
      <c r="B273" s="1317" t="s">
        <v>385</v>
      </c>
      <c r="C273" s="1319"/>
      <c r="D273" s="675">
        <v>400</v>
      </c>
      <c r="E273" s="676">
        <f>D239-E272</f>
        <v>-16.213571428571427</v>
      </c>
      <c r="F273" s="673" t="str">
        <f>IF(E273&gt;0,"1","0")</f>
        <v>0</v>
      </c>
      <c r="G273" s="673" t="str">
        <f>IF(C284&lt;20,"1","0")</f>
        <v>0</v>
      </c>
      <c r="H273" s="677">
        <f>G280+G277*G278+G279</f>
        <v>1</v>
      </c>
      <c r="I273" s="677">
        <f>G273*G274+J283+G275</f>
        <v>0</v>
      </c>
    </row>
    <row r="274" spans="2:11">
      <c r="B274" s="678"/>
      <c r="C274" s="673"/>
      <c r="D274" s="673"/>
      <c r="E274" s="679">
        <f>E273-E272</f>
        <v>-54.213571428571427</v>
      </c>
      <c r="F274" s="673" t="str">
        <f t="shared" ref="F274:F283" si="17">IF(E274&gt;0,"1","0")</f>
        <v>0</v>
      </c>
      <c r="G274" s="673" t="str">
        <f>IF(C284&gt;0,"1","0")</f>
        <v>1</v>
      </c>
      <c r="H274" s="673"/>
      <c r="I274" s="680"/>
    </row>
    <row r="275" spans="2:11">
      <c r="B275" s="678"/>
      <c r="C275" s="673"/>
      <c r="D275" s="673"/>
      <c r="E275" s="679">
        <f>E274-E272</f>
        <v>-92.213571428571427</v>
      </c>
      <c r="F275" s="673" t="str">
        <f t="shared" si="17"/>
        <v>0</v>
      </c>
      <c r="G275" s="673" t="str">
        <f>IF(C284=20,"1","0")</f>
        <v>0</v>
      </c>
      <c r="H275" s="673"/>
      <c r="I275" s="680"/>
    </row>
    <row r="276" spans="2:11">
      <c r="B276" s="678"/>
      <c r="C276" s="673"/>
      <c r="D276" s="673"/>
      <c r="E276" s="679">
        <f>E275-E272</f>
        <v>-130.21357142857141</v>
      </c>
      <c r="F276" s="673" t="str">
        <f t="shared" si="17"/>
        <v>0</v>
      </c>
      <c r="G276" s="673"/>
      <c r="H276" s="673"/>
      <c r="I276" s="680"/>
    </row>
    <row r="277" spans="2:11">
      <c r="B277" s="678"/>
      <c r="C277" s="673"/>
      <c r="D277" s="673"/>
      <c r="E277" s="679">
        <f>E276-E272</f>
        <v>-168.21357142857141</v>
      </c>
      <c r="F277" s="673" t="str">
        <f t="shared" si="17"/>
        <v>0</v>
      </c>
      <c r="G277" s="673" t="str">
        <f>IF(C284&gt;20,"1","0")</f>
        <v>1</v>
      </c>
      <c r="H277" s="673"/>
      <c r="I277" s="680"/>
    </row>
    <row r="278" spans="2:11">
      <c r="B278" s="678"/>
      <c r="C278" s="673"/>
      <c r="D278" s="673"/>
      <c r="E278" s="679">
        <f>E277-E272</f>
        <v>-206.21357142857141</v>
      </c>
      <c r="F278" s="673" t="str">
        <f t="shared" si="17"/>
        <v>0</v>
      </c>
      <c r="G278" s="673" t="str">
        <f>IF(C284&lt;38,"1","0")</f>
        <v>1</v>
      </c>
      <c r="H278" s="673"/>
      <c r="I278" s="680"/>
    </row>
    <row r="279" spans="2:11">
      <c r="B279" s="678"/>
      <c r="C279" s="673"/>
      <c r="D279" s="673"/>
      <c r="E279" s="679">
        <f>E278-E272</f>
        <v>-244.21357142857141</v>
      </c>
      <c r="F279" s="673" t="str">
        <f t="shared" si="17"/>
        <v>0</v>
      </c>
      <c r="G279" s="673" t="str">
        <f>IF(C284=38,"1","0")</f>
        <v>0</v>
      </c>
      <c r="H279" s="673"/>
      <c r="I279" s="680"/>
    </row>
    <row r="280" spans="2:11">
      <c r="B280" s="678"/>
      <c r="C280" s="673"/>
      <c r="D280" s="673"/>
      <c r="E280" s="679">
        <f>E279-E272</f>
        <v>-282.21357142857141</v>
      </c>
      <c r="F280" s="673" t="str">
        <f t="shared" si="17"/>
        <v>0</v>
      </c>
      <c r="G280" s="681">
        <f>G284</f>
        <v>0</v>
      </c>
      <c r="H280" s="673"/>
      <c r="I280" s="680"/>
    </row>
    <row r="281" spans="2:11">
      <c r="B281" s="678"/>
      <c r="C281" s="673"/>
      <c r="D281" s="673"/>
      <c r="E281" s="679">
        <f>E280-E272</f>
        <v>-320.21357142857141</v>
      </c>
      <c r="F281" s="673" t="str">
        <f t="shared" si="17"/>
        <v>0</v>
      </c>
      <c r="G281" s="673"/>
      <c r="H281" s="673"/>
      <c r="I281" s="680"/>
    </row>
    <row r="282" spans="2:11">
      <c r="B282" s="678"/>
      <c r="C282" s="673"/>
      <c r="D282" s="673"/>
      <c r="E282" s="679">
        <f>E281-E272</f>
        <v>-358.21357142857141</v>
      </c>
      <c r="F282" s="673" t="str">
        <f t="shared" si="17"/>
        <v>0</v>
      </c>
      <c r="G282" s="673"/>
      <c r="H282" s="673"/>
      <c r="I282" s="680"/>
    </row>
    <row r="283" spans="2:11">
      <c r="B283" s="678"/>
      <c r="C283" s="673"/>
      <c r="D283" s="673"/>
      <c r="E283" s="679">
        <f>E282-E272</f>
        <v>-396.21357142857141</v>
      </c>
      <c r="F283" s="673" t="str">
        <f t="shared" si="17"/>
        <v>0</v>
      </c>
      <c r="G283" s="673"/>
      <c r="H283" s="673"/>
      <c r="I283" s="680"/>
    </row>
    <row r="284" spans="2:11">
      <c r="B284" s="682"/>
      <c r="C284" s="683">
        <f>D284*E272</f>
        <v>21.786428571428573</v>
      </c>
      <c r="D284" s="683">
        <f>E284-G284</f>
        <v>0.57332706766917296</v>
      </c>
      <c r="E284" s="684">
        <f>D239/E272</f>
        <v>0.57332706766917296</v>
      </c>
      <c r="F284" s="683"/>
      <c r="G284" s="683">
        <f>F273+F274+F275+F276+F277+F278+F279+F280+F281+F282+F283</f>
        <v>0</v>
      </c>
      <c r="H284" s="683"/>
      <c r="I284" s="685"/>
    </row>
    <row r="285" spans="2:11">
      <c r="B285" s="667"/>
      <c r="C285" s="668" t="s">
        <v>381</v>
      </c>
      <c r="D285" s="669"/>
      <c r="E285" s="669"/>
      <c r="F285" s="669"/>
      <c r="G285" s="669" t="s">
        <v>382</v>
      </c>
      <c r="H285" s="669" t="s">
        <v>383</v>
      </c>
      <c r="I285" s="670" t="s">
        <v>384</v>
      </c>
      <c r="K285" s="826"/>
    </row>
    <row r="286" spans="2:11">
      <c r="B286" s="1317" t="str">
        <f>B240</f>
        <v>камерной сушки</v>
      </c>
      <c r="C286" s="1318"/>
      <c r="D286" s="671" t="str">
        <f>C240</f>
        <v>145х95</v>
      </c>
      <c r="E286" s="672">
        <f>K240</f>
        <v>38</v>
      </c>
      <c r="F286" s="672">
        <f>L240</f>
        <v>20</v>
      </c>
      <c r="G286" s="673"/>
      <c r="H286" s="674">
        <f>'Данные Брус'!F280</f>
        <v>80000</v>
      </c>
      <c r="I286" s="674">
        <f>'Данные Брус'!G280</f>
        <v>70000</v>
      </c>
    </row>
    <row r="287" spans="2:11">
      <c r="B287" s="1317" t="s">
        <v>385</v>
      </c>
      <c r="C287" s="1319"/>
      <c r="D287" s="675">
        <v>400</v>
      </c>
      <c r="E287" s="676">
        <f>D240-E286</f>
        <v>7.9935714285714212</v>
      </c>
      <c r="F287" s="673" t="str">
        <f>IF(E287&gt;0,"1","0")</f>
        <v>1</v>
      </c>
      <c r="G287" s="673" t="str">
        <f>IF(C298&lt;F286,"1","0")</f>
        <v>1</v>
      </c>
      <c r="H287" s="677">
        <f>G294+G291*G292+G293</f>
        <v>1</v>
      </c>
      <c r="I287" s="677">
        <f>G287*G288+J297+G289</f>
        <v>1</v>
      </c>
    </row>
    <row r="288" spans="2:11">
      <c r="B288" s="678"/>
      <c r="C288" s="673"/>
      <c r="D288" s="673"/>
      <c r="E288" s="679">
        <f>E287-E286</f>
        <v>-30.006428571428579</v>
      </c>
      <c r="F288" s="673" t="str">
        <f t="shared" ref="F288:F297" si="18">IF(E288&gt;0,"1","0")</f>
        <v>0</v>
      </c>
      <c r="G288" s="673" t="str">
        <f>IF(C298&gt;0,"1","0")</f>
        <v>1</v>
      </c>
      <c r="H288" s="673"/>
      <c r="I288" s="680"/>
    </row>
    <row r="289" spans="2:9">
      <c r="B289" s="678"/>
      <c r="C289" s="673"/>
      <c r="D289" s="673"/>
      <c r="E289" s="679">
        <f>E288-E286</f>
        <v>-68.006428571428586</v>
      </c>
      <c r="F289" s="673" t="str">
        <f t="shared" si="18"/>
        <v>0</v>
      </c>
      <c r="G289" s="673" t="str">
        <f>IF(C298=F286,"1","0")</f>
        <v>0</v>
      </c>
      <c r="H289" s="673"/>
      <c r="I289" s="680"/>
    </row>
    <row r="290" spans="2:9">
      <c r="B290" s="678"/>
      <c r="C290" s="673"/>
      <c r="D290" s="673"/>
      <c r="E290" s="679">
        <f>E289-E286</f>
        <v>-106.00642857142859</v>
      </c>
      <c r="F290" s="673" t="str">
        <f t="shared" si="18"/>
        <v>0</v>
      </c>
      <c r="G290" s="673"/>
      <c r="H290" s="673"/>
      <c r="I290" s="680"/>
    </row>
    <row r="291" spans="2:9">
      <c r="B291" s="678"/>
      <c r="C291" s="673"/>
      <c r="D291" s="673"/>
      <c r="E291" s="679">
        <f>E290-E286</f>
        <v>-144.00642857142859</v>
      </c>
      <c r="F291" s="673" t="str">
        <f t="shared" si="18"/>
        <v>0</v>
      </c>
      <c r="G291" s="673" t="str">
        <f>IF(C298&gt;F286,"1","0")</f>
        <v>0</v>
      </c>
      <c r="H291" s="673"/>
      <c r="I291" s="680"/>
    </row>
    <row r="292" spans="2:9">
      <c r="B292" s="678"/>
      <c r="C292" s="673"/>
      <c r="D292" s="673"/>
      <c r="E292" s="679">
        <f>E291-E286</f>
        <v>-182.00642857142859</v>
      </c>
      <c r="F292" s="673" t="str">
        <f t="shared" si="18"/>
        <v>0</v>
      </c>
      <c r="G292" s="673" t="str">
        <f>IF(C298&lt;E286,"1","0")</f>
        <v>1</v>
      </c>
      <c r="H292" s="673"/>
      <c r="I292" s="680"/>
    </row>
    <row r="293" spans="2:9">
      <c r="B293" s="678"/>
      <c r="C293" s="673"/>
      <c r="D293" s="673"/>
      <c r="E293" s="679">
        <f>E292-E286</f>
        <v>-220.00642857142859</v>
      </c>
      <c r="F293" s="673" t="str">
        <f t="shared" si="18"/>
        <v>0</v>
      </c>
      <c r="G293" s="673" t="str">
        <f>IF(C298=E286,"1","0")</f>
        <v>0</v>
      </c>
      <c r="H293" s="673"/>
      <c r="I293" s="680"/>
    </row>
    <row r="294" spans="2:9">
      <c r="B294" s="678"/>
      <c r="C294" s="673"/>
      <c r="D294" s="673"/>
      <c r="E294" s="679">
        <f>E293-E286</f>
        <v>-258.00642857142861</v>
      </c>
      <c r="F294" s="673" t="str">
        <f t="shared" si="18"/>
        <v>0</v>
      </c>
      <c r="G294" s="681">
        <f>G298</f>
        <v>1</v>
      </c>
      <c r="H294" s="673"/>
      <c r="I294" s="680"/>
    </row>
    <row r="295" spans="2:9">
      <c r="B295" s="678"/>
      <c r="C295" s="673"/>
      <c r="D295" s="673"/>
      <c r="E295" s="679">
        <f>E294-E286</f>
        <v>-296.00642857142861</v>
      </c>
      <c r="F295" s="673" t="str">
        <f t="shared" si="18"/>
        <v>0</v>
      </c>
      <c r="G295" s="673"/>
      <c r="H295" s="673"/>
      <c r="I295" s="680"/>
    </row>
    <row r="296" spans="2:9">
      <c r="B296" s="678"/>
      <c r="C296" s="673"/>
      <c r="D296" s="673"/>
      <c r="E296" s="679">
        <f>E295-E286</f>
        <v>-334.00642857142861</v>
      </c>
      <c r="F296" s="673" t="str">
        <f t="shared" si="18"/>
        <v>0</v>
      </c>
      <c r="G296" s="673"/>
      <c r="H296" s="673"/>
      <c r="I296" s="680"/>
    </row>
    <row r="297" spans="2:9">
      <c r="B297" s="678"/>
      <c r="C297" s="673"/>
      <c r="D297" s="673"/>
      <c r="E297" s="679">
        <f>E296-E286</f>
        <v>-372.00642857142861</v>
      </c>
      <c r="F297" s="673" t="str">
        <f t="shared" si="18"/>
        <v>0</v>
      </c>
      <c r="G297" s="673"/>
      <c r="H297" s="673"/>
      <c r="I297" s="680"/>
    </row>
    <row r="298" spans="2:9">
      <c r="B298" s="682"/>
      <c r="C298" s="683">
        <f>D298*E286</f>
        <v>7.9935714285714221</v>
      </c>
      <c r="D298" s="683">
        <f>E298-G298</f>
        <v>0.21035714285714269</v>
      </c>
      <c r="E298" s="684">
        <f>D240/E286</f>
        <v>1.2103571428571427</v>
      </c>
      <c r="F298" s="683"/>
      <c r="G298" s="683">
        <f>F287+F288+F289+F290+F291+F292+F293+F294+F295+F296+F297</f>
        <v>1</v>
      </c>
      <c r="H298" s="683"/>
      <c r="I298" s="685"/>
    </row>
    <row r="299" spans="2:9">
      <c r="B299" s="667"/>
      <c r="C299" s="668" t="s">
        <v>381</v>
      </c>
      <c r="D299" s="669"/>
      <c r="E299" s="669"/>
      <c r="F299" s="669"/>
      <c r="G299" s="669" t="s">
        <v>382</v>
      </c>
      <c r="H299" s="669" t="s">
        <v>383</v>
      </c>
      <c r="I299" s="670" t="s">
        <v>384</v>
      </c>
    </row>
    <row r="300" spans="2:9">
      <c r="B300" s="1321" t="str">
        <f>B241</f>
        <v>Основные данные с АДМИНКИ    ест. Влаж</v>
      </c>
      <c r="C300" s="1322"/>
      <c r="D300" s="671" t="str">
        <f>C241</f>
        <v>145х140</v>
      </c>
      <c r="E300" s="672">
        <f>K241</f>
        <v>32</v>
      </c>
      <c r="F300" s="672">
        <f>L241</f>
        <v>17</v>
      </c>
      <c r="G300" s="673"/>
      <c r="H300" s="674">
        <f>'Данные Брус'!F281</f>
        <v>80000</v>
      </c>
      <c r="I300" s="674">
        <f>'Данные Брус'!G281</f>
        <v>70000</v>
      </c>
    </row>
    <row r="301" spans="2:9">
      <c r="B301" s="1317" t="s">
        <v>385</v>
      </c>
      <c r="C301" s="1319"/>
      <c r="D301" s="675">
        <v>400</v>
      </c>
      <c r="E301" s="676">
        <f>D241-E300</f>
        <v>35.78</v>
      </c>
      <c r="F301" s="673" t="str">
        <f>IF(E301&gt;0,"1","0")</f>
        <v>1</v>
      </c>
      <c r="G301" s="673" t="str">
        <f>IF(C312&lt;F300,"1","0")</f>
        <v>1</v>
      </c>
      <c r="H301" s="677">
        <f>G308+G305*G306+G307</f>
        <v>2</v>
      </c>
      <c r="I301" s="677">
        <f>G301*G302+J311+G303</f>
        <v>1</v>
      </c>
    </row>
    <row r="302" spans="2:9">
      <c r="B302" s="678"/>
      <c r="C302" s="673"/>
      <c r="D302" s="673"/>
      <c r="E302" s="679">
        <f>E301-E300</f>
        <v>3.7800000000000011</v>
      </c>
      <c r="F302" s="673" t="str">
        <f t="shared" ref="F302:F311" si="19">IF(E302&gt;0,"1","0")</f>
        <v>1</v>
      </c>
      <c r="G302" s="673" t="str">
        <f>IF(C312&gt;0,"1","0")</f>
        <v>1</v>
      </c>
      <c r="H302" s="673"/>
      <c r="I302" s="680"/>
    </row>
    <row r="303" spans="2:9">
      <c r="B303" s="678"/>
      <c r="C303" s="673"/>
      <c r="D303" s="673"/>
      <c r="E303" s="679">
        <f>E302-E300</f>
        <v>-28.22</v>
      </c>
      <c r="F303" s="673" t="str">
        <f t="shared" si="19"/>
        <v>0</v>
      </c>
      <c r="G303" s="673" t="str">
        <f>IF(C312=F300,"1","0")</f>
        <v>0</v>
      </c>
      <c r="H303" s="673"/>
      <c r="I303" s="680"/>
    </row>
    <row r="304" spans="2:9">
      <c r="B304" s="678"/>
      <c r="C304" s="673"/>
      <c r="D304" s="673"/>
      <c r="E304" s="679">
        <f>E303-E300</f>
        <v>-60.22</v>
      </c>
      <c r="F304" s="673" t="str">
        <f t="shared" si="19"/>
        <v>0</v>
      </c>
      <c r="G304" s="673"/>
      <c r="H304" s="673"/>
      <c r="I304" s="680"/>
    </row>
    <row r="305" spans="2:9">
      <c r="B305" s="678"/>
      <c r="C305" s="673"/>
      <c r="D305" s="673"/>
      <c r="E305" s="679">
        <f>E304-E300</f>
        <v>-92.22</v>
      </c>
      <c r="F305" s="673" t="str">
        <f t="shared" si="19"/>
        <v>0</v>
      </c>
      <c r="G305" s="673" t="str">
        <f>IF(C312&gt;F300,"1","0")</f>
        <v>0</v>
      </c>
      <c r="H305" s="673"/>
      <c r="I305" s="680"/>
    </row>
    <row r="306" spans="2:9">
      <c r="B306" s="678"/>
      <c r="C306" s="673"/>
      <c r="D306" s="673"/>
      <c r="E306" s="679">
        <f>E305-E300</f>
        <v>-124.22</v>
      </c>
      <c r="F306" s="673" t="str">
        <f t="shared" si="19"/>
        <v>0</v>
      </c>
      <c r="G306" s="673" t="str">
        <f>IF(C312&lt;E300,"1","0")</f>
        <v>1</v>
      </c>
      <c r="H306" s="673"/>
      <c r="I306" s="680"/>
    </row>
    <row r="307" spans="2:9">
      <c r="B307" s="678"/>
      <c r="C307" s="673"/>
      <c r="D307" s="673"/>
      <c r="E307" s="679">
        <f>E306-E300</f>
        <v>-156.22</v>
      </c>
      <c r="F307" s="673" t="str">
        <f t="shared" si="19"/>
        <v>0</v>
      </c>
      <c r="G307" s="673" t="str">
        <f>IF(C312=E300,"1","0")</f>
        <v>0</v>
      </c>
      <c r="H307" s="673"/>
      <c r="I307" s="680"/>
    </row>
    <row r="308" spans="2:9">
      <c r="B308" s="678"/>
      <c r="C308" s="673"/>
      <c r="D308" s="673"/>
      <c r="E308" s="679">
        <f>E307-E300</f>
        <v>-188.22</v>
      </c>
      <c r="F308" s="673" t="str">
        <f t="shared" si="19"/>
        <v>0</v>
      </c>
      <c r="G308" s="681">
        <f>G312</f>
        <v>2</v>
      </c>
      <c r="H308" s="673"/>
      <c r="I308" s="680"/>
    </row>
    <row r="309" spans="2:9">
      <c r="B309" s="678"/>
      <c r="C309" s="673"/>
      <c r="D309" s="673"/>
      <c r="E309" s="679">
        <f>E308-E300</f>
        <v>-220.22</v>
      </c>
      <c r="F309" s="673" t="str">
        <f t="shared" si="19"/>
        <v>0</v>
      </c>
      <c r="G309" s="673"/>
      <c r="H309" s="673"/>
      <c r="I309" s="680"/>
    </row>
    <row r="310" spans="2:9">
      <c r="B310" s="678"/>
      <c r="C310" s="673"/>
      <c r="D310" s="673"/>
      <c r="E310" s="679">
        <f>E309-E300</f>
        <v>-252.22</v>
      </c>
      <c r="F310" s="673" t="str">
        <f t="shared" si="19"/>
        <v>0</v>
      </c>
      <c r="G310" s="673"/>
      <c r="H310" s="673"/>
      <c r="I310" s="680"/>
    </row>
    <row r="311" spans="2:9">
      <c r="B311" s="678"/>
      <c r="C311" s="673"/>
      <c r="D311" s="673"/>
      <c r="E311" s="679">
        <f>E310-E300</f>
        <v>-284.22000000000003</v>
      </c>
      <c r="F311" s="673" t="str">
        <f t="shared" si="19"/>
        <v>0</v>
      </c>
      <c r="G311" s="673"/>
      <c r="H311" s="673"/>
      <c r="I311" s="680"/>
    </row>
    <row r="312" spans="2:9">
      <c r="B312" s="682"/>
      <c r="C312" s="683">
        <f>D312*E300</f>
        <v>3.7800000000000011</v>
      </c>
      <c r="D312" s="683">
        <f>E312-G312</f>
        <v>0.11812500000000004</v>
      </c>
      <c r="E312" s="684">
        <f>D241/E300</f>
        <v>2.118125</v>
      </c>
      <c r="F312" s="683"/>
      <c r="G312" s="683">
        <f>F301+F302+F303+F304+F305+F306+F307+F308+F309+F310+F311</f>
        <v>2</v>
      </c>
      <c r="H312" s="683"/>
      <c r="I312" s="685"/>
    </row>
    <row r="313" spans="2:9">
      <c r="B313" s="667"/>
      <c r="C313" s="668" t="s">
        <v>381</v>
      </c>
      <c r="D313" s="669"/>
      <c r="E313" s="669"/>
      <c r="F313" s="669"/>
      <c r="G313" s="669" t="s">
        <v>382</v>
      </c>
      <c r="H313" s="669" t="s">
        <v>383</v>
      </c>
      <c r="I313" s="670" t="s">
        <v>384</v>
      </c>
    </row>
    <row r="314" spans="2:9">
      <c r="B314" s="1317" t="str">
        <f>B242</f>
        <v>ест. Влаж</v>
      </c>
      <c r="C314" s="1318"/>
      <c r="D314" s="671" t="str">
        <f>C242</f>
        <v>145х190</v>
      </c>
      <c r="E314" s="672">
        <f>K242</f>
        <v>32</v>
      </c>
      <c r="F314" s="672">
        <f>L255</f>
        <v>19</v>
      </c>
      <c r="G314" s="673"/>
      <c r="H314" s="674">
        <f>'Данные Брус'!F282</f>
        <v>80000</v>
      </c>
      <c r="I314" s="674">
        <f>'Данные Брус'!G282</f>
        <v>70000</v>
      </c>
    </row>
    <row r="315" spans="2:9">
      <c r="B315" s="1317" t="s">
        <v>385</v>
      </c>
      <c r="C315" s="1319"/>
      <c r="D315" s="675">
        <v>400</v>
      </c>
      <c r="E315" s="676">
        <f>D242-E314</f>
        <v>59.987142857142842</v>
      </c>
      <c r="F315" s="673" t="str">
        <f>IF(E315&gt;0,"1","0")</f>
        <v>1</v>
      </c>
      <c r="G315" s="673" t="str">
        <f>IF(C326&lt;F314,"1","0")</f>
        <v>0</v>
      </c>
      <c r="H315" s="677">
        <f>G322+G319*G320+G321</f>
        <v>3</v>
      </c>
      <c r="I315" s="677">
        <f>G315*G316+J325+G317</f>
        <v>0</v>
      </c>
    </row>
    <row r="316" spans="2:9">
      <c r="B316" s="678"/>
      <c r="C316" s="673"/>
      <c r="D316" s="673"/>
      <c r="E316" s="679">
        <f>E315-E314</f>
        <v>27.987142857142842</v>
      </c>
      <c r="F316" s="673" t="str">
        <f t="shared" ref="F316:F325" si="20">IF(E316&gt;0,"1","0")</f>
        <v>1</v>
      </c>
      <c r="G316" s="673" t="str">
        <f>IF(C326&gt;0,"1","0")</f>
        <v>1</v>
      </c>
      <c r="H316" s="673"/>
      <c r="I316" s="680"/>
    </row>
    <row r="317" spans="2:9">
      <c r="B317" s="678"/>
      <c r="C317" s="673"/>
      <c r="D317" s="673"/>
      <c r="E317" s="679">
        <f>E316-E314</f>
        <v>-4.0128571428571576</v>
      </c>
      <c r="F317" s="673" t="str">
        <f t="shared" si="20"/>
        <v>0</v>
      </c>
      <c r="G317" s="673" t="str">
        <f>IF(C326=F314,"1","0")</f>
        <v>0</v>
      </c>
      <c r="H317" s="673"/>
      <c r="I317" s="680"/>
    </row>
    <row r="318" spans="2:9">
      <c r="B318" s="678"/>
      <c r="C318" s="673"/>
      <c r="D318" s="673"/>
      <c r="E318" s="679">
        <f>E317-E314</f>
        <v>-36.012857142857158</v>
      </c>
      <c r="F318" s="673" t="str">
        <f t="shared" si="20"/>
        <v>0</v>
      </c>
      <c r="G318" s="673"/>
      <c r="H318" s="673"/>
      <c r="I318" s="680"/>
    </row>
    <row r="319" spans="2:9">
      <c r="B319" s="678"/>
      <c r="C319" s="673"/>
      <c r="D319" s="673"/>
      <c r="E319" s="679">
        <f>E318-E314</f>
        <v>-68.012857142857158</v>
      </c>
      <c r="F319" s="673" t="str">
        <f t="shared" si="20"/>
        <v>0</v>
      </c>
      <c r="G319" s="673" t="str">
        <f>IF(C326&gt;F314,"1","0")</f>
        <v>1</v>
      </c>
      <c r="H319" s="673"/>
      <c r="I319" s="680"/>
    </row>
    <row r="320" spans="2:9">
      <c r="B320" s="678"/>
      <c r="C320" s="673"/>
      <c r="D320" s="673"/>
      <c r="E320" s="679">
        <f>E319-E314</f>
        <v>-100.01285714285716</v>
      </c>
      <c r="F320" s="673" t="str">
        <f t="shared" si="20"/>
        <v>0</v>
      </c>
      <c r="G320" s="673" t="str">
        <f>IF(C326&lt;E314,"1","0")</f>
        <v>1</v>
      </c>
      <c r="H320" s="673"/>
      <c r="I320" s="680"/>
    </row>
    <row r="321" spans="2:9">
      <c r="B321" s="678"/>
      <c r="C321" s="673"/>
      <c r="D321" s="673"/>
      <c r="E321" s="679">
        <f>E320-E314</f>
        <v>-132.01285714285717</v>
      </c>
      <c r="F321" s="673" t="str">
        <f t="shared" si="20"/>
        <v>0</v>
      </c>
      <c r="G321" s="673" t="str">
        <f>IF(C326=E314,"1","0")</f>
        <v>0</v>
      </c>
      <c r="H321" s="673"/>
      <c r="I321" s="680"/>
    </row>
    <row r="322" spans="2:9">
      <c r="B322" s="678"/>
      <c r="C322" s="673"/>
      <c r="D322" s="673"/>
      <c r="E322" s="679">
        <f>E321-E314</f>
        <v>-164.01285714285717</v>
      </c>
      <c r="F322" s="673" t="str">
        <f t="shared" si="20"/>
        <v>0</v>
      </c>
      <c r="G322" s="681">
        <f>G326</f>
        <v>2</v>
      </c>
      <c r="H322" s="673"/>
      <c r="I322" s="680"/>
    </row>
    <row r="323" spans="2:9">
      <c r="B323" s="678"/>
      <c r="C323" s="673"/>
      <c r="D323" s="673"/>
      <c r="E323" s="679">
        <f>E322-E314</f>
        <v>-196.01285714285717</v>
      </c>
      <c r="F323" s="673" t="str">
        <f t="shared" si="20"/>
        <v>0</v>
      </c>
      <c r="G323" s="673"/>
      <c r="H323" s="673"/>
      <c r="I323" s="680"/>
    </row>
    <row r="324" spans="2:9">
      <c r="B324" s="678"/>
      <c r="C324" s="673"/>
      <c r="D324" s="673"/>
      <c r="E324" s="679">
        <f>E323-E314</f>
        <v>-228.01285714285717</v>
      </c>
      <c r="F324" s="673" t="str">
        <f t="shared" si="20"/>
        <v>0</v>
      </c>
      <c r="G324" s="673"/>
      <c r="H324" s="673"/>
      <c r="I324" s="680"/>
    </row>
    <row r="325" spans="2:9">
      <c r="B325" s="678"/>
      <c r="C325" s="673"/>
      <c r="D325" s="673"/>
      <c r="E325" s="679">
        <f>E324-E314</f>
        <v>-260.01285714285717</v>
      </c>
      <c r="F325" s="673" t="str">
        <f t="shared" si="20"/>
        <v>0</v>
      </c>
      <c r="G325" s="673"/>
      <c r="H325" s="673"/>
      <c r="I325" s="680"/>
    </row>
    <row r="326" spans="2:9">
      <c r="B326" s="682"/>
      <c r="C326" s="683">
        <f>D326*E314</f>
        <v>27.987142857142842</v>
      </c>
      <c r="D326" s="683">
        <f>E326-G326</f>
        <v>0.87459821428571383</v>
      </c>
      <c r="E326" s="684">
        <f>D242/E314</f>
        <v>2.8745982142857138</v>
      </c>
      <c r="F326" s="683"/>
      <c r="G326" s="683">
        <f>F315+F316+F317+F318+F319+F320+F321+F322+F323+F324+F325</f>
        <v>2</v>
      </c>
      <c r="H326" s="683"/>
      <c r="I326" s="685"/>
    </row>
    <row r="327" spans="2:9">
      <c r="B327" s="667"/>
      <c r="C327" s="668" t="s">
        <v>381</v>
      </c>
      <c r="D327" s="669"/>
      <c r="E327" s="669"/>
      <c r="F327" s="669"/>
      <c r="G327" s="669" t="s">
        <v>382</v>
      </c>
      <c r="H327" s="669" t="s">
        <v>383</v>
      </c>
      <c r="I327" s="670" t="s">
        <v>384</v>
      </c>
    </row>
    <row r="328" spans="2:9">
      <c r="B328" s="1317" t="str">
        <f>B243</f>
        <v>ест. Влаж</v>
      </c>
      <c r="C328" s="1318"/>
      <c r="D328" s="671" t="str">
        <f>C243</f>
        <v>195х190</v>
      </c>
      <c r="E328" s="672">
        <f>K243</f>
        <v>32</v>
      </c>
      <c r="F328" s="672">
        <f>L243</f>
        <v>17</v>
      </c>
      <c r="G328" s="673"/>
      <c r="H328" s="674">
        <f>'Данные Брус'!F283</f>
        <v>80000</v>
      </c>
      <c r="I328" s="674">
        <f>'Данные Брус'!G283</f>
        <v>70000</v>
      </c>
    </row>
    <row r="329" spans="2:9">
      <c r="B329" s="1317" t="s">
        <v>385</v>
      </c>
      <c r="C329" s="1319"/>
      <c r="D329" s="675">
        <v>400</v>
      </c>
      <c r="E329" s="676">
        <f>D243-E328</f>
        <v>59.435495823516817</v>
      </c>
      <c r="F329" s="673" t="str">
        <f>IF(E329&gt;0,"1","0")</f>
        <v>1</v>
      </c>
      <c r="G329" s="673" t="str">
        <f>IF(C340&lt;F328,"1","0")</f>
        <v>0</v>
      </c>
      <c r="H329" s="677">
        <f>G336+G333*G334+G335</f>
        <v>3</v>
      </c>
      <c r="I329" s="677">
        <f>G329*G330+J339+G331</f>
        <v>0</v>
      </c>
    </row>
    <row r="330" spans="2:9">
      <c r="B330" s="678"/>
      <c r="C330" s="673"/>
      <c r="D330" s="673"/>
      <c r="E330" s="679">
        <f>E329-E328</f>
        <v>27.435495823516817</v>
      </c>
      <c r="F330" s="673" t="str">
        <f t="shared" ref="F330:F339" si="21">IF(E330&gt;0,"1","0")</f>
        <v>1</v>
      </c>
      <c r="G330" s="673" t="str">
        <f>IF(C340&gt;0,"1","0")</f>
        <v>1</v>
      </c>
      <c r="H330" s="673"/>
      <c r="I330" s="680"/>
    </row>
    <row r="331" spans="2:9">
      <c r="B331" s="678"/>
      <c r="C331" s="673"/>
      <c r="D331" s="673"/>
      <c r="E331" s="679">
        <f>E330-E328</f>
        <v>-4.5645041764831831</v>
      </c>
      <c r="F331" s="673" t="str">
        <f t="shared" si="21"/>
        <v>0</v>
      </c>
      <c r="G331" s="673" t="str">
        <f>IF(C340=F328,"1","0")</f>
        <v>0</v>
      </c>
      <c r="H331" s="673"/>
      <c r="I331" s="680"/>
    </row>
    <row r="332" spans="2:9">
      <c r="B332" s="678"/>
      <c r="C332" s="673"/>
      <c r="D332" s="673"/>
      <c r="E332" s="679">
        <f>E331-E328</f>
        <v>-36.564504176483183</v>
      </c>
      <c r="F332" s="673" t="str">
        <f t="shared" si="21"/>
        <v>0</v>
      </c>
      <c r="G332" s="673"/>
      <c r="H332" s="673"/>
      <c r="I332" s="680"/>
    </row>
    <row r="333" spans="2:9">
      <c r="B333" s="678"/>
      <c r="C333" s="673"/>
      <c r="D333" s="673"/>
      <c r="E333" s="679">
        <f>E332-E328</f>
        <v>-68.564504176483183</v>
      </c>
      <c r="F333" s="673" t="str">
        <f t="shared" si="21"/>
        <v>0</v>
      </c>
      <c r="G333" s="673" t="str">
        <f>IF(C340&gt;F328,"1","0")</f>
        <v>1</v>
      </c>
      <c r="H333" s="673"/>
      <c r="I333" s="680"/>
    </row>
    <row r="334" spans="2:9">
      <c r="B334" s="678"/>
      <c r="C334" s="673"/>
      <c r="D334" s="673"/>
      <c r="E334" s="679">
        <f>E333-E328</f>
        <v>-100.56450417648318</v>
      </c>
      <c r="F334" s="673" t="str">
        <f t="shared" si="21"/>
        <v>0</v>
      </c>
      <c r="G334" s="673" t="str">
        <f>IF(C340&lt;E328,"1","0")</f>
        <v>1</v>
      </c>
      <c r="H334" s="673"/>
      <c r="I334" s="680"/>
    </row>
    <row r="335" spans="2:9">
      <c r="B335" s="678"/>
      <c r="C335" s="673"/>
      <c r="D335" s="673"/>
      <c r="E335" s="679">
        <f>E334-E328</f>
        <v>-132.56450417648318</v>
      </c>
      <c r="F335" s="673" t="str">
        <f t="shared" si="21"/>
        <v>0</v>
      </c>
      <c r="G335" s="673" t="str">
        <f>IF(C340=E328,"1","0")</f>
        <v>0</v>
      </c>
      <c r="H335" s="673"/>
      <c r="I335" s="680"/>
    </row>
    <row r="336" spans="2:9">
      <c r="B336" s="678"/>
      <c r="C336" s="673"/>
      <c r="D336" s="673"/>
      <c r="E336" s="679">
        <f>E335-E328</f>
        <v>-164.56450417648318</v>
      </c>
      <c r="F336" s="673" t="str">
        <f t="shared" si="21"/>
        <v>0</v>
      </c>
      <c r="G336" s="681">
        <f>G340</f>
        <v>2</v>
      </c>
      <c r="H336" s="673"/>
      <c r="I336" s="680"/>
    </row>
    <row r="337" spans="2:9">
      <c r="B337" s="678"/>
      <c r="C337" s="673"/>
      <c r="D337" s="673"/>
      <c r="E337" s="679">
        <f>E336-E328</f>
        <v>-196.56450417648318</v>
      </c>
      <c r="F337" s="673" t="str">
        <f t="shared" si="21"/>
        <v>0</v>
      </c>
      <c r="G337" s="673"/>
      <c r="H337" s="673"/>
      <c r="I337" s="680"/>
    </row>
    <row r="338" spans="2:9">
      <c r="B338" s="678"/>
      <c r="C338" s="673"/>
      <c r="D338" s="673"/>
      <c r="E338" s="679">
        <f>E337-E328</f>
        <v>-228.56450417648318</v>
      </c>
      <c r="F338" s="673" t="str">
        <f t="shared" si="21"/>
        <v>0</v>
      </c>
      <c r="G338" s="673"/>
      <c r="H338" s="673"/>
      <c r="I338" s="680"/>
    </row>
    <row r="339" spans="2:9">
      <c r="B339" s="678"/>
      <c r="C339" s="673"/>
      <c r="D339" s="673"/>
      <c r="E339" s="679">
        <f>E338-E328</f>
        <v>-260.56450417648318</v>
      </c>
      <c r="F339" s="673" t="str">
        <f t="shared" si="21"/>
        <v>0</v>
      </c>
      <c r="G339" s="673"/>
      <c r="H339" s="673"/>
      <c r="I339" s="680"/>
    </row>
    <row r="340" spans="2:9">
      <c r="B340" s="682"/>
      <c r="C340" s="683">
        <f>D340*E328</f>
        <v>27.435495823516817</v>
      </c>
      <c r="D340" s="683">
        <f>E340-G340</f>
        <v>0.85735924448490053</v>
      </c>
      <c r="E340" s="684">
        <f>D243/E328</f>
        <v>2.8573592444849005</v>
      </c>
      <c r="F340" s="683"/>
      <c r="G340" s="683">
        <f>F329+F330+F331+F332+F333+F334+F335+F336+F337+F338+F339</f>
        <v>2</v>
      </c>
      <c r="H340" s="683"/>
      <c r="I340" s="685"/>
    </row>
    <row r="341" spans="2:9">
      <c r="B341" s="667"/>
      <c r="C341" s="668" t="s">
        <v>381</v>
      </c>
      <c r="D341" s="669"/>
      <c r="E341" s="669"/>
      <c r="F341" s="669"/>
      <c r="G341" s="669" t="s">
        <v>382</v>
      </c>
      <c r="H341" s="669" t="s">
        <v>383</v>
      </c>
      <c r="I341" s="670" t="s">
        <v>384</v>
      </c>
    </row>
    <row r="342" spans="2:9">
      <c r="B342" s="1317" t="str">
        <f>B244</f>
        <v>камерной сушки</v>
      </c>
      <c r="C342" s="1318"/>
      <c r="D342" s="671" t="str">
        <f>C244</f>
        <v>145х145</v>
      </c>
      <c r="E342" s="672">
        <f>K244</f>
        <v>38</v>
      </c>
      <c r="F342" s="672">
        <f>L244</f>
        <v>20</v>
      </c>
      <c r="G342" s="673"/>
      <c r="H342" s="674">
        <f>'Данные Брус'!F284</f>
        <v>80000</v>
      </c>
      <c r="I342" s="674">
        <f>'Данные Брус'!G284</f>
        <v>70000</v>
      </c>
    </row>
    <row r="343" spans="2:9">
      <c r="B343" s="1317" t="s">
        <v>385</v>
      </c>
      <c r="C343" s="1319"/>
      <c r="D343" s="675">
        <v>400</v>
      </c>
      <c r="E343" s="676">
        <f>D244-E342</f>
        <v>32.19632097485092</v>
      </c>
      <c r="F343" s="673" t="str">
        <f>IF(E343&gt;0,"1","0")</f>
        <v>1</v>
      </c>
      <c r="G343" s="673" t="str">
        <f>IF(C354&lt;F342,"1","0")</f>
        <v>0</v>
      </c>
      <c r="H343" s="677">
        <f>G350+G347*G348+G349</f>
        <v>2</v>
      </c>
      <c r="I343" s="677">
        <f>G343*G344+J353+G345</f>
        <v>0</v>
      </c>
    </row>
    <row r="344" spans="2:9">
      <c r="B344" s="678"/>
      <c r="C344" s="673"/>
      <c r="D344" s="673"/>
      <c r="E344" s="679">
        <f>E343-E342</f>
        <v>-5.80367902514908</v>
      </c>
      <c r="F344" s="673" t="str">
        <f t="shared" ref="F344:F353" si="22">IF(E344&gt;0,"1","0")</f>
        <v>0</v>
      </c>
      <c r="G344" s="673" t="str">
        <f>IF(C354&gt;0,"1","0")</f>
        <v>1</v>
      </c>
      <c r="H344" s="673"/>
      <c r="I344" s="680"/>
    </row>
    <row r="345" spans="2:9">
      <c r="B345" s="678"/>
      <c r="C345" s="673"/>
      <c r="D345" s="673"/>
      <c r="E345" s="679">
        <f>E344-E342</f>
        <v>-43.80367902514908</v>
      </c>
      <c r="F345" s="673" t="str">
        <f t="shared" si="22"/>
        <v>0</v>
      </c>
      <c r="G345" s="673" t="str">
        <f>IF(C354=F342,"1","0")</f>
        <v>0</v>
      </c>
      <c r="H345" s="673"/>
      <c r="I345" s="680"/>
    </row>
    <row r="346" spans="2:9">
      <c r="B346" s="678"/>
      <c r="C346" s="673"/>
      <c r="D346" s="673"/>
      <c r="E346" s="679">
        <f>E345-E342</f>
        <v>-81.80367902514908</v>
      </c>
      <c r="F346" s="673" t="str">
        <f t="shared" si="22"/>
        <v>0</v>
      </c>
      <c r="G346" s="673"/>
      <c r="H346" s="673"/>
      <c r="I346" s="680"/>
    </row>
    <row r="347" spans="2:9">
      <c r="B347" s="678"/>
      <c r="C347" s="673"/>
      <c r="D347" s="673"/>
      <c r="E347" s="679">
        <f>E346-E342</f>
        <v>-119.80367902514908</v>
      </c>
      <c r="F347" s="673" t="str">
        <f t="shared" si="22"/>
        <v>0</v>
      </c>
      <c r="G347" s="673" t="str">
        <f>IF(C354&gt;F342,"1","0")</f>
        <v>1</v>
      </c>
      <c r="H347" s="673"/>
      <c r="I347" s="680"/>
    </row>
    <row r="348" spans="2:9">
      <c r="B348" s="678"/>
      <c r="C348" s="673"/>
      <c r="D348" s="673"/>
      <c r="E348" s="679">
        <f>E347-E342</f>
        <v>-157.80367902514908</v>
      </c>
      <c r="F348" s="673" t="str">
        <f t="shared" si="22"/>
        <v>0</v>
      </c>
      <c r="G348" s="673" t="str">
        <f>IF(C354&lt;E342,"1","0")</f>
        <v>1</v>
      </c>
      <c r="H348" s="673"/>
      <c r="I348" s="680"/>
    </row>
    <row r="349" spans="2:9">
      <c r="B349" s="678"/>
      <c r="C349" s="673"/>
      <c r="D349" s="673"/>
      <c r="E349" s="679">
        <f>E348-E342</f>
        <v>-195.80367902514908</v>
      </c>
      <c r="F349" s="673" t="str">
        <f t="shared" si="22"/>
        <v>0</v>
      </c>
      <c r="G349" s="673" t="str">
        <f>IF(C354=E342,"1","0")</f>
        <v>0</v>
      </c>
      <c r="H349" s="673"/>
      <c r="I349" s="680"/>
    </row>
    <row r="350" spans="2:9">
      <c r="B350" s="678"/>
      <c r="C350" s="673"/>
      <c r="D350" s="673"/>
      <c r="E350" s="679">
        <f>E349-E342</f>
        <v>-233.80367902514908</v>
      </c>
      <c r="F350" s="673" t="str">
        <f t="shared" si="22"/>
        <v>0</v>
      </c>
      <c r="G350" s="681">
        <f>G354</f>
        <v>1</v>
      </c>
      <c r="H350" s="673"/>
      <c r="I350" s="680"/>
    </row>
    <row r="351" spans="2:9">
      <c r="B351" s="678"/>
      <c r="C351" s="673"/>
      <c r="D351" s="673"/>
      <c r="E351" s="679">
        <f>E350-E342</f>
        <v>-271.80367902514911</v>
      </c>
      <c r="F351" s="673" t="str">
        <f t="shared" si="22"/>
        <v>0</v>
      </c>
      <c r="G351" s="673"/>
      <c r="H351" s="673"/>
      <c r="I351" s="680"/>
    </row>
    <row r="352" spans="2:9">
      <c r="B352" s="678"/>
      <c r="C352" s="673"/>
      <c r="D352" s="673"/>
      <c r="E352" s="679">
        <f>E351-E342</f>
        <v>-309.80367902514911</v>
      </c>
      <c r="F352" s="673" t="str">
        <f t="shared" si="22"/>
        <v>0</v>
      </c>
      <c r="G352" s="673"/>
      <c r="H352" s="673"/>
      <c r="I352" s="680"/>
    </row>
    <row r="353" spans="2:9">
      <c r="B353" s="678"/>
      <c r="C353" s="673"/>
      <c r="D353" s="673"/>
      <c r="E353" s="679">
        <f>E352-E342</f>
        <v>-347.80367902514911</v>
      </c>
      <c r="F353" s="673" t="str">
        <f t="shared" si="22"/>
        <v>0</v>
      </c>
      <c r="G353" s="673"/>
      <c r="H353" s="673"/>
      <c r="I353" s="680"/>
    </row>
    <row r="354" spans="2:9">
      <c r="B354" s="682"/>
      <c r="C354" s="683">
        <f>D354*E342</f>
        <v>32.19632097485092</v>
      </c>
      <c r="D354" s="683">
        <f>E354-G354</f>
        <v>0.84727160460133999</v>
      </c>
      <c r="E354" s="684">
        <f>D244/E342</f>
        <v>1.84727160460134</v>
      </c>
      <c r="F354" s="683"/>
      <c r="G354" s="683">
        <f>F343+F344+F345+F346+F347+F348+F349+F350+F351+F352+F353</f>
        <v>1</v>
      </c>
      <c r="H354" s="683"/>
      <c r="I354" s="685"/>
    </row>
    <row r="355" spans="2:9">
      <c r="B355" s="667"/>
      <c r="C355" s="668" t="s">
        <v>381</v>
      </c>
      <c r="D355" s="669"/>
      <c r="E355" s="669"/>
      <c r="F355" s="669"/>
      <c r="G355" s="669" t="s">
        <v>382</v>
      </c>
      <c r="H355" s="669" t="s">
        <v>383</v>
      </c>
      <c r="I355" s="670" t="s">
        <v>384</v>
      </c>
    </row>
    <row r="356" spans="2:9">
      <c r="B356" s="1317" t="str">
        <f>B245</f>
        <v>камерной сушки</v>
      </c>
      <c r="C356" s="1318"/>
      <c r="D356" s="671" t="str">
        <f>C245</f>
        <v>145х195</v>
      </c>
      <c r="E356" s="672">
        <f>K245</f>
        <v>38</v>
      </c>
      <c r="F356" s="672">
        <f>L245</f>
        <v>20</v>
      </c>
      <c r="G356" s="673"/>
      <c r="H356" s="674">
        <f>'Данные Брус'!F285</f>
        <v>80000</v>
      </c>
      <c r="I356" s="674">
        <f>'Данные Брус'!G285</f>
        <v>70000</v>
      </c>
    </row>
    <row r="357" spans="2:9">
      <c r="B357" s="1317" t="s">
        <v>385</v>
      </c>
      <c r="C357" s="1319"/>
      <c r="D357" s="675">
        <v>400</v>
      </c>
      <c r="E357" s="676">
        <f>D245-E356</f>
        <v>56.403463831993776</v>
      </c>
      <c r="F357" s="673" t="str">
        <f>IF(E357&gt;0,"1","0")</f>
        <v>1</v>
      </c>
      <c r="G357" s="673" t="str">
        <f>IF(C368&lt;F356,"1","0")</f>
        <v>1</v>
      </c>
      <c r="H357" s="677">
        <f>G364+G361*G362+G363</f>
        <v>2</v>
      </c>
      <c r="I357" s="677">
        <f>G357*G358+J367+G359</f>
        <v>1</v>
      </c>
    </row>
    <row r="358" spans="2:9">
      <c r="B358" s="678"/>
      <c r="C358" s="673"/>
      <c r="D358" s="673"/>
      <c r="E358" s="679">
        <f>E357-E356</f>
        <v>18.403463831993776</v>
      </c>
      <c r="F358" s="673" t="str">
        <f t="shared" ref="F358:F367" si="23">IF(E358&gt;0,"1","0")</f>
        <v>1</v>
      </c>
      <c r="G358" s="673" t="str">
        <f>IF(C368&gt;0,"1","0")</f>
        <v>1</v>
      </c>
      <c r="H358" s="673"/>
      <c r="I358" s="680"/>
    </row>
    <row r="359" spans="2:9">
      <c r="B359" s="678"/>
      <c r="C359" s="673"/>
      <c r="D359" s="673"/>
      <c r="E359" s="679">
        <f>E358-E356</f>
        <v>-19.596536168006224</v>
      </c>
      <c r="F359" s="673" t="str">
        <f t="shared" si="23"/>
        <v>0</v>
      </c>
      <c r="G359" s="673" t="str">
        <f>IF(C368=F356,"1","0")</f>
        <v>0</v>
      </c>
      <c r="H359" s="673"/>
      <c r="I359" s="680"/>
    </row>
    <row r="360" spans="2:9">
      <c r="B360" s="678"/>
      <c r="C360" s="673"/>
      <c r="D360" s="673"/>
      <c r="E360" s="679">
        <f>E359-E356</f>
        <v>-57.596536168006224</v>
      </c>
      <c r="F360" s="673" t="str">
        <f t="shared" si="23"/>
        <v>0</v>
      </c>
      <c r="G360" s="673"/>
      <c r="H360" s="673"/>
      <c r="I360" s="680"/>
    </row>
    <row r="361" spans="2:9">
      <c r="B361" s="678"/>
      <c r="C361" s="673"/>
      <c r="D361" s="673"/>
      <c r="E361" s="679">
        <f>E360-E356</f>
        <v>-95.596536168006224</v>
      </c>
      <c r="F361" s="673" t="str">
        <f t="shared" si="23"/>
        <v>0</v>
      </c>
      <c r="G361" s="673" t="str">
        <f>IF(C368&gt;F356,"1","0")</f>
        <v>0</v>
      </c>
      <c r="H361" s="673"/>
      <c r="I361" s="680"/>
    </row>
    <row r="362" spans="2:9">
      <c r="B362" s="678"/>
      <c r="C362" s="673"/>
      <c r="D362" s="673"/>
      <c r="E362" s="679">
        <f>E361-E356</f>
        <v>-133.59653616800622</v>
      </c>
      <c r="F362" s="673" t="str">
        <f t="shared" si="23"/>
        <v>0</v>
      </c>
      <c r="G362" s="673" t="str">
        <f>IF(C368&lt;E356,"1","0")</f>
        <v>1</v>
      </c>
      <c r="H362" s="673"/>
      <c r="I362" s="680"/>
    </row>
    <row r="363" spans="2:9">
      <c r="B363" s="678"/>
      <c r="C363" s="673"/>
      <c r="D363" s="673"/>
      <c r="E363" s="679">
        <f>E362-E356</f>
        <v>-171.59653616800622</v>
      </c>
      <c r="F363" s="673" t="str">
        <f t="shared" si="23"/>
        <v>0</v>
      </c>
      <c r="G363" s="673" t="str">
        <f>IF(C368=E356,"1","0")</f>
        <v>0</v>
      </c>
      <c r="H363" s="673"/>
      <c r="I363" s="680"/>
    </row>
    <row r="364" spans="2:9">
      <c r="B364" s="678"/>
      <c r="C364" s="673"/>
      <c r="D364" s="673"/>
      <c r="E364" s="679">
        <f>E363-E356</f>
        <v>-209.59653616800622</v>
      </c>
      <c r="F364" s="673" t="str">
        <f t="shared" si="23"/>
        <v>0</v>
      </c>
      <c r="G364" s="681">
        <f>G368</f>
        <v>2</v>
      </c>
      <c r="H364" s="673"/>
      <c r="I364" s="680"/>
    </row>
    <row r="365" spans="2:9">
      <c r="B365" s="678"/>
      <c r="C365" s="673"/>
      <c r="D365" s="673"/>
      <c r="E365" s="679">
        <f>E364-E356</f>
        <v>-247.59653616800622</v>
      </c>
      <c r="F365" s="673" t="str">
        <f t="shared" si="23"/>
        <v>0</v>
      </c>
      <c r="G365" s="673"/>
      <c r="H365" s="673"/>
      <c r="I365" s="680"/>
    </row>
    <row r="366" spans="2:9">
      <c r="B366" s="678"/>
      <c r="C366" s="673"/>
      <c r="D366" s="673"/>
      <c r="E366" s="679">
        <f>E365-E356</f>
        <v>-285.5965361680062</v>
      </c>
      <c r="F366" s="673" t="str">
        <f t="shared" si="23"/>
        <v>0</v>
      </c>
      <c r="G366" s="673"/>
      <c r="H366" s="673"/>
      <c r="I366" s="680"/>
    </row>
    <row r="367" spans="2:9">
      <c r="B367" s="678"/>
      <c r="C367" s="673"/>
      <c r="D367" s="673"/>
      <c r="E367" s="679">
        <f>E366-E356</f>
        <v>-323.5965361680062</v>
      </c>
      <c r="F367" s="673" t="str">
        <f t="shared" si="23"/>
        <v>0</v>
      </c>
      <c r="G367" s="673"/>
      <c r="H367" s="673"/>
      <c r="I367" s="680"/>
    </row>
    <row r="368" spans="2:9">
      <c r="B368" s="682"/>
      <c r="C368" s="683">
        <f>D368*E356</f>
        <v>18.403463831993783</v>
      </c>
      <c r="D368" s="683">
        <f>E368-G368</f>
        <v>0.48430167978931005</v>
      </c>
      <c r="E368" s="684">
        <f>D245/E356</f>
        <v>2.48430167978931</v>
      </c>
      <c r="F368" s="683"/>
      <c r="G368" s="683">
        <f>F357+F358+F359+F360+F361+F362+F363+F364+F365+F366+F367</f>
        <v>2</v>
      </c>
      <c r="H368" s="683"/>
      <c r="I368" s="685"/>
    </row>
    <row r="369" spans="2:9">
      <c r="B369" s="667"/>
      <c r="C369" s="668" t="s">
        <v>381</v>
      </c>
      <c r="D369" s="669"/>
      <c r="E369" s="669"/>
      <c r="F369" s="669"/>
      <c r="G369" s="669" t="s">
        <v>382</v>
      </c>
      <c r="H369" s="669" t="s">
        <v>383</v>
      </c>
      <c r="I369" s="670" t="s">
        <v>384</v>
      </c>
    </row>
    <row r="370" spans="2:9">
      <c r="B370" s="1317" t="str">
        <f>B246</f>
        <v>камерной сушки</v>
      </c>
      <c r="C370" s="1318"/>
      <c r="D370" s="671" t="str">
        <f>C246</f>
        <v>195х195</v>
      </c>
      <c r="E370" s="672">
        <f>K246</f>
        <v>38</v>
      </c>
      <c r="F370" s="672">
        <f>L246</f>
        <v>20</v>
      </c>
      <c r="G370" s="673"/>
      <c r="H370" s="674">
        <f>'Данные Брус'!F286</f>
        <v>80000</v>
      </c>
      <c r="I370" s="674">
        <f>'Данные Брус'!G286</f>
        <v>70000</v>
      </c>
    </row>
    <row r="371" spans="2:9">
      <c r="B371" s="1317" t="s">
        <v>385</v>
      </c>
      <c r="C371" s="1319"/>
      <c r="D371" s="675">
        <v>400</v>
      </c>
      <c r="E371" s="676">
        <f>D246-E370</f>
        <v>55.838445852261842</v>
      </c>
      <c r="F371" s="673" t="str">
        <f>IF(E371&gt;0,"1","0")</f>
        <v>1</v>
      </c>
      <c r="G371" s="673" t="str">
        <f>IF(C382&lt;F370,"1","0")</f>
        <v>1</v>
      </c>
      <c r="H371" s="677">
        <f>G378+G375*G376+G377</f>
        <v>2</v>
      </c>
      <c r="I371" s="677">
        <f>G371*G372+J381+G373</f>
        <v>1</v>
      </c>
    </row>
    <row r="372" spans="2:9">
      <c r="B372" s="678"/>
      <c r="C372" s="673"/>
      <c r="D372" s="673"/>
      <c r="E372" s="679">
        <f>E371-E370</f>
        <v>17.838445852261842</v>
      </c>
      <c r="F372" s="673" t="str">
        <f t="shared" ref="F372:F381" si="24">IF(E372&gt;0,"1","0")</f>
        <v>1</v>
      </c>
      <c r="G372" s="673" t="str">
        <f>IF(C382&gt;0,"1","0")</f>
        <v>1</v>
      </c>
      <c r="H372" s="673"/>
      <c r="I372" s="680"/>
    </row>
    <row r="373" spans="2:9">
      <c r="B373" s="678"/>
      <c r="C373" s="673"/>
      <c r="D373" s="673"/>
      <c r="E373" s="679">
        <f>E372-E370</f>
        <v>-20.161554147738158</v>
      </c>
      <c r="F373" s="673" t="str">
        <f t="shared" si="24"/>
        <v>0</v>
      </c>
      <c r="G373" s="673" t="str">
        <f>IF(C382=F370,"1","0")</f>
        <v>0</v>
      </c>
      <c r="H373" s="673"/>
      <c r="I373" s="680"/>
    </row>
    <row r="374" spans="2:9">
      <c r="B374" s="678"/>
      <c r="C374" s="673"/>
      <c r="D374" s="673"/>
      <c r="E374" s="679">
        <f>E373-E370</f>
        <v>-58.161554147738158</v>
      </c>
      <c r="F374" s="673" t="str">
        <f t="shared" si="24"/>
        <v>0</v>
      </c>
      <c r="G374" s="673"/>
      <c r="H374" s="673"/>
      <c r="I374" s="680"/>
    </row>
    <row r="375" spans="2:9">
      <c r="B375" s="678"/>
      <c r="C375" s="673"/>
      <c r="D375" s="673"/>
      <c r="E375" s="679">
        <f>E374-E370</f>
        <v>-96.161554147738158</v>
      </c>
      <c r="F375" s="673" t="str">
        <f t="shared" si="24"/>
        <v>0</v>
      </c>
      <c r="G375" s="673" t="str">
        <f>IF(C382&gt;F370,"1","0")</f>
        <v>0</v>
      </c>
      <c r="H375" s="673"/>
      <c r="I375" s="680"/>
    </row>
    <row r="376" spans="2:9">
      <c r="B376" s="678"/>
      <c r="C376" s="673"/>
      <c r="D376" s="673"/>
      <c r="E376" s="679">
        <f>E375-E370</f>
        <v>-134.16155414773817</v>
      </c>
      <c r="F376" s="673" t="str">
        <f t="shared" si="24"/>
        <v>0</v>
      </c>
      <c r="G376" s="673" t="str">
        <f>IF(C382&lt;E370,"1","0")</f>
        <v>1</v>
      </c>
      <c r="H376" s="673"/>
      <c r="I376" s="680"/>
    </row>
    <row r="377" spans="2:9">
      <c r="B377" s="678"/>
      <c r="C377" s="673"/>
      <c r="D377" s="673"/>
      <c r="E377" s="679">
        <f>E376-E370</f>
        <v>-172.16155414773817</v>
      </c>
      <c r="F377" s="673" t="str">
        <f t="shared" si="24"/>
        <v>0</v>
      </c>
      <c r="G377" s="673" t="str">
        <f>IF(C382=E370,"1","0")</f>
        <v>0</v>
      </c>
      <c r="H377" s="673"/>
      <c r="I377" s="680"/>
    </row>
    <row r="378" spans="2:9">
      <c r="B378" s="678"/>
      <c r="C378" s="673"/>
      <c r="D378" s="673"/>
      <c r="E378" s="679">
        <f>E377-E370</f>
        <v>-210.16155414773817</v>
      </c>
      <c r="F378" s="673" t="str">
        <f t="shared" si="24"/>
        <v>0</v>
      </c>
      <c r="G378" s="681">
        <f>G382</f>
        <v>2</v>
      </c>
      <c r="H378" s="673"/>
      <c r="I378" s="680"/>
    </row>
    <row r="379" spans="2:9">
      <c r="B379" s="678"/>
      <c r="C379" s="673"/>
      <c r="D379" s="673"/>
      <c r="E379" s="679">
        <f>E378-E370</f>
        <v>-248.16155414773817</v>
      </c>
      <c r="F379" s="673" t="str">
        <f t="shared" si="24"/>
        <v>0</v>
      </c>
      <c r="G379" s="673"/>
      <c r="H379" s="673"/>
      <c r="I379" s="680"/>
    </row>
    <row r="380" spans="2:9">
      <c r="B380" s="678"/>
      <c r="C380" s="673"/>
      <c r="D380" s="673"/>
      <c r="E380" s="679">
        <f>E379-E370</f>
        <v>-286.16155414773817</v>
      </c>
      <c r="F380" s="673" t="str">
        <f t="shared" si="24"/>
        <v>0</v>
      </c>
      <c r="G380" s="673"/>
      <c r="H380" s="673"/>
      <c r="I380" s="680"/>
    </row>
    <row r="381" spans="2:9">
      <c r="B381" s="678"/>
      <c r="C381" s="673"/>
      <c r="D381" s="673"/>
      <c r="E381" s="679">
        <f>E380-E370</f>
        <v>-324.16155414773817</v>
      </c>
      <c r="F381" s="673" t="str">
        <f t="shared" si="24"/>
        <v>0</v>
      </c>
      <c r="G381" s="673"/>
      <c r="H381" s="673"/>
      <c r="I381" s="680"/>
    </row>
    <row r="382" spans="2:9">
      <c r="B382" s="682"/>
      <c r="C382" s="683">
        <f>D382*E370</f>
        <v>17.838445852261845</v>
      </c>
      <c r="D382" s="683">
        <f>E382-G382</f>
        <v>0.46943278558583801</v>
      </c>
      <c r="E382" s="684">
        <f>D246/E370</f>
        <v>2.469432785585838</v>
      </c>
      <c r="F382" s="683"/>
      <c r="G382" s="683">
        <f>F371+F372+F373+F374+F375+F376+F377+F378+F379+F380+F381</f>
        <v>2</v>
      </c>
      <c r="H382" s="683"/>
      <c r="I382" s="685"/>
    </row>
    <row r="383" spans="2:9">
      <c r="B383" s="667"/>
      <c r="C383" s="668" t="s">
        <v>381</v>
      </c>
      <c r="D383" s="669"/>
      <c r="E383" s="669"/>
      <c r="F383" s="669"/>
      <c r="G383" s="669" t="s">
        <v>382</v>
      </c>
      <c r="H383" s="669" t="s">
        <v>383</v>
      </c>
      <c r="I383" s="670" t="s">
        <v>384</v>
      </c>
    </row>
    <row r="384" spans="2:9">
      <c r="B384" s="1317" t="str">
        <f>B248</f>
        <v>кл. брус</v>
      </c>
      <c r="C384" s="1318"/>
      <c r="D384" s="671" t="str">
        <f>C248</f>
        <v>145х160</v>
      </c>
      <c r="E384" s="672">
        <f>K248</f>
        <v>35</v>
      </c>
      <c r="F384" s="672">
        <f>L248</f>
        <v>19</v>
      </c>
      <c r="G384" s="673"/>
      <c r="H384" s="674">
        <f>'Данные Брус'!F288</f>
        <v>90000</v>
      </c>
      <c r="I384" s="674">
        <f>'Данные Брус'!G288</f>
        <v>80000</v>
      </c>
    </row>
    <row r="385" spans="2:9">
      <c r="B385" s="1317" t="s">
        <v>385</v>
      </c>
      <c r="C385" s="1319"/>
      <c r="D385" s="675">
        <v>400</v>
      </c>
      <c r="E385" s="676">
        <f>D248-E384</f>
        <v>43.271226341716371</v>
      </c>
      <c r="F385" s="673" t="str">
        <f>IF(E385&gt;0,"1","0")</f>
        <v>1</v>
      </c>
      <c r="G385" s="673" t="str">
        <f>IF(C396&lt;F384,"1","0")</f>
        <v>1</v>
      </c>
      <c r="H385" s="677">
        <f>G392+G389*G390+G391</f>
        <v>2</v>
      </c>
      <c r="I385" s="677">
        <f>G385*G386+J395+G387</f>
        <v>1</v>
      </c>
    </row>
    <row r="386" spans="2:9">
      <c r="B386" s="678"/>
      <c r="C386" s="673"/>
      <c r="D386" s="673"/>
      <c r="E386" s="679">
        <f>E385-E384</f>
        <v>8.2712263417163712</v>
      </c>
      <c r="F386" s="673" t="str">
        <f t="shared" ref="F386:F395" si="25">IF(E386&gt;0,"1","0")</f>
        <v>1</v>
      </c>
      <c r="G386" s="673" t="str">
        <f>IF(C396&gt;0,"1","0")</f>
        <v>1</v>
      </c>
      <c r="H386" s="673"/>
      <c r="I386" s="680"/>
    </row>
    <row r="387" spans="2:9">
      <c r="B387" s="678"/>
      <c r="C387" s="673"/>
      <c r="D387" s="673"/>
      <c r="E387" s="679">
        <f>E386-E384</f>
        <v>-26.728773658283629</v>
      </c>
      <c r="F387" s="673" t="str">
        <f t="shared" si="25"/>
        <v>0</v>
      </c>
      <c r="G387" s="673" t="str">
        <f>IF(C396=F384,"1","0")</f>
        <v>0</v>
      </c>
      <c r="H387" s="673"/>
      <c r="I387" s="680"/>
    </row>
    <row r="388" spans="2:9">
      <c r="B388" s="678"/>
      <c r="C388" s="673"/>
      <c r="D388" s="673"/>
      <c r="E388" s="679">
        <f>E387-E384</f>
        <v>-61.728773658283629</v>
      </c>
      <c r="F388" s="673" t="str">
        <f t="shared" si="25"/>
        <v>0</v>
      </c>
      <c r="G388" s="673"/>
      <c r="H388" s="673"/>
      <c r="I388" s="680"/>
    </row>
    <row r="389" spans="2:9">
      <c r="B389" s="678"/>
      <c r="C389" s="673"/>
      <c r="D389" s="673"/>
      <c r="E389" s="679">
        <f>E388-E384</f>
        <v>-96.728773658283629</v>
      </c>
      <c r="F389" s="673" t="str">
        <f t="shared" si="25"/>
        <v>0</v>
      </c>
      <c r="G389" s="673" t="str">
        <f>IF(C396&gt;F384,"1","0")</f>
        <v>0</v>
      </c>
      <c r="H389" s="673"/>
      <c r="I389" s="680"/>
    </row>
    <row r="390" spans="2:9">
      <c r="B390" s="678"/>
      <c r="C390" s="673"/>
      <c r="D390" s="673"/>
      <c r="E390" s="679">
        <f>E389-E384</f>
        <v>-131.72877365828361</v>
      </c>
      <c r="F390" s="673" t="str">
        <f t="shared" si="25"/>
        <v>0</v>
      </c>
      <c r="G390" s="673" t="str">
        <f>IF(C396&lt;E384,"1","0")</f>
        <v>1</v>
      </c>
      <c r="H390" s="673"/>
      <c r="I390" s="680"/>
    </row>
    <row r="391" spans="2:9">
      <c r="B391" s="678"/>
      <c r="C391" s="673"/>
      <c r="D391" s="673"/>
      <c r="E391" s="679">
        <f>E390-E384</f>
        <v>-166.72877365828361</v>
      </c>
      <c r="F391" s="673" t="str">
        <f t="shared" si="25"/>
        <v>0</v>
      </c>
      <c r="G391" s="673" t="str">
        <f>IF(C396=E384,"1","0")</f>
        <v>0</v>
      </c>
      <c r="H391" s="673"/>
      <c r="I391" s="680"/>
    </row>
    <row r="392" spans="2:9">
      <c r="B392" s="678"/>
      <c r="C392" s="673"/>
      <c r="D392" s="673"/>
      <c r="E392" s="679">
        <f>E391-E384</f>
        <v>-201.72877365828361</v>
      </c>
      <c r="F392" s="673" t="str">
        <f t="shared" si="25"/>
        <v>0</v>
      </c>
      <c r="G392" s="681">
        <f>G396</f>
        <v>2</v>
      </c>
      <c r="H392" s="673"/>
      <c r="I392" s="680"/>
    </row>
    <row r="393" spans="2:9">
      <c r="B393" s="678"/>
      <c r="C393" s="673"/>
      <c r="D393" s="673"/>
      <c r="E393" s="679">
        <f>E392-E384</f>
        <v>-236.72877365828361</v>
      </c>
      <c r="F393" s="673" t="str">
        <f t="shared" si="25"/>
        <v>0</v>
      </c>
      <c r="G393" s="673"/>
      <c r="H393" s="673"/>
      <c r="I393" s="680"/>
    </row>
    <row r="394" spans="2:9">
      <c r="B394" s="678"/>
      <c r="C394" s="673"/>
      <c r="D394" s="673"/>
      <c r="E394" s="679">
        <f>E393-E384</f>
        <v>-271.72877365828361</v>
      </c>
      <c r="F394" s="673" t="str">
        <f t="shared" si="25"/>
        <v>0</v>
      </c>
      <c r="G394" s="673"/>
      <c r="H394" s="673"/>
      <c r="I394" s="680"/>
    </row>
    <row r="395" spans="2:9">
      <c r="B395" s="678"/>
      <c r="C395" s="673"/>
      <c r="D395" s="673"/>
      <c r="E395" s="679">
        <f>E394-E384</f>
        <v>-306.72877365828361</v>
      </c>
      <c r="F395" s="673" t="str">
        <f t="shared" si="25"/>
        <v>0</v>
      </c>
      <c r="G395" s="673"/>
      <c r="H395" s="673"/>
      <c r="I395" s="680"/>
    </row>
    <row r="396" spans="2:9">
      <c r="B396" s="682"/>
      <c r="C396" s="683">
        <f>D396*E384</f>
        <v>8.2712263417163729</v>
      </c>
      <c r="D396" s="683">
        <f>E396-G396</f>
        <v>0.23632075262046781</v>
      </c>
      <c r="E396" s="684">
        <f>D248/E384</f>
        <v>2.2363207526204678</v>
      </c>
      <c r="F396" s="683"/>
      <c r="G396" s="683">
        <f>F385+F386+F387+F388+F389+F390+F391+F392+F393+F394+F395</f>
        <v>2</v>
      </c>
      <c r="H396" s="683"/>
      <c r="I396" s="685"/>
    </row>
    <row r="397" spans="2:9">
      <c r="B397" s="667"/>
      <c r="C397" s="668" t="s">
        <v>381</v>
      </c>
      <c r="D397" s="669"/>
      <c r="E397" s="669"/>
      <c r="F397" s="669"/>
      <c r="G397" s="669" t="s">
        <v>382</v>
      </c>
      <c r="H397" s="669" t="s">
        <v>383</v>
      </c>
      <c r="I397" s="670" t="s">
        <v>384</v>
      </c>
    </row>
    <row r="398" spans="2:9">
      <c r="B398" s="1317" t="str">
        <f>B249</f>
        <v>кл. брус</v>
      </c>
      <c r="C398" s="1318"/>
      <c r="D398" s="671" t="str">
        <f>C249</f>
        <v>145х200</v>
      </c>
      <c r="E398" s="672">
        <f>K249</f>
        <v>35</v>
      </c>
      <c r="F398" s="672">
        <f>L249</f>
        <v>19</v>
      </c>
      <c r="G398" s="673"/>
      <c r="H398" s="674">
        <f>'Данные Брус'!F289</f>
        <v>90000</v>
      </c>
      <c r="I398" s="674">
        <f>'Данные Брус'!G289</f>
        <v>80000</v>
      </c>
    </row>
    <row r="399" spans="2:9">
      <c r="B399" s="1317" t="s">
        <v>385</v>
      </c>
      <c r="C399" s="1319"/>
      <c r="D399" s="675">
        <v>400</v>
      </c>
      <c r="E399" s="676">
        <f>D249-E398</f>
        <v>62.847819548872181</v>
      </c>
      <c r="F399" s="673" t="str">
        <f>IF(E399&gt;0,"1","0")</f>
        <v>1</v>
      </c>
      <c r="G399" s="673" t="str">
        <f>IF(C410&lt;F398,"1","0")</f>
        <v>0</v>
      </c>
      <c r="H399" s="677">
        <f>G406+G403*G404+G405</f>
        <v>3</v>
      </c>
      <c r="I399" s="677">
        <f>G399*G400+J409+G401</f>
        <v>0</v>
      </c>
    </row>
    <row r="400" spans="2:9">
      <c r="B400" s="678"/>
      <c r="C400" s="673"/>
      <c r="D400" s="673"/>
      <c r="E400" s="679">
        <f>E399-E398</f>
        <v>27.847819548872181</v>
      </c>
      <c r="F400" s="673" t="str">
        <f t="shared" ref="F400:F409" si="26">IF(E400&gt;0,"1","0")</f>
        <v>1</v>
      </c>
      <c r="G400" s="673" t="str">
        <f>IF(C410&gt;0,"1","0")</f>
        <v>1</v>
      </c>
      <c r="H400" s="673"/>
      <c r="I400" s="680"/>
    </row>
    <row r="401" spans="2:9">
      <c r="B401" s="678"/>
      <c r="C401" s="673"/>
      <c r="D401" s="673"/>
      <c r="E401" s="679">
        <f>E400-E398</f>
        <v>-7.1521804511278191</v>
      </c>
      <c r="F401" s="673" t="str">
        <f t="shared" si="26"/>
        <v>0</v>
      </c>
      <c r="G401" s="673" t="str">
        <f>IF(C410=F398,"1","0")</f>
        <v>0</v>
      </c>
      <c r="H401" s="673"/>
      <c r="I401" s="680"/>
    </row>
    <row r="402" spans="2:9">
      <c r="B402" s="678"/>
      <c r="C402" s="673"/>
      <c r="D402" s="673"/>
      <c r="E402" s="679">
        <f>E401-E398</f>
        <v>-42.152180451127819</v>
      </c>
      <c r="F402" s="673" t="str">
        <f t="shared" si="26"/>
        <v>0</v>
      </c>
      <c r="G402" s="673"/>
      <c r="H402" s="673"/>
      <c r="I402" s="680"/>
    </row>
    <row r="403" spans="2:9">
      <c r="B403" s="678"/>
      <c r="C403" s="673"/>
      <c r="D403" s="673"/>
      <c r="E403" s="679">
        <f>E402-E398</f>
        <v>-77.152180451127819</v>
      </c>
      <c r="F403" s="673" t="str">
        <f t="shared" si="26"/>
        <v>0</v>
      </c>
      <c r="G403" s="673" t="str">
        <f>IF(C410&gt;F398,"1","0")</f>
        <v>1</v>
      </c>
      <c r="H403" s="673"/>
      <c r="I403" s="680"/>
    </row>
    <row r="404" spans="2:9">
      <c r="B404" s="678"/>
      <c r="C404" s="673"/>
      <c r="D404" s="673"/>
      <c r="E404" s="679">
        <f>E403-E398</f>
        <v>-112.15218045112782</v>
      </c>
      <c r="F404" s="673" t="str">
        <f t="shared" si="26"/>
        <v>0</v>
      </c>
      <c r="G404" s="673" t="str">
        <f>IF(C410&lt;E398,"1","0")</f>
        <v>1</v>
      </c>
      <c r="H404" s="673"/>
      <c r="I404" s="680"/>
    </row>
    <row r="405" spans="2:9">
      <c r="B405" s="678"/>
      <c r="C405" s="673"/>
      <c r="D405" s="673"/>
      <c r="E405" s="679">
        <f>E404-E398</f>
        <v>-147.15218045112783</v>
      </c>
      <c r="F405" s="673" t="str">
        <f t="shared" si="26"/>
        <v>0</v>
      </c>
      <c r="G405" s="673" t="str">
        <f>IF(C410=E398,"1","0")</f>
        <v>0</v>
      </c>
      <c r="H405" s="673"/>
      <c r="I405" s="680"/>
    </row>
    <row r="406" spans="2:9">
      <c r="B406" s="678"/>
      <c r="C406" s="673"/>
      <c r="D406" s="673"/>
      <c r="E406" s="679">
        <f>E405-E398</f>
        <v>-182.15218045112783</v>
      </c>
      <c r="F406" s="673" t="str">
        <f t="shared" si="26"/>
        <v>0</v>
      </c>
      <c r="G406" s="681">
        <f>G410</f>
        <v>2</v>
      </c>
      <c r="H406" s="673"/>
      <c r="I406" s="680"/>
    </row>
    <row r="407" spans="2:9">
      <c r="B407" s="678"/>
      <c r="C407" s="673"/>
      <c r="D407" s="673"/>
      <c r="E407" s="679">
        <f>E406-E398</f>
        <v>-217.15218045112783</v>
      </c>
      <c r="F407" s="673" t="str">
        <f t="shared" si="26"/>
        <v>0</v>
      </c>
      <c r="G407" s="673"/>
      <c r="H407" s="673"/>
      <c r="I407" s="680"/>
    </row>
    <row r="408" spans="2:9">
      <c r="B408" s="678"/>
      <c r="C408" s="673"/>
      <c r="D408" s="673"/>
      <c r="E408" s="679">
        <f>E407-E398</f>
        <v>-252.15218045112783</v>
      </c>
      <c r="F408" s="673" t="str">
        <f t="shared" si="26"/>
        <v>0</v>
      </c>
      <c r="G408" s="673"/>
      <c r="H408" s="673"/>
      <c r="I408" s="680"/>
    </row>
    <row r="409" spans="2:9">
      <c r="B409" s="678"/>
      <c r="C409" s="673"/>
      <c r="D409" s="673"/>
      <c r="E409" s="679">
        <f>E408-E398</f>
        <v>-287.15218045112783</v>
      </c>
      <c r="F409" s="673" t="str">
        <f t="shared" si="26"/>
        <v>0</v>
      </c>
      <c r="G409" s="673"/>
      <c r="H409" s="673"/>
      <c r="I409" s="680"/>
    </row>
    <row r="410" spans="2:9">
      <c r="B410" s="682"/>
      <c r="C410" s="683">
        <f>D410*E398</f>
        <v>27.847819548872174</v>
      </c>
      <c r="D410" s="683">
        <f>E410-G410</f>
        <v>0.79565198711063356</v>
      </c>
      <c r="E410" s="684">
        <f>D249/E398</f>
        <v>2.7956519871106336</v>
      </c>
      <c r="F410" s="683"/>
      <c r="G410" s="683">
        <f>F399+F400+F401+F402+F403+F404+F405+F406+F407+F408+F409</f>
        <v>2</v>
      </c>
      <c r="H410" s="683"/>
      <c r="I410" s="685"/>
    </row>
    <row r="411" spans="2:9">
      <c r="B411" s="667"/>
      <c r="C411" s="668" t="s">
        <v>381</v>
      </c>
      <c r="D411" s="669"/>
      <c r="E411" s="669"/>
      <c r="F411" s="669"/>
      <c r="G411" s="669" t="s">
        <v>382</v>
      </c>
      <c r="H411" s="669" t="s">
        <v>383</v>
      </c>
      <c r="I411" s="670" t="s">
        <v>384</v>
      </c>
    </row>
    <row r="412" spans="2:9">
      <c r="B412" s="1317" t="str">
        <f>B250</f>
        <v>кл. брус</v>
      </c>
      <c r="C412" s="1318"/>
      <c r="D412" s="671" t="str">
        <f>C250</f>
        <v>190х160</v>
      </c>
      <c r="E412" s="672">
        <f>K250</f>
        <v>35</v>
      </c>
      <c r="F412" s="672">
        <f>L250</f>
        <v>19</v>
      </c>
      <c r="G412" s="673"/>
      <c r="H412" s="674">
        <f>'Данные Брус'!F290</f>
        <v>90000</v>
      </c>
      <c r="I412" s="674">
        <f>'Данные Брус'!G290</f>
        <v>80000</v>
      </c>
    </row>
    <row r="413" spans="2:9">
      <c r="B413" s="1317" t="s">
        <v>385</v>
      </c>
      <c r="C413" s="1319"/>
      <c r="D413" s="675">
        <v>400</v>
      </c>
      <c r="E413" s="676">
        <f>D250-E412</f>
        <v>40.809826177136998</v>
      </c>
      <c r="F413" s="673" t="str">
        <f>IF(E413&gt;0,"1","0")</f>
        <v>1</v>
      </c>
      <c r="G413" s="673" t="str">
        <f>IF(C424&lt;F412,"1","0")</f>
        <v>1</v>
      </c>
      <c r="H413" s="677">
        <f>G420+G417*G418+G419</f>
        <v>2</v>
      </c>
      <c r="I413" s="677">
        <f>G413*G414+J423+G415</f>
        <v>1</v>
      </c>
    </row>
    <row r="414" spans="2:9">
      <c r="B414" s="678"/>
      <c r="C414" s="673"/>
      <c r="D414" s="673"/>
      <c r="E414" s="679">
        <f>E413-E412</f>
        <v>5.8098261771369977</v>
      </c>
      <c r="F414" s="673" t="str">
        <f t="shared" ref="F414:F423" si="27">IF(E414&gt;0,"1","0")</f>
        <v>1</v>
      </c>
      <c r="G414" s="673" t="str">
        <f>IF(C424&gt;0,"1","0")</f>
        <v>1</v>
      </c>
      <c r="H414" s="673"/>
      <c r="I414" s="680"/>
    </row>
    <row r="415" spans="2:9">
      <c r="B415" s="678"/>
      <c r="C415" s="673"/>
      <c r="D415" s="673"/>
      <c r="E415" s="679">
        <f>E414-E412</f>
        <v>-29.190173822863002</v>
      </c>
      <c r="F415" s="673" t="str">
        <f t="shared" si="27"/>
        <v>0</v>
      </c>
      <c r="G415" s="673" t="str">
        <f>IF(C424=F412,"1","0")</f>
        <v>0</v>
      </c>
      <c r="H415" s="673"/>
      <c r="I415" s="680"/>
    </row>
    <row r="416" spans="2:9">
      <c r="B416" s="678"/>
      <c r="C416" s="673"/>
      <c r="D416" s="673"/>
      <c r="E416" s="679">
        <f>E415-E412</f>
        <v>-64.190173822863002</v>
      </c>
      <c r="F416" s="673" t="str">
        <f t="shared" si="27"/>
        <v>0</v>
      </c>
      <c r="G416" s="673"/>
      <c r="H416" s="673"/>
      <c r="I416" s="680"/>
    </row>
    <row r="417" spans="2:9">
      <c r="B417" s="678"/>
      <c r="C417" s="673"/>
      <c r="D417" s="673"/>
      <c r="E417" s="679">
        <f>E416-E412</f>
        <v>-99.190173822863002</v>
      </c>
      <c r="F417" s="673" t="str">
        <f t="shared" si="27"/>
        <v>0</v>
      </c>
      <c r="G417" s="673" t="str">
        <f>IF(C424&gt;F412,"1","0")</f>
        <v>0</v>
      </c>
      <c r="H417" s="673"/>
      <c r="I417" s="680"/>
    </row>
    <row r="418" spans="2:9">
      <c r="B418" s="678"/>
      <c r="C418" s="673"/>
      <c r="D418" s="673"/>
      <c r="E418" s="679">
        <f>E417-E412</f>
        <v>-134.19017382286302</v>
      </c>
      <c r="F418" s="673" t="str">
        <f t="shared" si="27"/>
        <v>0</v>
      </c>
      <c r="G418" s="673" t="str">
        <f>IF(C424&lt;E412,"1","0")</f>
        <v>1</v>
      </c>
      <c r="H418" s="673"/>
      <c r="I418" s="680"/>
    </row>
    <row r="419" spans="2:9">
      <c r="B419" s="678"/>
      <c r="C419" s="673"/>
      <c r="D419" s="673"/>
      <c r="E419" s="679">
        <f>E418-E412</f>
        <v>-169.19017382286302</v>
      </c>
      <c r="F419" s="673" t="str">
        <f t="shared" si="27"/>
        <v>0</v>
      </c>
      <c r="G419" s="673" t="str">
        <f>IF(C424=E412,"1","0")</f>
        <v>0</v>
      </c>
      <c r="H419" s="673"/>
      <c r="I419" s="680"/>
    </row>
    <row r="420" spans="2:9">
      <c r="B420" s="678"/>
      <c r="C420" s="673"/>
      <c r="D420" s="673"/>
      <c r="E420" s="679">
        <f>E419-E412</f>
        <v>-204.19017382286302</v>
      </c>
      <c r="F420" s="673" t="str">
        <f t="shared" si="27"/>
        <v>0</v>
      </c>
      <c r="G420" s="681">
        <f>G424</f>
        <v>2</v>
      </c>
      <c r="H420" s="673"/>
      <c r="I420" s="680"/>
    </row>
    <row r="421" spans="2:9">
      <c r="B421" s="678"/>
      <c r="C421" s="673"/>
      <c r="D421" s="673"/>
      <c r="E421" s="679">
        <f>E420-E412</f>
        <v>-239.19017382286302</v>
      </c>
      <c r="F421" s="673" t="str">
        <f t="shared" si="27"/>
        <v>0</v>
      </c>
      <c r="G421" s="673"/>
      <c r="H421" s="673"/>
      <c r="I421" s="680"/>
    </row>
    <row r="422" spans="2:9">
      <c r="B422" s="678"/>
      <c r="C422" s="673"/>
      <c r="D422" s="673"/>
      <c r="E422" s="679">
        <f>E421-E412</f>
        <v>-274.19017382286302</v>
      </c>
      <c r="F422" s="673" t="str">
        <f t="shared" si="27"/>
        <v>0</v>
      </c>
      <c r="G422" s="673"/>
      <c r="H422" s="673"/>
      <c r="I422" s="680"/>
    </row>
    <row r="423" spans="2:9">
      <c r="B423" s="678"/>
      <c r="C423" s="673"/>
      <c r="D423" s="673"/>
      <c r="E423" s="679">
        <f>E422-E412</f>
        <v>-309.19017382286302</v>
      </c>
      <c r="F423" s="673" t="str">
        <f t="shared" si="27"/>
        <v>0</v>
      </c>
      <c r="G423" s="673"/>
      <c r="H423" s="673"/>
      <c r="I423" s="680"/>
    </row>
    <row r="424" spans="2:9">
      <c r="B424" s="682"/>
      <c r="C424" s="683">
        <f>D424*E412</f>
        <v>5.809826177137003</v>
      </c>
      <c r="D424" s="683">
        <f>E424-G424</f>
        <v>0.1659950336324858</v>
      </c>
      <c r="E424" s="684">
        <f>D250/E412</f>
        <v>2.1659950336324858</v>
      </c>
      <c r="F424" s="683"/>
      <c r="G424" s="683">
        <f>F413+F414+F415+F416+F417+F418+F419+F420+F421+F422+F423</f>
        <v>2</v>
      </c>
      <c r="H424" s="683"/>
      <c r="I424" s="685"/>
    </row>
    <row r="425" spans="2:9">
      <c r="B425" s="667"/>
      <c r="C425" s="668" t="s">
        <v>381</v>
      </c>
      <c r="D425" s="669"/>
      <c r="E425" s="669"/>
      <c r="F425" s="669"/>
      <c r="G425" s="669" t="s">
        <v>382</v>
      </c>
      <c r="H425" s="669" t="s">
        <v>383</v>
      </c>
      <c r="I425" s="670" t="s">
        <v>384</v>
      </c>
    </row>
    <row r="426" spans="2:9">
      <c r="B426" s="1317" t="str">
        <f>B251</f>
        <v>кл. брус</v>
      </c>
      <c r="C426" s="1318"/>
      <c r="D426" s="671" t="str">
        <f>C251</f>
        <v>190х200</v>
      </c>
      <c r="E426" s="672">
        <f>K251</f>
        <v>35</v>
      </c>
      <c r="F426" s="672">
        <f>L251</f>
        <v>19</v>
      </c>
      <c r="G426" s="673"/>
      <c r="H426" s="674">
        <f>'Данные Брус'!F291</f>
        <v>90000</v>
      </c>
      <c r="I426" s="674">
        <f>'Данные Брус'!G291</f>
        <v>80000</v>
      </c>
    </row>
    <row r="427" spans="2:9">
      <c r="B427" s="1317" t="s">
        <v>385</v>
      </c>
      <c r="C427" s="1319"/>
      <c r="D427" s="675">
        <v>400</v>
      </c>
      <c r="E427" s="676">
        <f>D251-E426</f>
        <v>59.7671535660741</v>
      </c>
      <c r="F427" s="673" t="str">
        <f>IF(E427&gt;0,"1","0")</f>
        <v>1</v>
      </c>
      <c r="G427" s="673" t="str">
        <f>IF(C438&lt;F426,"1","0")</f>
        <v>0</v>
      </c>
      <c r="H427" s="677">
        <f>G434+G431*G432+G433</f>
        <v>3</v>
      </c>
      <c r="I427" s="677">
        <f>G427*G428+J437+G429</f>
        <v>0</v>
      </c>
    </row>
    <row r="428" spans="2:9">
      <c r="B428" s="678"/>
      <c r="C428" s="673"/>
      <c r="D428" s="673"/>
      <c r="E428" s="679">
        <f>E427-E426</f>
        <v>24.7671535660741</v>
      </c>
      <c r="F428" s="673" t="str">
        <f t="shared" ref="F428:F437" si="28">IF(E428&gt;0,"1","0")</f>
        <v>1</v>
      </c>
      <c r="G428" s="673" t="str">
        <f>IF(C438&gt;0,"1","0")</f>
        <v>1</v>
      </c>
      <c r="H428" s="673"/>
      <c r="I428" s="680"/>
    </row>
    <row r="429" spans="2:9">
      <c r="B429" s="678"/>
      <c r="C429" s="673"/>
      <c r="D429" s="673"/>
      <c r="E429" s="679">
        <f>E428-E426</f>
        <v>-10.2328464339259</v>
      </c>
      <c r="F429" s="673" t="str">
        <f t="shared" si="28"/>
        <v>0</v>
      </c>
      <c r="G429" s="673" t="str">
        <f>IF(C438=F426,"1","0")</f>
        <v>0</v>
      </c>
      <c r="H429" s="673"/>
      <c r="I429" s="680"/>
    </row>
    <row r="430" spans="2:9">
      <c r="B430" s="678"/>
      <c r="C430" s="673"/>
      <c r="D430" s="673"/>
      <c r="E430" s="679">
        <f>E429-E426</f>
        <v>-45.2328464339259</v>
      </c>
      <c r="F430" s="673" t="str">
        <f t="shared" si="28"/>
        <v>0</v>
      </c>
      <c r="G430" s="673"/>
      <c r="H430" s="673"/>
      <c r="I430" s="680"/>
    </row>
    <row r="431" spans="2:9">
      <c r="B431" s="678"/>
      <c r="C431" s="673"/>
      <c r="D431" s="673"/>
      <c r="E431" s="679">
        <f>E430-E426</f>
        <v>-80.2328464339259</v>
      </c>
      <c r="F431" s="673" t="str">
        <f t="shared" si="28"/>
        <v>0</v>
      </c>
      <c r="G431" s="673" t="str">
        <f>IF(C438&gt;F426,"1","0")</f>
        <v>1</v>
      </c>
      <c r="H431" s="673"/>
      <c r="I431" s="680"/>
    </row>
    <row r="432" spans="2:9">
      <c r="B432" s="678"/>
      <c r="C432" s="673"/>
      <c r="D432" s="673"/>
      <c r="E432" s="679">
        <f>E431-E426</f>
        <v>-115.2328464339259</v>
      </c>
      <c r="F432" s="673" t="str">
        <f t="shared" si="28"/>
        <v>0</v>
      </c>
      <c r="G432" s="673" t="str">
        <f>IF(C438&lt;E426,"1","0")</f>
        <v>1</v>
      </c>
      <c r="H432" s="673"/>
      <c r="I432" s="680"/>
    </row>
    <row r="433" spans="2:9">
      <c r="B433" s="678"/>
      <c r="C433" s="673"/>
      <c r="D433" s="673"/>
      <c r="E433" s="679">
        <f>E432-E426</f>
        <v>-150.23284643392589</v>
      </c>
      <c r="F433" s="673" t="str">
        <f t="shared" si="28"/>
        <v>0</v>
      </c>
      <c r="G433" s="673" t="str">
        <f>IF(C438=E426,"1","0")</f>
        <v>0</v>
      </c>
      <c r="H433" s="673"/>
      <c r="I433" s="680"/>
    </row>
    <row r="434" spans="2:9">
      <c r="B434" s="678"/>
      <c r="C434" s="673"/>
      <c r="D434" s="673"/>
      <c r="E434" s="679">
        <f>E433-E426</f>
        <v>-185.23284643392589</v>
      </c>
      <c r="F434" s="673" t="str">
        <f t="shared" si="28"/>
        <v>0</v>
      </c>
      <c r="G434" s="681">
        <f>G438</f>
        <v>2</v>
      </c>
      <c r="H434" s="673"/>
      <c r="I434" s="680"/>
    </row>
    <row r="435" spans="2:9">
      <c r="B435" s="678"/>
      <c r="C435" s="673"/>
      <c r="D435" s="673"/>
      <c r="E435" s="679">
        <f>E434-E426</f>
        <v>-220.23284643392589</v>
      </c>
      <c r="F435" s="673" t="str">
        <f t="shared" si="28"/>
        <v>0</v>
      </c>
      <c r="G435" s="673"/>
      <c r="H435" s="673"/>
      <c r="I435" s="680"/>
    </row>
    <row r="436" spans="2:9">
      <c r="B436" s="678"/>
      <c r="C436" s="673"/>
      <c r="D436" s="673"/>
      <c r="E436" s="679">
        <f>E435-E426</f>
        <v>-255.23284643392589</v>
      </c>
      <c r="F436" s="673" t="str">
        <f t="shared" si="28"/>
        <v>0</v>
      </c>
      <c r="G436" s="673"/>
      <c r="H436" s="673"/>
      <c r="I436" s="680"/>
    </row>
    <row r="437" spans="2:9">
      <c r="B437" s="678"/>
      <c r="C437" s="673"/>
      <c r="D437" s="673"/>
      <c r="E437" s="679">
        <f>E436-E426</f>
        <v>-290.23284643392589</v>
      </c>
      <c r="F437" s="673" t="str">
        <f t="shared" si="28"/>
        <v>0</v>
      </c>
      <c r="G437" s="673"/>
      <c r="H437" s="673"/>
      <c r="I437" s="680"/>
    </row>
    <row r="438" spans="2:9">
      <c r="B438" s="682"/>
      <c r="C438" s="683">
        <f>D438*E426</f>
        <v>24.767153566074096</v>
      </c>
      <c r="D438" s="683">
        <f>E438-G438</f>
        <v>0.70763295903068846</v>
      </c>
      <c r="E438" s="684">
        <f>D251/E426</f>
        <v>2.7076329590306885</v>
      </c>
      <c r="F438" s="683"/>
      <c r="G438" s="683">
        <f>F427+F428+F429+F430+F431+F432+F433+F434+F435+F436+F437</f>
        <v>2</v>
      </c>
      <c r="H438" s="683"/>
      <c r="I438" s="685"/>
    </row>
    <row r="439" spans="2:9">
      <c r="B439" s="667"/>
      <c r="C439" s="668" t="s">
        <v>381</v>
      </c>
      <c r="D439" s="669"/>
      <c r="E439" s="669"/>
      <c r="F439" s="669"/>
      <c r="G439" s="669" t="s">
        <v>382</v>
      </c>
      <c r="H439" s="669" t="s">
        <v>383</v>
      </c>
      <c r="I439" s="670" t="s">
        <v>384</v>
      </c>
    </row>
    <row r="440" spans="2:9">
      <c r="B440" s="1317" t="str">
        <f>B252</f>
        <v>кл. брус</v>
      </c>
      <c r="C440" s="1318"/>
      <c r="D440" s="671" t="str">
        <f>C252</f>
        <v>145х240</v>
      </c>
      <c r="E440" s="672">
        <f>K252</f>
        <v>35</v>
      </c>
      <c r="F440" s="672">
        <f>L252</f>
        <v>19</v>
      </c>
      <c r="G440" s="673"/>
      <c r="H440" s="674">
        <f>'Данные Брус'!F292</f>
        <v>90000</v>
      </c>
      <c r="I440" s="674">
        <f>'Данные Брус'!G292</f>
        <v>80000</v>
      </c>
    </row>
    <row r="441" spans="2:9">
      <c r="B441" s="1317" t="s">
        <v>385</v>
      </c>
      <c r="C441" s="1319"/>
      <c r="D441" s="675">
        <v>400</v>
      </c>
      <c r="E441" s="676">
        <f>D252-E440</f>
        <v>80.501670706000382</v>
      </c>
      <c r="F441" s="673" t="str">
        <f>IF(E441&gt;0,"1","0")</f>
        <v>1</v>
      </c>
      <c r="G441" s="673" t="str">
        <f>IF(C452&lt;F440,"1","0")</f>
        <v>1</v>
      </c>
      <c r="H441" s="677">
        <f>G448+G445*G446+G447</f>
        <v>3</v>
      </c>
      <c r="I441" s="677">
        <f>G441*G442+J451+G443</f>
        <v>1</v>
      </c>
    </row>
    <row r="442" spans="2:9">
      <c r="B442" s="678"/>
      <c r="C442" s="673"/>
      <c r="D442" s="673"/>
      <c r="E442" s="679">
        <f>E441-E440</f>
        <v>45.501670706000382</v>
      </c>
      <c r="F442" s="673" t="str">
        <f t="shared" ref="F442:F451" si="29">IF(E442&gt;0,"1","0")</f>
        <v>1</v>
      </c>
      <c r="G442" s="673" t="str">
        <f>IF(C452&gt;0,"1","0")</f>
        <v>1</v>
      </c>
      <c r="H442" s="673"/>
      <c r="I442" s="680"/>
    </row>
    <row r="443" spans="2:9">
      <c r="B443" s="678"/>
      <c r="C443" s="673"/>
      <c r="D443" s="673"/>
      <c r="E443" s="679">
        <f>E442-E440</f>
        <v>10.501670706000382</v>
      </c>
      <c r="F443" s="673" t="str">
        <f t="shared" si="29"/>
        <v>1</v>
      </c>
      <c r="G443" s="673" t="str">
        <f>IF(C452=F440,"1","0")</f>
        <v>0</v>
      </c>
      <c r="H443" s="673"/>
      <c r="I443" s="680"/>
    </row>
    <row r="444" spans="2:9">
      <c r="B444" s="678"/>
      <c r="C444" s="673"/>
      <c r="D444" s="673"/>
      <c r="E444" s="679">
        <f>E443-E440</f>
        <v>-24.498329293999618</v>
      </c>
      <c r="F444" s="673" t="str">
        <f t="shared" si="29"/>
        <v>0</v>
      </c>
      <c r="G444" s="673"/>
      <c r="H444" s="673"/>
      <c r="I444" s="680"/>
    </row>
    <row r="445" spans="2:9">
      <c r="B445" s="678"/>
      <c r="C445" s="673"/>
      <c r="D445" s="673"/>
      <c r="E445" s="679">
        <f>E444-E440</f>
        <v>-59.498329293999618</v>
      </c>
      <c r="F445" s="673" t="str">
        <f t="shared" si="29"/>
        <v>0</v>
      </c>
      <c r="G445" s="673" t="str">
        <f>IF(C452&gt;F440,"1","0")</f>
        <v>0</v>
      </c>
      <c r="H445" s="673"/>
      <c r="I445" s="680"/>
    </row>
    <row r="446" spans="2:9">
      <c r="B446" s="678"/>
      <c r="C446" s="673"/>
      <c r="D446" s="673"/>
      <c r="E446" s="679">
        <f>E445-E440</f>
        <v>-94.498329293999618</v>
      </c>
      <c r="F446" s="673" t="str">
        <f t="shared" si="29"/>
        <v>0</v>
      </c>
      <c r="G446" s="673" t="str">
        <f>IF(C452&lt;E440,"1","0")</f>
        <v>1</v>
      </c>
      <c r="H446" s="673"/>
      <c r="I446" s="680"/>
    </row>
    <row r="447" spans="2:9">
      <c r="B447" s="678"/>
      <c r="C447" s="673"/>
      <c r="D447" s="673"/>
      <c r="E447" s="679">
        <f>E446-E440</f>
        <v>-129.49832929399963</v>
      </c>
      <c r="F447" s="673" t="str">
        <f t="shared" si="29"/>
        <v>0</v>
      </c>
      <c r="G447" s="673" t="str">
        <f>IF(C452=E440,"1","0")</f>
        <v>0</v>
      </c>
      <c r="H447" s="673"/>
      <c r="I447" s="680"/>
    </row>
    <row r="448" spans="2:9">
      <c r="B448" s="678"/>
      <c r="C448" s="673"/>
      <c r="D448" s="673"/>
      <c r="E448" s="679">
        <f>E447-E440</f>
        <v>-164.49832929399963</v>
      </c>
      <c r="F448" s="673" t="str">
        <f t="shared" si="29"/>
        <v>0</v>
      </c>
      <c r="G448" s="681">
        <f>G452</f>
        <v>3</v>
      </c>
      <c r="H448" s="673"/>
      <c r="I448" s="680"/>
    </row>
    <row r="449" spans="2:9">
      <c r="B449" s="678"/>
      <c r="C449" s="673"/>
      <c r="D449" s="673"/>
      <c r="E449" s="679">
        <f>E448-E440</f>
        <v>-199.49832929399963</v>
      </c>
      <c r="F449" s="673" t="str">
        <f t="shared" si="29"/>
        <v>0</v>
      </c>
      <c r="G449" s="673"/>
      <c r="H449" s="673"/>
      <c r="I449" s="680"/>
    </row>
    <row r="450" spans="2:9">
      <c r="B450" s="678"/>
      <c r="C450" s="673"/>
      <c r="D450" s="673"/>
      <c r="E450" s="679">
        <f>E449-E440</f>
        <v>-234.49832929399963</v>
      </c>
      <c r="F450" s="673" t="str">
        <f t="shared" si="29"/>
        <v>0</v>
      </c>
      <c r="G450" s="673"/>
      <c r="H450" s="673"/>
      <c r="I450" s="680"/>
    </row>
    <row r="451" spans="2:9">
      <c r="B451" s="678"/>
      <c r="C451" s="673"/>
      <c r="D451" s="673"/>
      <c r="E451" s="679">
        <f>E450-E440</f>
        <v>-269.49832929399963</v>
      </c>
      <c r="F451" s="673" t="str">
        <f t="shared" si="29"/>
        <v>0</v>
      </c>
      <c r="G451" s="673"/>
      <c r="H451" s="673"/>
      <c r="I451" s="680"/>
    </row>
    <row r="452" spans="2:9">
      <c r="B452" s="682"/>
      <c r="C452" s="683">
        <f>D452*E440</f>
        <v>10.501670706000388</v>
      </c>
      <c r="D452" s="683">
        <f>E452-G452</f>
        <v>0.30004773445715394</v>
      </c>
      <c r="E452" s="684">
        <f>D252/E440</f>
        <v>3.3000477344571539</v>
      </c>
      <c r="F452" s="683"/>
      <c r="G452" s="683">
        <f>F441+F442+F443+F444+F445+F446+F447+F448+F449+F450+F451</f>
        <v>3</v>
      </c>
      <c r="H452" s="683"/>
      <c r="I452" s="685"/>
    </row>
    <row r="453" spans="2:9">
      <c r="B453" s="667"/>
      <c r="C453" s="668" t="s">
        <v>381</v>
      </c>
      <c r="D453" s="669"/>
      <c r="E453" s="669"/>
      <c r="F453" s="669"/>
      <c r="G453" s="669" t="s">
        <v>382</v>
      </c>
      <c r="H453" s="669" t="s">
        <v>383</v>
      </c>
      <c r="I453" s="670" t="s">
        <v>384</v>
      </c>
    </row>
    <row r="454" spans="2:9">
      <c r="B454" s="1317" t="str">
        <f>B253</f>
        <v>кл. брус</v>
      </c>
      <c r="C454" s="1318"/>
      <c r="D454" s="671" t="str">
        <f>C253</f>
        <v>190х240</v>
      </c>
      <c r="E454" s="672">
        <f>K253</f>
        <v>35</v>
      </c>
      <c r="F454" s="672">
        <f>L253</f>
        <v>19</v>
      </c>
      <c r="G454" s="673"/>
      <c r="H454" s="674">
        <f>'Данные Брус'!F293</f>
        <v>90000</v>
      </c>
      <c r="I454" s="674">
        <f>'Данные Брус'!G293</f>
        <v>80000</v>
      </c>
    </row>
    <row r="455" spans="2:9">
      <c r="B455" s="1317" t="s">
        <v>385</v>
      </c>
      <c r="C455" s="1319"/>
      <c r="D455" s="675">
        <v>400</v>
      </c>
      <c r="E455" s="676">
        <f>D253-E454</f>
        <v>78.717986495474065</v>
      </c>
      <c r="F455" s="673" t="str">
        <f>IF(E455&gt;0,"1","0")</f>
        <v>1</v>
      </c>
      <c r="G455" s="673" t="str">
        <f>IF(C466&lt;F454,"1","0")</f>
        <v>1</v>
      </c>
      <c r="H455" s="677">
        <f>G462+G459*G460+G461</f>
        <v>3</v>
      </c>
      <c r="I455" s="677">
        <f>G455*G456+J465+G457</f>
        <v>1</v>
      </c>
    </row>
    <row r="456" spans="2:9">
      <c r="B456" s="678"/>
      <c r="C456" s="673"/>
      <c r="D456" s="673"/>
      <c r="E456" s="679">
        <f>E455-E454</f>
        <v>43.717986495474065</v>
      </c>
      <c r="F456" s="673" t="str">
        <f t="shared" ref="F456:F465" si="30">IF(E456&gt;0,"1","0")</f>
        <v>1</v>
      </c>
      <c r="G456" s="673" t="str">
        <f>IF(C466&gt;0,"1","0")</f>
        <v>1</v>
      </c>
      <c r="H456" s="673"/>
      <c r="I456" s="680"/>
    </row>
    <row r="457" spans="2:9">
      <c r="B457" s="678"/>
      <c r="C457" s="673"/>
      <c r="D457" s="673"/>
      <c r="E457" s="679">
        <f>E456-E454</f>
        <v>8.7179864954740651</v>
      </c>
      <c r="F457" s="673" t="str">
        <f t="shared" si="30"/>
        <v>1</v>
      </c>
      <c r="G457" s="673" t="str">
        <f>IF(C466=F454,"1","0")</f>
        <v>0</v>
      </c>
      <c r="H457" s="673"/>
      <c r="I457" s="680"/>
    </row>
    <row r="458" spans="2:9">
      <c r="B458" s="678"/>
      <c r="C458" s="673"/>
      <c r="D458" s="673"/>
      <c r="E458" s="679">
        <f>E457-E454</f>
        <v>-26.282013504525935</v>
      </c>
      <c r="F458" s="673" t="str">
        <f t="shared" si="30"/>
        <v>0</v>
      </c>
      <c r="G458" s="673"/>
      <c r="H458" s="673"/>
      <c r="I458" s="680"/>
    </row>
    <row r="459" spans="2:9">
      <c r="B459" s="678"/>
      <c r="C459" s="673"/>
      <c r="D459" s="673"/>
      <c r="E459" s="679">
        <f>E458-E454</f>
        <v>-61.282013504525935</v>
      </c>
      <c r="F459" s="673" t="str">
        <f t="shared" si="30"/>
        <v>0</v>
      </c>
      <c r="G459" s="673" t="str">
        <f>IF(C466&gt;F454,"1","0")</f>
        <v>0</v>
      </c>
      <c r="H459" s="673"/>
      <c r="I459" s="680"/>
    </row>
    <row r="460" spans="2:9">
      <c r="B460" s="678"/>
      <c r="C460" s="673"/>
      <c r="D460" s="673"/>
      <c r="E460" s="679">
        <f>E459-E454</f>
        <v>-96.282013504525935</v>
      </c>
      <c r="F460" s="673" t="str">
        <f t="shared" si="30"/>
        <v>0</v>
      </c>
      <c r="G460" s="673" t="str">
        <f>IF(C466&lt;E454,"1","0")</f>
        <v>1</v>
      </c>
      <c r="H460" s="673"/>
      <c r="I460" s="680"/>
    </row>
    <row r="461" spans="2:9">
      <c r="B461" s="678"/>
      <c r="C461" s="673"/>
      <c r="D461" s="673"/>
      <c r="E461" s="679">
        <f>E460-E454</f>
        <v>-131.28201350452593</v>
      </c>
      <c r="F461" s="673" t="str">
        <f t="shared" si="30"/>
        <v>0</v>
      </c>
      <c r="G461" s="673" t="str">
        <f>IF(C466=E454,"1","0")</f>
        <v>0</v>
      </c>
      <c r="H461" s="673"/>
      <c r="I461" s="680"/>
    </row>
    <row r="462" spans="2:9">
      <c r="B462" s="678"/>
      <c r="C462" s="673"/>
      <c r="D462" s="673"/>
      <c r="E462" s="679">
        <f>E461-E454</f>
        <v>-166.28201350452593</v>
      </c>
      <c r="F462" s="673" t="str">
        <f t="shared" si="30"/>
        <v>0</v>
      </c>
      <c r="G462" s="681">
        <f>G466</f>
        <v>3</v>
      </c>
      <c r="H462" s="673"/>
      <c r="I462" s="680"/>
    </row>
    <row r="463" spans="2:9">
      <c r="B463" s="678"/>
      <c r="C463" s="673"/>
      <c r="D463" s="673"/>
      <c r="E463" s="679">
        <f>E462-E454</f>
        <v>-201.28201350452593</v>
      </c>
      <c r="F463" s="673" t="str">
        <f t="shared" si="30"/>
        <v>0</v>
      </c>
      <c r="G463" s="673"/>
      <c r="H463" s="673"/>
      <c r="I463" s="680"/>
    </row>
    <row r="464" spans="2:9">
      <c r="B464" s="678"/>
      <c r="C464" s="673"/>
      <c r="D464" s="673"/>
      <c r="E464" s="679">
        <f>E463-E454</f>
        <v>-236.28201350452593</v>
      </c>
      <c r="F464" s="673" t="str">
        <f t="shared" si="30"/>
        <v>0</v>
      </c>
      <c r="G464" s="673"/>
      <c r="H464" s="673"/>
      <c r="I464" s="680"/>
    </row>
    <row r="465" spans="2:9">
      <c r="B465" s="678"/>
      <c r="C465" s="673"/>
      <c r="D465" s="673"/>
      <c r="E465" s="679">
        <f>E464-E454</f>
        <v>-271.28201350452593</v>
      </c>
      <c r="F465" s="673" t="str">
        <f t="shared" si="30"/>
        <v>0</v>
      </c>
      <c r="G465" s="673"/>
      <c r="H465" s="673"/>
      <c r="I465" s="680"/>
    </row>
    <row r="466" spans="2:9">
      <c r="B466" s="682"/>
      <c r="C466" s="683">
        <f>D466*E454</f>
        <v>8.7179864954740651</v>
      </c>
      <c r="D466" s="683">
        <f>E466-G466</f>
        <v>0.24908532844211617</v>
      </c>
      <c r="E466" s="684">
        <f>D253/E454</f>
        <v>3.2490853284421162</v>
      </c>
      <c r="F466" s="683"/>
      <c r="G466" s="683">
        <f>F455+F456+F457+F458+F459+F460+F461+F462+F463+F464+F465</f>
        <v>3</v>
      </c>
      <c r="H466" s="683"/>
      <c r="I466" s="685"/>
    </row>
    <row r="467" spans="2:9">
      <c r="B467" s="667"/>
      <c r="C467" s="668" t="s">
        <v>381</v>
      </c>
      <c r="D467" s="669"/>
      <c r="E467" s="669"/>
      <c r="F467" s="669"/>
      <c r="G467" s="669" t="s">
        <v>382</v>
      </c>
      <c r="H467" s="669" t="s">
        <v>383</v>
      </c>
      <c r="I467" s="670" t="s">
        <v>384</v>
      </c>
    </row>
    <row r="468" spans="2:9">
      <c r="B468" s="1317" t="str">
        <f>B254</f>
        <v>кл. брус</v>
      </c>
      <c r="C468" s="1318"/>
      <c r="D468" s="671" t="str">
        <f>C254</f>
        <v>230х160</v>
      </c>
      <c r="E468" s="672">
        <f>K254</f>
        <v>35</v>
      </c>
      <c r="F468" s="672">
        <f>L254</f>
        <v>19</v>
      </c>
      <c r="G468" s="673"/>
      <c r="H468" s="674">
        <f>'Данные Брус'!F294</f>
        <v>90000</v>
      </c>
      <c r="I468" s="674">
        <f>'Данные Брус'!G294</f>
        <v>80000</v>
      </c>
    </row>
    <row r="469" spans="2:9">
      <c r="B469" s="1317" t="s">
        <v>385</v>
      </c>
      <c r="C469" s="1319"/>
      <c r="D469" s="675">
        <v>400</v>
      </c>
      <c r="E469" s="676">
        <f>D254-E468</f>
        <v>40.577935768957616</v>
      </c>
      <c r="F469" s="673" t="str">
        <f>IF(E469&gt;0,"1","0")</f>
        <v>1</v>
      </c>
      <c r="G469" s="673" t="str">
        <f>IF(C480&lt;F468,"1","0")</f>
        <v>1</v>
      </c>
      <c r="H469" s="677">
        <f>G476+G473*G474+G475</f>
        <v>2</v>
      </c>
      <c r="I469" s="677">
        <f>G469*G470+J479+G471</f>
        <v>1</v>
      </c>
    </row>
    <row r="470" spans="2:9">
      <c r="B470" s="678"/>
      <c r="C470" s="673"/>
      <c r="D470" s="673"/>
      <c r="E470" s="679">
        <f>E469-E468</f>
        <v>5.5779357689576159</v>
      </c>
      <c r="F470" s="673" t="str">
        <f t="shared" ref="F470:F479" si="31">IF(E470&gt;0,"1","0")</f>
        <v>1</v>
      </c>
      <c r="G470" s="673" t="str">
        <f>IF(C480&gt;0,"1","0")</f>
        <v>1</v>
      </c>
      <c r="H470" s="673"/>
      <c r="I470" s="680"/>
    </row>
    <row r="471" spans="2:9">
      <c r="B471" s="678"/>
      <c r="C471" s="673"/>
      <c r="D471" s="673"/>
      <c r="E471" s="679">
        <f>E470-E468</f>
        <v>-29.422064231042384</v>
      </c>
      <c r="F471" s="673" t="str">
        <f t="shared" si="31"/>
        <v>0</v>
      </c>
      <c r="G471" s="673" t="str">
        <f>IF(C480=F468,"1","0")</f>
        <v>0</v>
      </c>
      <c r="H471" s="673"/>
      <c r="I471" s="680"/>
    </row>
    <row r="472" spans="2:9">
      <c r="B472" s="678"/>
      <c r="C472" s="673"/>
      <c r="D472" s="673"/>
      <c r="E472" s="679">
        <f>E471-E468</f>
        <v>-64.422064231042384</v>
      </c>
      <c r="F472" s="673" t="str">
        <f t="shared" si="31"/>
        <v>0</v>
      </c>
      <c r="G472" s="673"/>
      <c r="H472" s="673"/>
      <c r="I472" s="680"/>
    </row>
    <row r="473" spans="2:9">
      <c r="B473" s="678"/>
      <c r="C473" s="673"/>
      <c r="D473" s="673"/>
      <c r="E473" s="679">
        <f>E472-E468</f>
        <v>-99.422064231042384</v>
      </c>
      <c r="F473" s="673" t="str">
        <f t="shared" si="31"/>
        <v>0</v>
      </c>
      <c r="G473" s="673" t="str">
        <f>IF(C480&gt;F468,"1","0")</f>
        <v>0</v>
      </c>
      <c r="H473" s="673"/>
      <c r="I473" s="680"/>
    </row>
    <row r="474" spans="2:9">
      <c r="B474" s="678"/>
      <c r="C474" s="673"/>
      <c r="D474" s="673"/>
      <c r="E474" s="679">
        <f>E473-E468</f>
        <v>-134.42206423104238</v>
      </c>
      <c r="F474" s="673" t="str">
        <f t="shared" si="31"/>
        <v>0</v>
      </c>
      <c r="G474" s="673" t="str">
        <f>IF(C480&lt;E468,"1","0")</f>
        <v>1</v>
      </c>
      <c r="H474" s="673"/>
      <c r="I474" s="680"/>
    </row>
    <row r="475" spans="2:9">
      <c r="B475" s="678"/>
      <c r="C475" s="673"/>
      <c r="D475" s="673"/>
      <c r="E475" s="679">
        <f>E474-E468</f>
        <v>-169.42206423104238</v>
      </c>
      <c r="F475" s="673" t="str">
        <f t="shared" si="31"/>
        <v>0</v>
      </c>
      <c r="G475" s="673" t="str">
        <f>IF(C480=E468,"1","0")</f>
        <v>0</v>
      </c>
      <c r="H475" s="673"/>
      <c r="I475" s="680"/>
    </row>
    <row r="476" spans="2:9">
      <c r="B476" s="678"/>
      <c r="C476" s="673"/>
      <c r="D476" s="673"/>
      <c r="E476" s="679">
        <f>E475-E468</f>
        <v>-204.42206423104238</v>
      </c>
      <c r="F476" s="673" t="str">
        <f t="shared" si="31"/>
        <v>0</v>
      </c>
      <c r="G476" s="681">
        <f>G480</f>
        <v>2</v>
      </c>
      <c r="H476" s="673"/>
      <c r="I476" s="680"/>
    </row>
    <row r="477" spans="2:9">
      <c r="B477" s="678"/>
      <c r="C477" s="673"/>
      <c r="D477" s="673"/>
      <c r="E477" s="679">
        <f>E476-E468</f>
        <v>-239.42206423104238</v>
      </c>
      <c r="F477" s="673" t="str">
        <f t="shared" si="31"/>
        <v>0</v>
      </c>
      <c r="G477" s="673"/>
      <c r="H477" s="673"/>
      <c r="I477" s="680"/>
    </row>
    <row r="478" spans="2:9">
      <c r="B478" s="678"/>
      <c r="C478" s="673"/>
      <c r="D478" s="673"/>
      <c r="E478" s="679">
        <f>E477-E468</f>
        <v>-274.42206423104238</v>
      </c>
      <c r="F478" s="673" t="str">
        <f t="shared" si="31"/>
        <v>0</v>
      </c>
      <c r="G478" s="673"/>
      <c r="H478" s="673"/>
      <c r="I478" s="680"/>
    </row>
    <row r="479" spans="2:9">
      <c r="B479" s="678"/>
      <c r="C479" s="673"/>
      <c r="D479" s="673"/>
      <c r="E479" s="679">
        <f>E478-E468</f>
        <v>-309.42206423104238</v>
      </c>
      <c r="F479" s="673" t="str">
        <f t="shared" si="31"/>
        <v>0</v>
      </c>
      <c r="G479" s="673"/>
      <c r="H479" s="673"/>
      <c r="I479" s="680"/>
    </row>
    <row r="480" spans="2:9">
      <c r="B480" s="682"/>
      <c r="C480" s="683">
        <f>D480*E468</f>
        <v>5.5779357689576177</v>
      </c>
      <c r="D480" s="683">
        <f>E480-G480</f>
        <v>0.15936959339878909</v>
      </c>
      <c r="E480" s="684">
        <f>D254/E468</f>
        <v>2.1593695933987891</v>
      </c>
      <c r="F480" s="683"/>
      <c r="G480" s="683">
        <f>F469+F470+F471+F472+F473+F474+F475+F476+F477+F478+F479</f>
        <v>2</v>
      </c>
      <c r="H480" s="683"/>
      <c r="I480" s="685"/>
    </row>
    <row r="481" spans="2:9">
      <c r="B481" s="667"/>
      <c r="C481" s="668" t="s">
        <v>381</v>
      </c>
      <c r="D481" s="669"/>
      <c r="E481" s="669"/>
      <c r="F481" s="669"/>
      <c r="G481" s="669" t="s">
        <v>382</v>
      </c>
      <c r="H481" s="669" t="s">
        <v>383</v>
      </c>
      <c r="I481" s="670" t="s">
        <v>384</v>
      </c>
    </row>
    <row r="482" spans="2:9">
      <c r="B482" s="1317" t="str">
        <f>B255</f>
        <v>кл. брус</v>
      </c>
      <c r="C482" s="1318"/>
      <c r="D482" s="671" t="str">
        <f>C255</f>
        <v>230х200</v>
      </c>
      <c r="E482" s="672">
        <f>K255</f>
        <v>35</v>
      </c>
      <c r="F482" s="672">
        <f>L255</f>
        <v>19</v>
      </c>
      <c r="G482" s="673"/>
      <c r="H482" s="674">
        <f>'Данные Брус'!F295</f>
        <v>90000</v>
      </c>
      <c r="I482" s="674">
        <f>'Данные Брус'!G295</f>
        <v>80000</v>
      </c>
    </row>
    <row r="483" spans="2:9">
      <c r="B483" s="1317" t="s">
        <v>385</v>
      </c>
      <c r="C483" s="1319"/>
      <c r="D483" s="675">
        <v>400</v>
      </c>
      <c r="E483" s="676">
        <f>D255-E482</f>
        <v>59.473756805807625</v>
      </c>
      <c r="F483" s="673" t="str">
        <f>IF(E483&gt;0,"1","0")</f>
        <v>1</v>
      </c>
      <c r="G483" s="673" t="str">
        <f>IF(C494&lt;F482,"1","0")</f>
        <v>0</v>
      </c>
      <c r="H483" s="677">
        <f>G490+G487*G488+G489</f>
        <v>3</v>
      </c>
      <c r="I483" s="677">
        <f>G483*G484+J493+G485</f>
        <v>0</v>
      </c>
    </row>
    <row r="484" spans="2:9">
      <c r="B484" s="678"/>
      <c r="C484" s="673"/>
      <c r="D484" s="673"/>
      <c r="E484" s="679">
        <f>E483-E482</f>
        <v>24.473756805807625</v>
      </c>
      <c r="F484" s="673" t="str">
        <f t="shared" ref="F484:F493" si="32">IF(E484&gt;0,"1","0")</f>
        <v>1</v>
      </c>
      <c r="G484" s="673" t="str">
        <f>IF(C494&gt;0,"1","0")</f>
        <v>1</v>
      </c>
      <c r="H484" s="673"/>
      <c r="I484" s="680"/>
    </row>
    <row r="485" spans="2:9">
      <c r="B485" s="678"/>
      <c r="C485" s="673"/>
      <c r="D485" s="673"/>
      <c r="E485" s="679">
        <f>E484-E482</f>
        <v>-10.526243194192375</v>
      </c>
      <c r="F485" s="673" t="str">
        <f t="shared" si="32"/>
        <v>0</v>
      </c>
      <c r="G485" s="673" t="str">
        <f>IF(C494=F482,"1","0")</f>
        <v>0</v>
      </c>
      <c r="H485" s="673"/>
      <c r="I485" s="680"/>
    </row>
    <row r="486" spans="2:9">
      <c r="B486" s="678"/>
      <c r="C486" s="673"/>
      <c r="D486" s="673"/>
      <c r="E486" s="679">
        <f>E485-E482</f>
        <v>-45.526243194192375</v>
      </c>
      <c r="F486" s="673" t="str">
        <f t="shared" si="32"/>
        <v>0</v>
      </c>
      <c r="G486" s="673"/>
      <c r="H486" s="673"/>
      <c r="I486" s="680"/>
    </row>
    <row r="487" spans="2:9">
      <c r="B487" s="678"/>
      <c r="C487" s="673"/>
      <c r="D487" s="673"/>
      <c r="E487" s="679">
        <f>E486-E482</f>
        <v>-80.526243194192375</v>
      </c>
      <c r="F487" s="673" t="str">
        <f t="shared" si="32"/>
        <v>0</v>
      </c>
      <c r="G487" s="673" t="str">
        <f>IF(C494&gt;F482,"1","0")</f>
        <v>1</v>
      </c>
      <c r="H487" s="673"/>
      <c r="I487" s="680"/>
    </row>
    <row r="488" spans="2:9">
      <c r="B488" s="678"/>
      <c r="C488" s="673"/>
      <c r="D488" s="673"/>
      <c r="E488" s="679">
        <f>E487-E482</f>
        <v>-115.52624319419238</v>
      </c>
      <c r="F488" s="673" t="str">
        <f t="shared" si="32"/>
        <v>0</v>
      </c>
      <c r="G488" s="673" t="str">
        <f>IF(C494&lt;E482,"1","0")</f>
        <v>1</v>
      </c>
      <c r="H488" s="673"/>
      <c r="I488" s="680"/>
    </row>
    <row r="489" spans="2:9">
      <c r="B489" s="678"/>
      <c r="C489" s="673"/>
      <c r="D489" s="673"/>
      <c r="E489" s="679">
        <f>E488-E482</f>
        <v>-150.52624319419238</v>
      </c>
      <c r="F489" s="673" t="str">
        <f t="shared" si="32"/>
        <v>0</v>
      </c>
      <c r="G489" s="673" t="str">
        <f>IF(C494=E482,"1","0")</f>
        <v>0</v>
      </c>
      <c r="H489" s="673"/>
      <c r="I489" s="680"/>
    </row>
    <row r="490" spans="2:9">
      <c r="B490" s="678"/>
      <c r="C490" s="673"/>
      <c r="D490" s="673"/>
      <c r="E490" s="679">
        <f>E489-E482</f>
        <v>-185.52624319419238</v>
      </c>
      <c r="F490" s="673" t="str">
        <f t="shared" si="32"/>
        <v>0</v>
      </c>
      <c r="G490" s="681">
        <f>G494</f>
        <v>2</v>
      </c>
      <c r="H490" s="673"/>
      <c r="I490" s="680"/>
    </row>
    <row r="491" spans="2:9">
      <c r="B491" s="678"/>
      <c r="C491" s="673"/>
      <c r="D491" s="673"/>
      <c r="E491" s="679">
        <f>E490-E482</f>
        <v>-220.52624319419238</v>
      </c>
      <c r="F491" s="673" t="str">
        <f t="shared" si="32"/>
        <v>0</v>
      </c>
      <c r="G491" s="673"/>
      <c r="H491" s="673"/>
      <c r="I491" s="680"/>
    </row>
    <row r="492" spans="2:9">
      <c r="B492" s="678"/>
      <c r="C492" s="673"/>
      <c r="D492" s="673"/>
      <c r="E492" s="679">
        <f>E491-E482</f>
        <v>-255.52624319419238</v>
      </c>
      <c r="F492" s="673" t="str">
        <f t="shared" si="32"/>
        <v>0</v>
      </c>
      <c r="G492" s="673"/>
      <c r="H492" s="673"/>
      <c r="I492" s="680"/>
    </row>
    <row r="493" spans="2:9">
      <c r="B493" s="678"/>
      <c r="C493" s="673"/>
      <c r="D493" s="673"/>
      <c r="E493" s="679">
        <f>E492-E482</f>
        <v>-290.52624319419238</v>
      </c>
      <c r="F493" s="673" t="str">
        <f t="shared" si="32"/>
        <v>0</v>
      </c>
      <c r="G493" s="673"/>
      <c r="H493" s="673"/>
      <c r="I493" s="680"/>
    </row>
    <row r="494" spans="2:9">
      <c r="B494" s="682"/>
      <c r="C494" s="683">
        <f>D494*E482</f>
        <v>24.473756805807628</v>
      </c>
      <c r="D494" s="683">
        <f>E494-G494</f>
        <v>0.69925019445164649</v>
      </c>
      <c r="E494" s="684">
        <f>D255/E482</f>
        <v>2.6992501944516465</v>
      </c>
      <c r="F494" s="683"/>
      <c r="G494" s="683">
        <f>F483+F484+F485+F486+F487+F488+F489+F490+F491+F492+F493</f>
        <v>2</v>
      </c>
      <c r="H494" s="683"/>
      <c r="I494" s="685"/>
    </row>
    <row r="495" spans="2:9">
      <c r="B495" s="667"/>
      <c r="C495" s="668" t="s">
        <v>381</v>
      </c>
      <c r="D495" s="669"/>
      <c r="E495" s="669"/>
      <c r="F495" s="669"/>
      <c r="G495" s="669" t="s">
        <v>382</v>
      </c>
      <c r="H495" s="669" t="s">
        <v>383</v>
      </c>
      <c r="I495" s="670" t="s">
        <v>384</v>
      </c>
    </row>
    <row r="496" spans="2:9">
      <c r="B496" s="1317" t="str">
        <f>B256</f>
        <v>кл. брус</v>
      </c>
      <c r="C496" s="1318"/>
      <c r="D496" s="671" t="str">
        <f>C256</f>
        <v>230х240</v>
      </c>
      <c r="E496" s="672">
        <f>K256</f>
        <v>35</v>
      </c>
      <c r="F496" s="672">
        <f>L256</f>
        <v>19</v>
      </c>
      <c r="G496" s="673"/>
      <c r="H496" s="674">
        <f>'Данные Брус'!F296</f>
        <v>90000</v>
      </c>
      <c r="I496" s="674">
        <f>'Данные Брус'!G296</f>
        <v>80000</v>
      </c>
    </row>
    <row r="497" spans="2:9">
      <c r="B497" s="1317" t="s">
        <v>385</v>
      </c>
      <c r="C497" s="1319"/>
      <c r="D497" s="675">
        <v>400</v>
      </c>
      <c r="E497" s="676">
        <f>D256-E496</f>
        <v>78.364229464215271</v>
      </c>
      <c r="F497" s="673" t="str">
        <f>IF(E497&gt;0,"1","0")</f>
        <v>1</v>
      </c>
      <c r="G497" s="673" t="str">
        <f>IF(C508&lt;F496,"1","0")</f>
        <v>1</v>
      </c>
      <c r="H497" s="677">
        <f>G504+G501*G502+G503</f>
        <v>3</v>
      </c>
      <c r="I497" s="677">
        <f>G497*G498+J507+G499</f>
        <v>1</v>
      </c>
    </row>
    <row r="498" spans="2:9">
      <c r="B498" s="678"/>
      <c r="C498" s="673"/>
      <c r="D498" s="673"/>
      <c r="E498" s="679">
        <f>E497-E496</f>
        <v>43.364229464215271</v>
      </c>
      <c r="F498" s="673" t="str">
        <f t="shared" ref="F498:F507" si="33">IF(E498&gt;0,"1","0")</f>
        <v>1</v>
      </c>
      <c r="G498" s="673" t="str">
        <f>IF(C508&gt;0,"1","0")</f>
        <v>1</v>
      </c>
      <c r="H498" s="673"/>
      <c r="I498" s="680"/>
    </row>
    <row r="499" spans="2:9">
      <c r="B499" s="678"/>
      <c r="C499" s="673"/>
      <c r="D499" s="673"/>
      <c r="E499" s="679">
        <f>E498-E496</f>
        <v>8.3642294642152706</v>
      </c>
      <c r="F499" s="673" t="str">
        <f t="shared" si="33"/>
        <v>1</v>
      </c>
      <c r="G499" s="673" t="str">
        <f>IF(C508=F496,"1","0")</f>
        <v>0</v>
      </c>
      <c r="H499" s="673"/>
      <c r="I499" s="680"/>
    </row>
    <row r="500" spans="2:9">
      <c r="B500" s="678"/>
      <c r="C500" s="673"/>
      <c r="D500" s="673"/>
      <c r="E500" s="679">
        <f>E499-E496</f>
        <v>-26.635770535784729</v>
      </c>
      <c r="F500" s="673" t="str">
        <f t="shared" si="33"/>
        <v>0</v>
      </c>
      <c r="G500" s="673"/>
      <c r="H500" s="673"/>
      <c r="I500" s="680"/>
    </row>
    <row r="501" spans="2:9">
      <c r="B501" s="678"/>
      <c r="C501" s="673"/>
      <c r="D501" s="673"/>
      <c r="E501" s="679">
        <f>E500-E496</f>
        <v>-61.635770535784729</v>
      </c>
      <c r="F501" s="673" t="str">
        <f t="shared" si="33"/>
        <v>0</v>
      </c>
      <c r="G501" s="673" t="str">
        <f>IF(C508&gt;F496,"1","0")</f>
        <v>0</v>
      </c>
      <c r="H501" s="673"/>
      <c r="I501" s="680"/>
    </row>
    <row r="502" spans="2:9">
      <c r="B502" s="678"/>
      <c r="C502" s="673"/>
      <c r="D502" s="673"/>
      <c r="E502" s="679">
        <f>E501-E496</f>
        <v>-96.635770535784729</v>
      </c>
      <c r="F502" s="673" t="str">
        <f t="shared" si="33"/>
        <v>0</v>
      </c>
      <c r="G502" s="673" t="str">
        <f>IF(C508&lt;E496,"1","0")</f>
        <v>1</v>
      </c>
      <c r="H502" s="673"/>
      <c r="I502" s="680"/>
    </row>
    <row r="503" spans="2:9">
      <c r="B503" s="678"/>
      <c r="C503" s="673"/>
      <c r="D503" s="673"/>
      <c r="E503" s="679">
        <f>E502-E496</f>
        <v>-131.63577053578473</v>
      </c>
      <c r="F503" s="673" t="str">
        <f t="shared" si="33"/>
        <v>0</v>
      </c>
      <c r="G503" s="673" t="str">
        <f>IF(C508=E496,"1","0")</f>
        <v>0</v>
      </c>
      <c r="H503" s="673"/>
      <c r="I503" s="680"/>
    </row>
    <row r="504" spans="2:9">
      <c r="B504" s="678"/>
      <c r="C504" s="673"/>
      <c r="D504" s="673"/>
      <c r="E504" s="679">
        <f>E503-E496</f>
        <v>-166.63577053578473</v>
      </c>
      <c r="F504" s="673" t="str">
        <f t="shared" si="33"/>
        <v>0</v>
      </c>
      <c r="G504" s="681">
        <f>G508</f>
        <v>3</v>
      </c>
      <c r="H504" s="673"/>
      <c r="I504" s="680"/>
    </row>
    <row r="505" spans="2:9">
      <c r="B505" s="678"/>
      <c r="C505" s="673"/>
      <c r="D505" s="673"/>
      <c r="E505" s="679">
        <f>E504-E496</f>
        <v>-201.63577053578473</v>
      </c>
      <c r="F505" s="673" t="str">
        <f t="shared" si="33"/>
        <v>0</v>
      </c>
      <c r="G505" s="673"/>
      <c r="H505" s="673"/>
      <c r="I505" s="680"/>
    </row>
    <row r="506" spans="2:9">
      <c r="B506" s="678"/>
      <c r="C506" s="673"/>
      <c r="D506" s="673"/>
      <c r="E506" s="679">
        <f>E505-E496</f>
        <v>-236.63577053578473</v>
      </c>
      <c r="F506" s="673" t="str">
        <f t="shared" si="33"/>
        <v>0</v>
      </c>
      <c r="G506" s="673"/>
      <c r="H506" s="673"/>
      <c r="I506" s="680"/>
    </row>
    <row r="507" spans="2:9">
      <c r="B507" s="678"/>
      <c r="C507" s="673"/>
      <c r="D507" s="673"/>
      <c r="E507" s="679">
        <f>E506-E496</f>
        <v>-271.63577053578473</v>
      </c>
      <c r="F507" s="673" t="str">
        <f t="shared" si="33"/>
        <v>0</v>
      </c>
      <c r="G507" s="673"/>
      <c r="H507" s="673"/>
      <c r="I507" s="680"/>
    </row>
    <row r="508" spans="2:9">
      <c r="B508" s="682"/>
      <c r="C508" s="683">
        <f>D508*E496</f>
        <v>8.3642294642152653</v>
      </c>
      <c r="D508" s="683">
        <f>E508-G508</f>
        <v>0.23897798469186471</v>
      </c>
      <c r="E508" s="684">
        <f>D256/E496</f>
        <v>3.2389779846918647</v>
      </c>
      <c r="F508" s="683"/>
      <c r="G508" s="683">
        <f>F497+F498+F499+F500+F501+F502+F503+F504+F505+F506+F507</f>
        <v>3</v>
      </c>
      <c r="H508" s="683"/>
      <c r="I508" s="685"/>
    </row>
    <row r="509" spans="2:9">
      <c r="B509" s="667"/>
      <c r="C509" s="668" t="s">
        <v>381</v>
      </c>
      <c r="D509" s="669"/>
      <c r="E509" s="669"/>
      <c r="F509" s="669"/>
      <c r="G509" s="669" t="s">
        <v>382</v>
      </c>
      <c r="H509" s="669" t="s">
        <v>383</v>
      </c>
      <c r="I509" s="670" t="s">
        <v>384</v>
      </c>
    </row>
    <row r="510" spans="2:9">
      <c r="B510" s="1317" t="str">
        <f>B257</f>
        <v>кл. брус</v>
      </c>
      <c r="C510" s="1318"/>
      <c r="D510" s="671" t="str">
        <f>C257</f>
        <v>250х160</v>
      </c>
      <c r="E510" s="672">
        <f>K257</f>
        <v>35</v>
      </c>
      <c r="F510" s="672">
        <f>L257</f>
        <v>19</v>
      </c>
      <c r="G510" s="673"/>
      <c r="H510" s="674">
        <f>'Данные Брус'!F297</f>
        <v>90000</v>
      </c>
      <c r="I510" s="674">
        <f>'Данные Брус'!G297</f>
        <v>80000</v>
      </c>
    </row>
    <row r="511" spans="2:9">
      <c r="B511" s="1317" t="s">
        <v>385</v>
      </c>
      <c r="C511" s="1319"/>
      <c r="D511" s="675">
        <v>400</v>
      </c>
      <c r="E511" s="676">
        <f>D257-E510</f>
        <v>41.283157669285657</v>
      </c>
      <c r="F511" s="673" t="str">
        <f>IF(E511&gt;0,"1","0")</f>
        <v>1</v>
      </c>
      <c r="G511" s="673" t="str">
        <f>IF(C522&lt;F510,"1","0")</f>
        <v>1</v>
      </c>
      <c r="H511" s="677">
        <f>G518+G515*G516+G517</f>
        <v>2</v>
      </c>
      <c r="I511" s="677">
        <f>G511*G512+J521+G513</f>
        <v>1</v>
      </c>
    </row>
    <row r="512" spans="2:9">
      <c r="B512" s="678"/>
      <c r="C512" s="673"/>
      <c r="D512" s="673"/>
      <c r="E512" s="679">
        <f>E511-E510</f>
        <v>6.2831576692856572</v>
      </c>
      <c r="F512" s="673" t="str">
        <f t="shared" ref="F512:F521" si="34">IF(E512&gt;0,"1","0")</f>
        <v>1</v>
      </c>
      <c r="G512" s="673" t="str">
        <f>IF(C522&gt;0,"1","0")</f>
        <v>1</v>
      </c>
      <c r="H512" s="673"/>
      <c r="I512" s="680"/>
    </row>
    <row r="513" spans="2:9">
      <c r="B513" s="678"/>
      <c r="C513" s="673"/>
      <c r="D513" s="673"/>
      <c r="E513" s="679">
        <f>E512-E510</f>
        <v>-28.716842330714343</v>
      </c>
      <c r="F513" s="673" t="str">
        <f t="shared" si="34"/>
        <v>0</v>
      </c>
      <c r="G513" s="673" t="str">
        <f>IF(C522=F510,"1","0")</f>
        <v>0</v>
      </c>
      <c r="H513" s="673"/>
      <c r="I513" s="680"/>
    </row>
    <row r="514" spans="2:9">
      <c r="B514" s="678"/>
      <c r="C514" s="673"/>
      <c r="D514" s="673"/>
      <c r="E514" s="679">
        <f>E513-E510</f>
        <v>-63.716842330714343</v>
      </c>
      <c r="F514" s="673" t="str">
        <f t="shared" si="34"/>
        <v>0</v>
      </c>
      <c r="G514" s="673"/>
      <c r="H514" s="673"/>
      <c r="I514" s="680"/>
    </row>
    <row r="515" spans="2:9">
      <c r="B515" s="678"/>
      <c r="C515" s="673"/>
      <c r="D515" s="673"/>
      <c r="E515" s="679">
        <f>E514-E510</f>
        <v>-98.716842330714343</v>
      </c>
      <c r="F515" s="673" t="str">
        <f t="shared" si="34"/>
        <v>0</v>
      </c>
      <c r="G515" s="673" t="str">
        <f>IF(C522&gt;F510,"1","0")</f>
        <v>0</v>
      </c>
      <c r="H515" s="673"/>
      <c r="I515" s="680"/>
    </row>
    <row r="516" spans="2:9">
      <c r="B516" s="678"/>
      <c r="C516" s="673"/>
      <c r="D516" s="673"/>
      <c r="E516" s="679">
        <f>E515-E510</f>
        <v>-133.71684233071434</v>
      </c>
      <c r="F516" s="673" t="str">
        <f t="shared" si="34"/>
        <v>0</v>
      </c>
      <c r="G516" s="673" t="str">
        <f>IF(C522&lt;E510,"1","0")</f>
        <v>1</v>
      </c>
      <c r="H516" s="673"/>
      <c r="I516" s="680"/>
    </row>
    <row r="517" spans="2:9">
      <c r="B517" s="678"/>
      <c r="C517" s="673"/>
      <c r="D517" s="673"/>
      <c r="E517" s="679">
        <f>E516-E510</f>
        <v>-168.71684233071434</v>
      </c>
      <c r="F517" s="673" t="str">
        <f t="shared" si="34"/>
        <v>0</v>
      </c>
      <c r="G517" s="673" t="str">
        <f>IF(C522=E510,"1","0")</f>
        <v>0</v>
      </c>
      <c r="H517" s="673"/>
      <c r="I517" s="680"/>
    </row>
    <row r="518" spans="2:9">
      <c r="B518" s="678"/>
      <c r="C518" s="673"/>
      <c r="D518" s="673"/>
      <c r="E518" s="679">
        <f>E517-E510</f>
        <v>-203.71684233071434</v>
      </c>
      <c r="F518" s="673" t="str">
        <f t="shared" si="34"/>
        <v>0</v>
      </c>
      <c r="G518" s="681">
        <f>G522</f>
        <v>2</v>
      </c>
      <c r="H518" s="673"/>
      <c r="I518" s="680"/>
    </row>
    <row r="519" spans="2:9">
      <c r="B519" s="678"/>
      <c r="C519" s="673"/>
      <c r="D519" s="673"/>
      <c r="E519" s="679">
        <f>E518-E510</f>
        <v>-238.71684233071434</v>
      </c>
      <c r="F519" s="673" t="str">
        <f t="shared" si="34"/>
        <v>0</v>
      </c>
      <c r="G519" s="673"/>
      <c r="H519" s="673"/>
      <c r="I519" s="680"/>
    </row>
    <row r="520" spans="2:9">
      <c r="B520" s="678"/>
      <c r="C520" s="673"/>
      <c r="D520" s="673"/>
      <c r="E520" s="679">
        <f>E519-E510</f>
        <v>-273.71684233071437</v>
      </c>
      <c r="F520" s="673" t="str">
        <f t="shared" si="34"/>
        <v>0</v>
      </c>
      <c r="G520" s="673"/>
      <c r="H520" s="673"/>
      <c r="I520" s="680"/>
    </row>
    <row r="521" spans="2:9">
      <c r="B521" s="678"/>
      <c r="C521" s="673"/>
      <c r="D521" s="673"/>
      <c r="E521" s="679">
        <f>E520-E510</f>
        <v>-308.71684233071437</v>
      </c>
      <c r="F521" s="673" t="str">
        <f t="shared" si="34"/>
        <v>0</v>
      </c>
      <c r="G521" s="673"/>
      <c r="H521" s="673"/>
      <c r="I521" s="680"/>
    </row>
    <row r="522" spans="2:9">
      <c r="B522" s="682"/>
      <c r="C522" s="683">
        <f>D522*E510</f>
        <v>6.2831576692856554</v>
      </c>
      <c r="D522" s="683">
        <f>E522-G522</f>
        <v>0.17951879055101871</v>
      </c>
      <c r="E522" s="684">
        <f>D257/E510</f>
        <v>2.1795187905510187</v>
      </c>
      <c r="F522" s="683"/>
      <c r="G522" s="683">
        <f>F511+F512+F513+F514+F515+F516+F517+F518+F519+F520+F521</f>
        <v>2</v>
      </c>
      <c r="H522" s="683"/>
      <c r="I522" s="685"/>
    </row>
    <row r="523" spans="2:9">
      <c r="B523" s="667"/>
      <c r="C523" s="668" t="s">
        <v>381</v>
      </c>
      <c r="D523" s="669"/>
      <c r="E523" s="669"/>
      <c r="F523" s="669"/>
      <c r="G523" s="669" t="s">
        <v>382</v>
      </c>
      <c r="H523" s="669" t="s">
        <v>383</v>
      </c>
      <c r="I523" s="670" t="s">
        <v>384</v>
      </c>
    </row>
    <row r="524" spans="2:9">
      <c r="B524" s="1317" t="str">
        <f>B258</f>
        <v>кл. брус</v>
      </c>
      <c r="C524" s="1318"/>
      <c r="D524" s="671" t="str">
        <f>C258</f>
        <v>250х200</v>
      </c>
      <c r="E524" s="672">
        <f>K258</f>
        <v>35</v>
      </c>
      <c r="F524" s="672">
        <f>L258</f>
        <v>19</v>
      </c>
      <c r="G524" s="673"/>
      <c r="H524" s="674">
        <f>'Данные Брус'!F298</f>
        <v>90000</v>
      </c>
      <c r="I524" s="674">
        <f>'Данные Брус'!G298</f>
        <v>80000</v>
      </c>
    </row>
    <row r="525" spans="2:9">
      <c r="B525" s="1317" t="s">
        <v>385</v>
      </c>
      <c r="C525" s="1319"/>
      <c r="D525" s="675">
        <v>400</v>
      </c>
      <c r="E525" s="676">
        <f>D258-E524</f>
        <v>60.353947086607079</v>
      </c>
      <c r="F525" s="673" t="str">
        <f>IF(E525&gt;0,"1","0")</f>
        <v>1</v>
      </c>
      <c r="G525" s="673" t="str">
        <f>IF(C536&lt;F524,"1","0")</f>
        <v>0</v>
      </c>
      <c r="H525" s="677">
        <f>G532+G529*G530+G531</f>
        <v>3</v>
      </c>
      <c r="I525" s="677">
        <f>G525*G526+J535+G527</f>
        <v>0</v>
      </c>
    </row>
    <row r="526" spans="2:9">
      <c r="B526" s="678"/>
      <c r="C526" s="673"/>
      <c r="D526" s="673"/>
      <c r="E526" s="679">
        <f>E525-E524</f>
        <v>25.353947086607079</v>
      </c>
      <c r="F526" s="673" t="str">
        <f t="shared" ref="F526:F535" si="35">IF(E526&gt;0,"1","0")</f>
        <v>1</v>
      </c>
      <c r="G526" s="673" t="str">
        <f>IF(C536&gt;0,"1","0")</f>
        <v>1</v>
      </c>
      <c r="H526" s="673"/>
      <c r="I526" s="680"/>
    </row>
    <row r="527" spans="2:9">
      <c r="B527" s="678"/>
      <c r="C527" s="673"/>
      <c r="D527" s="673"/>
      <c r="E527" s="679">
        <f>E526-E524</f>
        <v>-9.6460529133929214</v>
      </c>
      <c r="F527" s="673" t="str">
        <f t="shared" si="35"/>
        <v>0</v>
      </c>
      <c r="G527" s="673" t="str">
        <f>IF(C536=F524,"1","0")</f>
        <v>0</v>
      </c>
      <c r="H527" s="673"/>
      <c r="I527" s="680"/>
    </row>
    <row r="528" spans="2:9">
      <c r="B528" s="678"/>
      <c r="C528" s="673"/>
      <c r="D528" s="673"/>
      <c r="E528" s="679">
        <f>E527-E524</f>
        <v>-44.646052913392921</v>
      </c>
      <c r="F528" s="673" t="str">
        <f t="shared" si="35"/>
        <v>0</v>
      </c>
      <c r="G528" s="673"/>
      <c r="H528" s="673"/>
      <c r="I528" s="680"/>
    </row>
    <row r="529" spans="2:9">
      <c r="B529" s="678"/>
      <c r="C529" s="673"/>
      <c r="D529" s="673"/>
      <c r="E529" s="679">
        <f>E528-E524</f>
        <v>-79.646052913392921</v>
      </c>
      <c r="F529" s="673" t="str">
        <f t="shared" si="35"/>
        <v>0</v>
      </c>
      <c r="G529" s="673" t="str">
        <f>IF(C536&gt;F524,"1","0")</f>
        <v>1</v>
      </c>
      <c r="H529" s="673"/>
      <c r="I529" s="680"/>
    </row>
    <row r="530" spans="2:9">
      <c r="B530" s="678"/>
      <c r="C530" s="673"/>
      <c r="D530" s="673"/>
      <c r="E530" s="679">
        <f>E529-E524</f>
        <v>-114.64605291339292</v>
      </c>
      <c r="F530" s="673" t="str">
        <f t="shared" si="35"/>
        <v>0</v>
      </c>
      <c r="G530" s="673" t="str">
        <f>IF(C536&lt;E524,"1","0")</f>
        <v>1</v>
      </c>
      <c r="H530" s="673"/>
      <c r="I530" s="680"/>
    </row>
    <row r="531" spans="2:9">
      <c r="B531" s="678"/>
      <c r="C531" s="673"/>
      <c r="D531" s="673"/>
      <c r="E531" s="679">
        <f>E530-E524</f>
        <v>-149.64605291339291</v>
      </c>
      <c r="F531" s="673" t="str">
        <f t="shared" si="35"/>
        <v>0</v>
      </c>
      <c r="G531" s="673" t="str">
        <f>IF(C536=E524,"1","0")</f>
        <v>0</v>
      </c>
      <c r="H531" s="673"/>
      <c r="I531" s="680"/>
    </row>
    <row r="532" spans="2:9">
      <c r="B532" s="678"/>
      <c r="C532" s="673"/>
      <c r="D532" s="673"/>
      <c r="E532" s="679">
        <f>E531-E524</f>
        <v>-184.64605291339291</v>
      </c>
      <c r="F532" s="673" t="str">
        <f t="shared" si="35"/>
        <v>0</v>
      </c>
      <c r="G532" s="681">
        <f>G536</f>
        <v>2</v>
      </c>
      <c r="H532" s="673"/>
      <c r="I532" s="680"/>
    </row>
    <row r="533" spans="2:9">
      <c r="B533" s="678"/>
      <c r="C533" s="673"/>
      <c r="D533" s="673"/>
      <c r="E533" s="679">
        <f>E532-E524</f>
        <v>-219.64605291339291</v>
      </c>
      <c r="F533" s="673" t="str">
        <f t="shared" si="35"/>
        <v>0</v>
      </c>
      <c r="G533" s="673"/>
      <c r="H533" s="673"/>
      <c r="I533" s="680"/>
    </row>
    <row r="534" spans="2:9">
      <c r="B534" s="678"/>
      <c r="C534" s="673"/>
      <c r="D534" s="673"/>
      <c r="E534" s="679">
        <f>E533-E524</f>
        <v>-254.64605291339291</v>
      </c>
      <c r="F534" s="673" t="str">
        <f t="shared" si="35"/>
        <v>0</v>
      </c>
      <c r="G534" s="673"/>
      <c r="H534" s="673"/>
      <c r="I534" s="680"/>
    </row>
    <row r="535" spans="2:9">
      <c r="B535" s="678"/>
      <c r="C535" s="673"/>
      <c r="D535" s="673"/>
      <c r="E535" s="679">
        <f>E534-E524</f>
        <v>-289.64605291339291</v>
      </c>
      <c r="F535" s="673" t="str">
        <f t="shared" si="35"/>
        <v>0</v>
      </c>
      <c r="G535" s="673"/>
      <c r="H535" s="673"/>
      <c r="I535" s="680"/>
    </row>
    <row r="536" spans="2:9">
      <c r="B536" s="682"/>
      <c r="C536" s="683">
        <f>D536*E524</f>
        <v>25.353947086607079</v>
      </c>
      <c r="D536" s="683">
        <f>E536-G536</f>
        <v>0.72439848818877373</v>
      </c>
      <c r="E536" s="684">
        <f>D258/E524</f>
        <v>2.7243984881887737</v>
      </c>
      <c r="F536" s="683"/>
      <c r="G536" s="683">
        <f>F525+F526+F527+F528+F529+F530+F531+F532+F533+F534+F535</f>
        <v>2</v>
      </c>
      <c r="H536" s="683"/>
      <c r="I536" s="685"/>
    </row>
    <row r="537" spans="2:9">
      <c r="B537" s="667"/>
      <c r="C537" s="668" t="s">
        <v>381</v>
      </c>
      <c r="D537" s="669"/>
      <c r="E537" s="669"/>
      <c r="F537" s="669"/>
      <c r="G537" s="669" t="s">
        <v>382</v>
      </c>
      <c r="H537" s="669" t="s">
        <v>383</v>
      </c>
      <c r="I537" s="670" t="s">
        <v>384</v>
      </c>
    </row>
    <row r="538" spans="2:9">
      <c r="B538" s="1317" t="str">
        <f>B259</f>
        <v>кл. брус</v>
      </c>
      <c r="C538" s="1318"/>
      <c r="D538" s="671" t="str">
        <f>C259</f>
        <v>280х200</v>
      </c>
      <c r="E538" s="672">
        <f>K259</f>
        <v>35</v>
      </c>
      <c r="F538" s="672">
        <f>L259</f>
        <v>19</v>
      </c>
      <c r="G538" s="673"/>
      <c r="H538" s="674">
        <f>'Данные Брус'!F299</f>
        <v>90000</v>
      </c>
      <c r="I538" s="674">
        <f>'Данные Брус'!G299</f>
        <v>80000</v>
      </c>
    </row>
    <row r="539" spans="2:9">
      <c r="B539" s="1317" t="s">
        <v>385</v>
      </c>
      <c r="C539" s="1319"/>
      <c r="D539" s="675">
        <v>400</v>
      </c>
      <c r="E539" s="676">
        <f>D259-E538</f>
        <v>63.58131144953839</v>
      </c>
      <c r="F539" s="673" t="str">
        <f>IF(E539&gt;0,"1","0")</f>
        <v>1</v>
      </c>
      <c r="G539" s="673" t="str">
        <f>IF(C550&lt;F538,"1","0")</f>
        <v>0</v>
      </c>
      <c r="H539" s="677">
        <f>G546+G543*G544+G545</f>
        <v>3</v>
      </c>
      <c r="I539" s="677">
        <f>G539*G540+J549+G541</f>
        <v>0</v>
      </c>
    </row>
    <row r="540" spans="2:9">
      <c r="B540" s="678"/>
      <c r="C540" s="673"/>
      <c r="D540" s="673"/>
      <c r="E540" s="679">
        <f>E539-E538</f>
        <v>28.58131144953839</v>
      </c>
      <c r="F540" s="673" t="str">
        <f t="shared" ref="F540:F549" si="36">IF(E540&gt;0,"1","0")</f>
        <v>1</v>
      </c>
      <c r="G540" s="673" t="str">
        <f>IF(C550&gt;0,"1","0")</f>
        <v>1</v>
      </c>
      <c r="H540" s="673"/>
      <c r="I540" s="680"/>
    </row>
    <row r="541" spans="2:9">
      <c r="B541" s="678"/>
      <c r="C541" s="673"/>
      <c r="D541" s="673"/>
      <c r="E541" s="679">
        <f>E540-E538</f>
        <v>-6.41868855046161</v>
      </c>
      <c r="F541" s="673" t="str">
        <f t="shared" si="36"/>
        <v>0</v>
      </c>
      <c r="G541" s="673" t="str">
        <f>IF(C550=F538,"1","0")</f>
        <v>0</v>
      </c>
      <c r="H541" s="673"/>
      <c r="I541" s="680"/>
    </row>
    <row r="542" spans="2:9">
      <c r="B542" s="678"/>
      <c r="C542" s="673"/>
      <c r="D542" s="673"/>
      <c r="E542" s="679">
        <f>E541-E538</f>
        <v>-41.41868855046161</v>
      </c>
      <c r="F542" s="673" t="str">
        <f t="shared" si="36"/>
        <v>0</v>
      </c>
      <c r="G542" s="673"/>
      <c r="H542" s="673"/>
      <c r="I542" s="680"/>
    </row>
    <row r="543" spans="2:9">
      <c r="B543" s="678"/>
      <c r="C543" s="673"/>
      <c r="D543" s="673"/>
      <c r="E543" s="679">
        <f>E542-E538</f>
        <v>-76.41868855046161</v>
      </c>
      <c r="F543" s="673" t="str">
        <f t="shared" si="36"/>
        <v>0</v>
      </c>
      <c r="G543" s="673" t="str">
        <f>IF(C550&gt;F538,"1","0")</f>
        <v>1</v>
      </c>
      <c r="H543" s="673"/>
      <c r="I543" s="680"/>
    </row>
    <row r="544" spans="2:9">
      <c r="B544" s="678"/>
      <c r="C544" s="673"/>
      <c r="D544" s="673"/>
      <c r="E544" s="679">
        <f>E543-E538</f>
        <v>-111.41868855046161</v>
      </c>
      <c r="F544" s="673" t="str">
        <f t="shared" si="36"/>
        <v>0</v>
      </c>
      <c r="G544" s="673" t="str">
        <f>IF(C550&lt;E538,"1","0")</f>
        <v>1</v>
      </c>
      <c r="H544" s="673"/>
      <c r="I544" s="680"/>
    </row>
    <row r="545" spans="2:9">
      <c r="B545" s="678"/>
      <c r="C545" s="673"/>
      <c r="D545" s="673"/>
      <c r="E545" s="679">
        <f>E544-E538</f>
        <v>-146.41868855046161</v>
      </c>
      <c r="F545" s="673" t="str">
        <f t="shared" si="36"/>
        <v>0</v>
      </c>
      <c r="G545" s="673" t="str">
        <f>IF(C550=E538,"1","0")</f>
        <v>0</v>
      </c>
      <c r="H545" s="673"/>
      <c r="I545" s="680"/>
    </row>
    <row r="546" spans="2:9">
      <c r="B546" s="678"/>
      <c r="C546" s="673"/>
      <c r="D546" s="673"/>
      <c r="E546" s="679">
        <f>E545-E538</f>
        <v>-181.41868855046161</v>
      </c>
      <c r="F546" s="673" t="str">
        <f t="shared" si="36"/>
        <v>0</v>
      </c>
      <c r="G546" s="681">
        <f>G550</f>
        <v>2</v>
      </c>
      <c r="H546" s="673"/>
      <c r="I546" s="680"/>
    </row>
    <row r="547" spans="2:9">
      <c r="B547" s="678"/>
      <c r="C547" s="673"/>
      <c r="D547" s="673"/>
      <c r="E547" s="679">
        <f>E546-E538</f>
        <v>-216.41868855046161</v>
      </c>
      <c r="F547" s="673" t="str">
        <f t="shared" si="36"/>
        <v>0</v>
      </c>
      <c r="G547" s="673"/>
      <c r="H547" s="673"/>
      <c r="I547" s="680"/>
    </row>
    <row r="548" spans="2:9">
      <c r="B548" s="678"/>
      <c r="C548" s="673"/>
      <c r="D548" s="673"/>
      <c r="E548" s="679">
        <f>E547-E538</f>
        <v>-251.41868855046161</v>
      </c>
      <c r="F548" s="673" t="str">
        <f t="shared" si="36"/>
        <v>0</v>
      </c>
      <c r="G548" s="673"/>
      <c r="H548" s="673"/>
      <c r="I548" s="680"/>
    </row>
    <row r="549" spans="2:9">
      <c r="B549" s="678"/>
      <c r="C549" s="673"/>
      <c r="D549" s="673"/>
      <c r="E549" s="679">
        <f>E548-E538</f>
        <v>-286.41868855046164</v>
      </c>
      <c r="F549" s="673" t="str">
        <f t="shared" si="36"/>
        <v>0</v>
      </c>
      <c r="G549" s="673"/>
      <c r="H549" s="673"/>
      <c r="I549" s="680"/>
    </row>
    <row r="550" spans="2:9">
      <c r="B550" s="682"/>
      <c r="C550" s="683">
        <f>D550*E538</f>
        <v>28.581311449538394</v>
      </c>
      <c r="D550" s="683">
        <f>E550-G550</f>
        <v>0.81660889855823982</v>
      </c>
      <c r="E550" s="684">
        <f>D259/E538</f>
        <v>2.8166088985582398</v>
      </c>
      <c r="F550" s="683"/>
      <c r="G550" s="683">
        <f>F539+F540+F541+F542+F543+F544+F545+F546+F547+F548+F549</f>
        <v>2</v>
      </c>
      <c r="H550" s="683"/>
      <c r="I550" s="685"/>
    </row>
    <row r="551" spans="2:9">
      <c r="B551" s="667"/>
      <c r="C551" s="668" t="s">
        <v>381</v>
      </c>
      <c r="D551" s="669"/>
      <c r="E551" s="669"/>
      <c r="F551" s="669"/>
      <c r="G551" s="669" t="s">
        <v>382</v>
      </c>
      <c r="H551" s="669" t="s">
        <v>383</v>
      </c>
      <c r="I551" s="670" t="s">
        <v>384</v>
      </c>
    </row>
    <row r="552" spans="2:9">
      <c r="B552" s="1317" t="str">
        <f>B232</f>
        <v>ест. Влаж. Листва</v>
      </c>
      <c r="C552" s="1318"/>
      <c r="D552" s="671" t="str">
        <f>C232</f>
        <v>145х140</v>
      </c>
      <c r="E552" s="672">
        <f>K232</f>
        <v>26</v>
      </c>
      <c r="F552" s="672">
        <f>L232</f>
        <v>14</v>
      </c>
      <c r="G552" s="673"/>
      <c r="H552" s="674">
        <f>'Данные Брус'!F272</f>
        <v>150000</v>
      </c>
      <c r="I552" s="674">
        <f>'Данные Брус'!G272</f>
        <v>130000</v>
      </c>
    </row>
    <row r="553" spans="2:9">
      <c r="B553" s="1317" t="s">
        <v>385</v>
      </c>
      <c r="C553" s="1319"/>
      <c r="D553" s="675">
        <v>400</v>
      </c>
      <c r="E553" s="676">
        <f>D232-E552</f>
        <v>41.78</v>
      </c>
      <c r="F553" s="673" t="str">
        <f>IF(E553&gt;0,"1","0")</f>
        <v>1</v>
      </c>
      <c r="G553" s="673" t="str">
        <f>IF(C564&lt;F552,"1","0")</f>
        <v>0</v>
      </c>
      <c r="H553" s="677">
        <f>G560+G557*G558+G559</f>
        <v>3</v>
      </c>
      <c r="I553" s="677">
        <f>G553*G554+J563+G555</f>
        <v>0</v>
      </c>
    </row>
    <row r="554" spans="2:9">
      <c r="B554" s="678"/>
      <c r="C554" s="673"/>
      <c r="D554" s="673"/>
      <c r="E554" s="679">
        <f>E553-E552</f>
        <v>15.780000000000001</v>
      </c>
      <c r="F554" s="673" t="str">
        <f t="shared" ref="F554:F563" si="37">IF(E554&gt;0,"1","0")</f>
        <v>1</v>
      </c>
      <c r="G554" s="673" t="str">
        <f>IF(C564&gt;0,"1","0")</f>
        <v>1</v>
      </c>
      <c r="H554" s="673"/>
      <c r="I554" s="680"/>
    </row>
    <row r="555" spans="2:9">
      <c r="B555" s="678"/>
      <c r="C555" s="673"/>
      <c r="D555" s="673"/>
      <c r="E555" s="679">
        <f>E554-E552</f>
        <v>-10.219999999999999</v>
      </c>
      <c r="F555" s="673" t="str">
        <f t="shared" si="37"/>
        <v>0</v>
      </c>
      <c r="G555" s="673" t="str">
        <f>IF(C564=F552,"1","0")</f>
        <v>0</v>
      </c>
      <c r="H555" s="673"/>
      <c r="I555" s="680"/>
    </row>
    <row r="556" spans="2:9">
      <c r="B556" s="678"/>
      <c r="C556" s="673"/>
      <c r="D556" s="673"/>
      <c r="E556" s="679">
        <f>E555-E552</f>
        <v>-36.22</v>
      </c>
      <c r="F556" s="673" t="str">
        <f t="shared" si="37"/>
        <v>0</v>
      </c>
      <c r="G556" s="673"/>
      <c r="H556" s="673"/>
      <c r="I556" s="680"/>
    </row>
    <row r="557" spans="2:9">
      <c r="B557" s="678"/>
      <c r="C557" s="673"/>
      <c r="D557" s="673"/>
      <c r="E557" s="679">
        <f>E556-E552</f>
        <v>-62.22</v>
      </c>
      <c r="F557" s="673" t="str">
        <f t="shared" si="37"/>
        <v>0</v>
      </c>
      <c r="G557" s="673" t="str">
        <f>IF(C564&gt;F552,"1","0")</f>
        <v>1</v>
      </c>
      <c r="H557" s="673"/>
      <c r="I557" s="680"/>
    </row>
    <row r="558" spans="2:9">
      <c r="B558" s="678"/>
      <c r="C558" s="673"/>
      <c r="D558" s="673"/>
      <c r="E558" s="679">
        <f>E557-E552</f>
        <v>-88.22</v>
      </c>
      <c r="F558" s="673" t="str">
        <f t="shared" si="37"/>
        <v>0</v>
      </c>
      <c r="G558" s="673" t="str">
        <f>IF(C564&lt;E552,"1","0")</f>
        <v>1</v>
      </c>
      <c r="H558" s="673"/>
      <c r="I558" s="680"/>
    </row>
    <row r="559" spans="2:9">
      <c r="B559" s="678"/>
      <c r="C559" s="673"/>
      <c r="D559" s="673"/>
      <c r="E559" s="679">
        <f>E558-E552</f>
        <v>-114.22</v>
      </c>
      <c r="F559" s="673" t="str">
        <f t="shared" si="37"/>
        <v>0</v>
      </c>
      <c r="G559" s="673" t="str">
        <f>IF(C564=E552,"1","0")</f>
        <v>0</v>
      </c>
      <c r="H559" s="673"/>
      <c r="I559" s="680"/>
    </row>
    <row r="560" spans="2:9">
      <c r="B560" s="678"/>
      <c r="C560" s="673"/>
      <c r="D560" s="673"/>
      <c r="E560" s="679">
        <f>E559-E552</f>
        <v>-140.22</v>
      </c>
      <c r="F560" s="673" t="str">
        <f t="shared" si="37"/>
        <v>0</v>
      </c>
      <c r="G560" s="681">
        <f>G564</f>
        <v>2</v>
      </c>
      <c r="H560" s="673"/>
      <c r="I560" s="680"/>
    </row>
    <row r="561" spans="2:9">
      <c r="B561" s="678"/>
      <c r="C561" s="673"/>
      <c r="D561" s="673"/>
      <c r="E561" s="679">
        <f>E560-E552</f>
        <v>-166.22</v>
      </c>
      <c r="F561" s="673" t="str">
        <f t="shared" si="37"/>
        <v>0</v>
      </c>
      <c r="G561" s="673"/>
      <c r="H561" s="673"/>
      <c r="I561" s="680"/>
    </row>
    <row r="562" spans="2:9">
      <c r="B562" s="678"/>
      <c r="C562" s="673"/>
      <c r="D562" s="673"/>
      <c r="E562" s="679">
        <f>E561-E552</f>
        <v>-192.22</v>
      </c>
      <c r="F562" s="673" t="str">
        <f t="shared" si="37"/>
        <v>0</v>
      </c>
      <c r="G562" s="673"/>
      <c r="H562" s="673"/>
      <c r="I562" s="680"/>
    </row>
    <row r="563" spans="2:9">
      <c r="B563" s="678"/>
      <c r="C563" s="673"/>
      <c r="D563" s="673"/>
      <c r="E563" s="679">
        <f>E562-E552</f>
        <v>-218.22</v>
      </c>
      <c r="F563" s="673" t="str">
        <f t="shared" si="37"/>
        <v>0</v>
      </c>
      <c r="G563" s="673"/>
      <c r="H563" s="673"/>
      <c r="I563" s="680"/>
    </row>
    <row r="564" spans="2:9">
      <c r="B564" s="682"/>
      <c r="C564" s="683">
        <f>D564*E552</f>
        <v>15.78</v>
      </c>
      <c r="D564" s="683">
        <f>E564-G564</f>
        <v>0.6069230769230769</v>
      </c>
      <c r="E564" s="684">
        <f>D232/E552</f>
        <v>2.6069230769230769</v>
      </c>
      <c r="F564" s="683"/>
      <c r="G564" s="683">
        <f>F553+F554+F555+F556+F557+F558+F559+F560+F561+F562+F563</f>
        <v>2</v>
      </c>
      <c r="H564" s="683"/>
      <c r="I564" s="685"/>
    </row>
    <row r="565" spans="2:9">
      <c r="B565" s="667"/>
      <c r="C565" s="668" t="s">
        <v>381</v>
      </c>
      <c r="D565" s="669"/>
      <c r="E565" s="669"/>
      <c r="F565" s="669"/>
      <c r="G565" s="669" t="s">
        <v>382</v>
      </c>
      <c r="H565" s="669" t="s">
        <v>383</v>
      </c>
      <c r="I565" s="670" t="s">
        <v>384</v>
      </c>
    </row>
    <row r="566" spans="2:9">
      <c r="B566" s="1317" t="str">
        <f>B233</f>
        <v>ест. Влаж. Листва</v>
      </c>
      <c r="C566" s="1318"/>
      <c r="D566" s="671" t="str">
        <f>C233</f>
        <v>145х190</v>
      </c>
      <c r="E566" s="672">
        <f>K233</f>
        <v>26</v>
      </c>
      <c r="F566" s="672">
        <f>L233</f>
        <v>14</v>
      </c>
      <c r="G566" s="673"/>
      <c r="H566" s="674">
        <f>'Данные Брус'!F273</f>
        <v>150000</v>
      </c>
      <c r="I566" s="674">
        <f>'Данные Брус'!G273</f>
        <v>130000</v>
      </c>
    </row>
    <row r="567" spans="2:9">
      <c r="B567" s="1317" t="s">
        <v>385</v>
      </c>
      <c r="C567" s="1319"/>
      <c r="D567" s="675">
        <v>400</v>
      </c>
      <c r="E567" s="676">
        <f>D233-E566</f>
        <v>65.987142857142842</v>
      </c>
      <c r="F567" s="673" t="str">
        <f>IF(E567&gt;0,"1","0")</f>
        <v>1</v>
      </c>
      <c r="G567" s="673" t="str">
        <f>IF(C578&lt;F566,"1","0")</f>
        <v>1</v>
      </c>
      <c r="H567" s="677">
        <f>G574+G571*G572+G573</f>
        <v>3</v>
      </c>
      <c r="I567" s="677">
        <f>G567*G568+J577+G569</f>
        <v>1</v>
      </c>
    </row>
    <row r="568" spans="2:9">
      <c r="B568" s="678"/>
      <c r="C568" s="673"/>
      <c r="D568" s="673"/>
      <c r="E568" s="679">
        <f>E567-E566</f>
        <v>39.987142857142842</v>
      </c>
      <c r="F568" s="673" t="str">
        <f t="shared" ref="F568:F577" si="38">IF(E568&gt;0,"1","0")</f>
        <v>1</v>
      </c>
      <c r="G568" s="673" t="str">
        <f>IF(C578&gt;0,"1","0")</f>
        <v>1</v>
      </c>
      <c r="H568" s="673"/>
      <c r="I568" s="680"/>
    </row>
    <row r="569" spans="2:9">
      <c r="B569" s="678"/>
      <c r="C569" s="673"/>
      <c r="D569" s="673"/>
      <c r="E569" s="679">
        <f>E568-E566</f>
        <v>13.987142857142842</v>
      </c>
      <c r="F569" s="673" t="str">
        <f t="shared" si="38"/>
        <v>1</v>
      </c>
      <c r="G569" s="673" t="str">
        <f>IF(C578=F566,"1","0")</f>
        <v>0</v>
      </c>
      <c r="H569" s="673"/>
      <c r="I569" s="680"/>
    </row>
    <row r="570" spans="2:9">
      <c r="B570" s="678"/>
      <c r="C570" s="673"/>
      <c r="D570" s="673"/>
      <c r="E570" s="679">
        <f>E569-E566</f>
        <v>-12.012857142857158</v>
      </c>
      <c r="F570" s="673" t="str">
        <f t="shared" si="38"/>
        <v>0</v>
      </c>
      <c r="G570" s="673"/>
      <c r="H570" s="673"/>
      <c r="I570" s="680"/>
    </row>
    <row r="571" spans="2:9">
      <c r="B571" s="678"/>
      <c r="C571" s="673"/>
      <c r="D571" s="673"/>
      <c r="E571" s="679">
        <f>E570-E566</f>
        <v>-38.012857142857158</v>
      </c>
      <c r="F571" s="673" t="str">
        <f t="shared" si="38"/>
        <v>0</v>
      </c>
      <c r="G571" s="673" t="str">
        <f>IF(C578&gt;F566,"1","0")</f>
        <v>0</v>
      </c>
      <c r="H571" s="673"/>
      <c r="I571" s="680"/>
    </row>
    <row r="572" spans="2:9">
      <c r="B572" s="678"/>
      <c r="C572" s="673"/>
      <c r="D572" s="673"/>
      <c r="E572" s="679">
        <f>E571-E566</f>
        <v>-64.012857142857158</v>
      </c>
      <c r="F572" s="673" t="str">
        <f t="shared" si="38"/>
        <v>0</v>
      </c>
      <c r="G572" s="673" t="str">
        <f>IF(C578&lt;E566,"1","0")</f>
        <v>1</v>
      </c>
      <c r="H572" s="673"/>
      <c r="I572" s="680"/>
    </row>
    <row r="573" spans="2:9">
      <c r="B573" s="678"/>
      <c r="C573" s="673"/>
      <c r="D573" s="673"/>
      <c r="E573" s="679">
        <f>E572-E566</f>
        <v>-90.012857142857158</v>
      </c>
      <c r="F573" s="673" t="str">
        <f t="shared" si="38"/>
        <v>0</v>
      </c>
      <c r="G573" s="673" t="str">
        <f>IF(C578=E566,"1","0")</f>
        <v>0</v>
      </c>
      <c r="H573" s="673"/>
      <c r="I573" s="680"/>
    </row>
    <row r="574" spans="2:9">
      <c r="B574" s="678"/>
      <c r="C574" s="673"/>
      <c r="D574" s="673"/>
      <c r="E574" s="679">
        <f>E573-E566</f>
        <v>-116.01285714285716</v>
      </c>
      <c r="F574" s="673" t="str">
        <f t="shared" si="38"/>
        <v>0</v>
      </c>
      <c r="G574" s="681">
        <f>G578</f>
        <v>3</v>
      </c>
      <c r="H574" s="673"/>
      <c r="I574" s="680"/>
    </row>
    <row r="575" spans="2:9">
      <c r="B575" s="678"/>
      <c r="C575" s="673"/>
      <c r="D575" s="673"/>
      <c r="E575" s="679">
        <f>E574-E566</f>
        <v>-142.01285714285717</v>
      </c>
      <c r="F575" s="673" t="str">
        <f t="shared" si="38"/>
        <v>0</v>
      </c>
      <c r="G575" s="673"/>
      <c r="H575" s="673"/>
      <c r="I575" s="680"/>
    </row>
    <row r="576" spans="2:9">
      <c r="B576" s="678"/>
      <c r="C576" s="673"/>
      <c r="D576" s="673"/>
      <c r="E576" s="679">
        <f>E575-E566</f>
        <v>-168.01285714285717</v>
      </c>
      <c r="F576" s="673" t="str">
        <f t="shared" si="38"/>
        <v>0</v>
      </c>
      <c r="G576" s="673"/>
      <c r="H576" s="673"/>
      <c r="I576" s="680"/>
    </row>
    <row r="577" spans="2:9">
      <c r="B577" s="678"/>
      <c r="C577" s="673"/>
      <c r="D577" s="673"/>
      <c r="E577" s="679">
        <f>E576-E566</f>
        <v>-194.01285714285717</v>
      </c>
      <c r="F577" s="673" t="str">
        <f t="shared" si="38"/>
        <v>0</v>
      </c>
      <c r="G577" s="673"/>
      <c r="H577" s="673"/>
      <c r="I577" s="680"/>
    </row>
    <row r="578" spans="2:9">
      <c r="B578" s="682"/>
      <c r="C578" s="683">
        <f>D578*E566</f>
        <v>13.987142857142839</v>
      </c>
      <c r="D578" s="683">
        <f>E578-G578</f>
        <v>0.5379670329670323</v>
      </c>
      <c r="E578" s="684">
        <f>D233/E566</f>
        <v>3.5379670329670323</v>
      </c>
      <c r="F578" s="683"/>
      <c r="G578" s="683">
        <f>F567+F568+F569+F570+F571+F572+F573+F574+F575+F576+F577</f>
        <v>3</v>
      </c>
      <c r="H578" s="683"/>
      <c r="I578" s="685"/>
    </row>
    <row r="579" spans="2:9">
      <c r="B579" s="667"/>
      <c r="C579" s="668" t="s">
        <v>381</v>
      </c>
      <c r="D579" s="669"/>
      <c r="E579" s="669"/>
      <c r="F579" s="669"/>
      <c r="G579" s="669" t="s">
        <v>382</v>
      </c>
      <c r="H579" s="669" t="s">
        <v>383</v>
      </c>
      <c r="I579" s="670" t="s">
        <v>384</v>
      </c>
    </row>
    <row r="580" spans="2:9">
      <c r="B580" s="1317" t="str">
        <f>B234</f>
        <v>ест. Влаж. Листва</v>
      </c>
      <c r="C580" s="1318"/>
      <c r="D580" s="671" t="str">
        <f>C234</f>
        <v>195х190</v>
      </c>
      <c r="E580" s="672">
        <f>K234</f>
        <v>26</v>
      </c>
      <c r="F580" s="672">
        <f>L234</f>
        <v>14</v>
      </c>
      <c r="G580" s="673"/>
      <c r="H580" s="674">
        <f>'Данные Брус'!F274</f>
        <v>150000</v>
      </c>
      <c r="I580" s="674">
        <f>'Данные Брус'!G274</f>
        <v>130000</v>
      </c>
    </row>
    <row r="581" spans="2:9">
      <c r="B581" s="1317" t="s">
        <v>385</v>
      </c>
      <c r="C581" s="1319"/>
      <c r="D581" s="675">
        <v>400</v>
      </c>
      <c r="E581" s="676">
        <f>D234-E580</f>
        <v>65.435495823516817</v>
      </c>
      <c r="F581" s="673" t="str">
        <f>IF(E581&gt;0,"1","0")</f>
        <v>1</v>
      </c>
      <c r="G581" s="673" t="str">
        <f>IF(C592&lt;F580,"1","0")</f>
        <v>1</v>
      </c>
      <c r="H581" s="677">
        <f>G588+G585*G586+G587</f>
        <v>3</v>
      </c>
      <c r="I581" s="677">
        <f>G581*G582+J591+G583</f>
        <v>1</v>
      </c>
    </row>
    <row r="582" spans="2:9">
      <c r="B582" s="678"/>
      <c r="C582" s="673"/>
      <c r="D582" s="673"/>
      <c r="E582" s="679">
        <f>E581-E580</f>
        <v>39.435495823516817</v>
      </c>
      <c r="F582" s="673" t="str">
        <f t="shared" ref="F582:F591" si="39">IF(E582&gt;0,"1","0")</f>
        <v>1</v>
      </c>
      <c r="G582" s="673" t="str">
        <f>IF(C592&gt;0,"1","0")</f>
        <v>1</v>
      </c>
      <c r="H582" s="673"/>
      <c r="I582" s="680"/>
    </row>
    <row r="583" spans="2:9">
      <c r="B583" s="678"/>
      <c r="C583" s="673"/>
      <c r="D583" s="673"/>
      <c r="E583" s="679">
        <f>E582-E580</f>
        <v>13.435495823516817</v>
      </c>
      <c r="F583" s="673" t="str">
        <f t="shared" si="39"/>
        <v>1</v>
      </c>
      <c r="G583" s="673" t="str">
        <f>IF(C592=F580,"1","0")</f>
        <v>0</v>
      </c>
      <c r="H583" s="673"/>
      <c r="I583" s="680"/>
    </row>
    <row r="584" spans="2:9">
      <c r="B584" s="678"/>
      <c r="C584" s="673"/>
      <c r="D584" s="673"/>
      <c r="E584" s="679">
        <f>E583-E580</f>
        <v>-12.564504176483183</v>
      </c>
      <c r="F584" s="673" t="str">
        <f t="shared" si="39"/>
        <v>0</v>
      </c>
      <c r="G584" s="673"/>
      <c r="H584" s="673"/>
      <c r="I584" s="680"/>
    </row>
    <row r="585" spans="2:9">
      <c r="B585" s="678"/>
      <c r="C585" s="673"/>
      <c r="D585" s="673"/>
      <c r="E585" s="679">
        <f>E584-E580</f>
        <v>-38.564504176483183</v>
      </c>
      <c r="F585" s="673" t="str">
        <f t="shared" si="39"/>
        <v>0</v>
      </c>
      <c r="G585" s="673" t="str">
        <f>IF(C592&gt;F580,"1","0")</f>
        <v>0</v>
      </c>
      <c r="H585" s="673"/>
      <c r="I585" s="680"/>
    </row>
    <row r="586" spans="2:9">
      <c r="B586" s="678"/>
      <c r="C586" s="673"/>
      <c r="D586" s="673"/>
      <c r="E586" s="679">
        <f>E585-E580</f>
        <v>-64.564504176483183</v>
      </c>
      <c r="F586" s="673" t="str">
        <f t="shared" si="39"/>
        <v>0</v>
      </c>
      <c r="G586" s="673" t="str">
        <f>IF(C592&lt;E580,"1","0")</f>
        <v>1</v>
      </c>
      <c r="H586" s="673"/>
      <c r="I586" s="680"/>
    </row>
    <row r="587" spans="2:9">
      <c r="B587" s="678"/>
      <c r="C587" s="673"/>
      <c r="D587" s="673"/>
      <c r="E587" s="679">
        <f>E586-E580</f>
        <v>-90.564504176483183</v>
      </c>
      <c r="F587" s="673" t="str">
        <f t="shared" si="39"/>
        <v>0</v>
      </c>
      <c r="G587" s="673" t="str">
        <f>IF(C592=E580,"1","0")</f>
        <v>0</v>
      </c>
      <c r="H587" s="673"/>
      <c r="I587" s="680"/>
    </row>
    <row r="588" spans="2:9">
      <c r="B588" s="678"/>
      <c r="C588" s="673"/>
      <c r="D588" s="673"/>
      <c r="E588" s="679">
        <f>E587-E580</f>
        <v>-116.56450417648318</v>
      </c>
      <c r="F588" s="673" t="str">
        <f t="shared" si="39"/>
        <v>0</v>
      </c>
      <c r="G588" s="681">
        <f>G592</f>
        <v>3</v>
      </c>
      <c r="H588" s="673"/>
      <c r="I588" s="680"/>
    </row>
    <row r="589" spans="2:9">
      <c r="B589" s="678"/>
      <c r="C589" s="673"/>
      <c r="D589" s="673"/>
      <c r="E589" s="679">
        <f>E588-E580</f>
        <v>-142.56450417648318</v>
      </c>
      <c r="F589" s="673" t="str">
        <f t="shared" si="39"/>
        <v>0</v>
      </c>
      <c r="G589" s="673"/>
      <c r="H589" s="673"/>
      <c r="I589" s="680"/>
    </row>
    <row r="590" spans="2:9">
      <c r="B590" s="678"/>
      <c r="C590" s="673"/>
      <c r="D590" s="673"/>
      <c r="E590" s="679">
        <f>E589-E580</f>
        <v>-168.56450417648318</v>
      </c>
      <c r="F590" s="673" t="str">
        <f t="shared" si="39"/>
        <v>0</v>
      </c>
      <c r="G590" s="673"/>
      <c r="H590" s="673"/>
      <c r="I590" s="680"/>
    </row>
    <row r="591" spans="2:9">
      <c r="B591" s="678"/>
      <c r="C591" s="673"/>
      <c r="D591" s="673"/>
      <c r="E591" s="679">
        <f>E590-E580</f>
        <v>-194.56450417648318</v>
      </c>
      <c r="F591" s="673" t="str">
        <f t="shared" si="39"/>
        <v>0</v>
      </c>
      <c r="G591" s="673"/>
      <c r="H591" s="673"/>
      <c r="I591" s="680"/>
    </row>
    <row r="592" spans="2:9">
      <c r="B592" s="682"/>
      <c r="C592" s="683">
        <f>D592*E580</f>
        <v>13.435495823516813</v>
      </c>
      <c r="D592" s="683">
        <f>E592-G592</f>
        <v>0.51674983936603125</v>
      </c>
      <c r="E592" s="684">
        <f>D234/E580</f>
        <v>3.5167498393660312</v>
      </c>
      <c r="F592" s="683"/>
      <c r="G592" s="683">
        <f>F581+F582+F583+F584+F585+F586+F587+F588+F589+F590+F591</f>
        <v>3</v>
      </c>
      <c r="H592" s="683"/>
      <c r="I592" s="685"/>
    </row>
    <row r="593" spans="2:9">
      <c r="B593" s="667"/>
      <c r="C593" s="668" t="s">
        <v>381</v>
      </c>
      <c r="D593" s="669"/>
      <c r="E593" s="669"/>
      <c r="F593" s="669"/>
      <c r="G593" s="669" t="s">
        <v>382</v>
      </c>
      <c r="H593" s="669" t="s">
        <v>383</v>
      </c>
      <c r="I593" s="670" t="s">
        <v>384</v>
      </c>
    </row>
    <row r="594" spans="2:9">
      <c r="B594" s="1317" t="str">
        <f>B235</f>
        <v>ест влаж. кедр</v>
      </c>
      <c r="C594" s="1318"/>
      <c r="D594" s="671" t="str">
        <f>C235</f>
        <v>145х140</v>
      </c>
      <c r="E594" s="672">
        <f>K235</f>
        <v>33</v>
      </c>
      <c r="F594" s="672">
        <f>L235</f>
        <v>16</v>
      </c>
      <c r="G594" s="673"/>
      <c r="H594" s="674">
        <f>'Данные Брус'!F275</f>
        <v>150000</v>
      </c>
      <c r="I594" s="674">
        <f>'Данные Брус'!G275</f>
        <v>130000</v>
      </c>
    </row>
    <row r="595" spans="2:9">
      <c r="B595" s="1317" t="s">
        <v>385</v>
      </c>
      <c r="C595" s="1319"/>
      <c r="D595" s="675">
        <v>400</v>
      </c>
      <c r="E595" s="676">
        <f>D235-E594</f>
        <v>34.78</v>
      </c>
      <c r="F595" s="673" t="str">
        <f>IF(E595&gt;0,"1","0")</f>
        <v>1</v>
      </c>
      <c r="G595" s="673" t="str">
        <f>IF(C606&lt;F594,"1","0")</f>
        <v>1</v>
      </c>
      <c r="H595" s="677">
        <f>G602+G599*G600+G601</f>
        <v>2</v>
      </c>
      <c r="I595" s="677">
        <f>G595*G596+J605+G597</f>
        <v>1</v>
      </c>
    </row>
    <row r="596" spans="2:9">
      <c r="B596" s="678"/>
      <c r="C596" s="673"/>
      <c r="D596" s="673"/>
      <c r="E596" s="679">
        <f>E595-E594</f>
        <v>1.7800000000000011</v>
      </c>
      <c r="F596" s="673" t="str">
        <f t="shared" ref="F596:F605" si="40">IF(E596&gt;0,"1","0")</f>
        <v>1</v>
      </c>
      <c r="G596" s="673" t="str">
        <f>IF(C606&gt;0,"1","0")</f>
        <v>1</v>
      </c>
      <c r="H596" s="673"/>
      <c r="I596" s="680"/>
    </row>
    <row r="597" spans="2:9">
      <c r="B597" s="678"/>
      <c r="C597" s="673"/>
      <c r="D597" s="673"/>
      <c r="E597" s="679">
        <f>E596-E594</f>
        <v>-31.22</v>
      </c>
      <c r="F597" s="673" t="str">
        <f t="shared" si="40"/>
        <v>0</v>
      </c>
      <c r="G597" s="673" t="str">
        <f>IF(C606=F594,"1","0")</f>
        <v>0</v>
      </c>
      <c r="H597" s="673"/>
      <c r="I597" s="680"/>
    </row>
    <row r="598" spans="2:9">
      <c r="B598" s="678"/>
      <c r="C598" s="673"/>
      <c r="D598" s="673"/>
      <c r="E598" s="679">
        <f>E597-E594</f>
        <v>-64.22</v>
      </c>
      <c r="F598" s="673" t="str">
        <f t="shared" si="40"/>
        <v>0</v>
      </c>
      <c r="G598" s="673"/>
      <c r="H598" s="673"/>
      <c r="I598" s="680"/>
    </row>
    <row r="599" spans="2:9">
      <c r="B599" s="678"/>
      <c r="C599" s="673"/>
      <c r="D599" s="673"/>
      <c r="E599" s="679">
        <f>E598-E594</f>
        <v>-97.22</v>
      </c>
      <c r="F599" s="673" t="str">
        <f t="shared" si="40"/>
        <v>0</v>
      </c>
      <c r="G599" s="673" t="str">
        <f>IF(C606&gt;F594,"1","0")</f>
        <v>0</v>
      </c>
      <c r="H599" s="673"/>
      <c r="I599" s="680"/>
    </row>
    <row r="600" spans="2:9">
      <c r="B600" s="678"/>
      <c r="C600" s="673"/>
      <c r="D600" s="673"/>
      <c r="E600" s="679">
        <f>E599-E594</f>
        <v>-130.22</v>
      </c>
      <c r="F600" s="673" t="str">
        <f t="shared" si="40"/>
        <v>0</v>
      </c>
      <c r="G600" s="673" t="str">
        <f>IF(C606&lt;E594,"1","0")</f>
        <v>1</v>
      </c>
      <c r="H600" s="673"/>
      <c r="I600" s="680"/>
    </row>
    <row r="601" spans="2:9">
      <c r="B601" s="678"/>
      <c r="C601" s="673"/>
      <c r="D601" s="673"/>
      <c r="E601" s="679">
        <f>E600-E594</f>
        <v>-163.22</v>
      </c>
      <c r="F601" s="673" t="str">
        <f t="shared" si="40"/>
        <v>0</v>
      </c>
      <c r="G601" s="673" t="str">
        <f>IF(C606=E594,"1","0")</f>
        <v>0</v>
      </c>
      <c r="H601" s="673"/>
      <c r="I601" s="680"/>
    </row>
    <row r="602" spans="2:9">
      <c r="B602" s="678"/>
      <c r="C602" s="673"/>
      <c r="D602" s="673"/>
      <c r="E602" s="679">
        <f>E601-E594</f>
        <v>-196.22</v>
      </c>
      <c r="F602" s="673" t="str">
        <f t="shared" si="40"/>
        <v>0</v>
      </c>
      <c r="G602" s="681">
        <f>G606</f>
        <v>2</v>
      </c>
      <c r="H602" s="673"/>
      <c r="I602" s="680"/>
    </row>
    <row r="603" spans="2:9">
      <c r="B603" s="678"/>
      <c r="C603" s="673"/>
      <c r="D603" s="673"/>
      <c r="E603" s="679">
        <f>E602-E594</f>
        <v>-229.22</v>
      </c>
      <c r="F603" s="673" t="str">
        <f t="shared" si="40"/>
        <v>0</v>
      </c>
      <c r="G603" s="673"/>
      <c r="H603" s="673"/>
      <c r="I603" s="680"/>
    </row>
    <row r="604" spans="2:9">
      <c r="B604" s="678"/>
      <c r="C604" s="673"/>
      <c r="D604" s="673"/>
      <c r="E604" s="679">
        <f>E603-E594</f>
        <v>-262.22000000000003</v>
      </c>
      <c r="F604" s="673" t="str">
        <f t="shared" si="40"/>
        <v>0</v>
      </c>
      <c r="G604" s="673"/>
      <c r="H604" s="673"/>
      <c r="I604" s="680"/>
    </row>
    <row r="605" spans="2:9">
      <c r="B605" s="678"/>
      <c r="C605" s="673"/>
      <c r="D605" s="673"/>
      <c r="E605" s="679">
        <f>E604-E594</f>
        <v>-295.22000000000003</v>
      </c>
      <c r="F605" s="673" t="str">
        <f t="shared" si="40"/>
        <v>0</v>
      </c>
      <c r="G605" s="673"/>
      <c r="H605" s="673"/>
      <c r="I605" s="680"/>
    </row>
    <row r="606" spans="2:9">
      <c r="B606" s="682"/>
      <c r="C606" s="683">
        <f>D606*E594</f>
        <v>1.7800000000000078</v>
      </c>
      <c r="D606" s="683">
        <f>E606-G606</f>
        <v>5.3939393939394176E-2</v>
      </c>
      <c r="E606" s="684">
        <f>D235/E594</f>
        <v>2.0539393939393942</v>
      </c>
      <c r="F606" s="683"/>
      <c r="G606" s="683">
        <f>F595+F596+F597+F598+F599+F600+F601+F602+F603+F604+F605</f>
        <v>2</v>
      </c>
      <c r="H606" s="683"/>
      <c r="I606" s="685"/>
    </row>
    <row r="607" spans="2:9">
      <c r="B607" s="667"/>
      <c r="C607" s="668" t="s">
        <v>381</v>
      </c>
      <c r="D607" s="669"/>
      <c r="E607" s="669"/>
      <c r="F607" s="669"/>
      <c r="G607" s="669" t="s">
        <v>382</v>
      </c>
      <c r="H607" s="669" t="s">
        <v>383</v>
      </c>
      <c r="I607" s="670" t="s">
        <v>384</v>
      </c>
    </row>
    <row r="608" spans="2:9">
      <c r="B608" s="1317" t="str">
        <f>B236</f>
        <v>ест влаж. кедр</v>
      </c>
      <c r="C608" s="1318"/>
      <c r="D608" s="671" t="str">
        <f>C236</f>
        <v>145х190</v>
      </c>
      <c r="E608" s="672">
        <f>K236</f>
        <v>33</v>
      </c>
      <c r="F608" s="672">
        <f>L236</f>
        <v>16</v>
      </c>
      <c r="G608" s="673"/>
      <c r="H608" s="674">
        <f>'Данные Брус'!F276</f>
        <v>150000</v>
      </c>
      <c r="I608" s="674">
        <f>'Данные Брус'!G276</f>
        <v>130000</v>
      </c>
    </row>
    <row r="609" spans="2:9">
      <c r="B609" s="1317" t="s">
        <v>385</v>
      </c>
      <c r="C609" s="1319"/>
      <c r="D609" s="675">
        <v>400</v>
      </c>
      <c r="E609" s="676">
        <f>D236-E608</f>
        <v>58.987142857142842</v>
      </c>
      <c r="F609" s="673" t="str">
        <f>IF(E609&gt;0,"1","0")</f>
        <v>1</v>
      </c>
      <c r="G609" s="673" t="str">
        <f>IF(C620&lt;F608,"1","0")</f>
        <v>0</v>
      </c>
      <c r="H609" s="677">
        <f>G616+G613*G614+G615</f>
        <v>3</v>
      </c>
      <c r="I609" s="677">
        <f>G609*G610+J619+G611</f>
        <v>0</v>
      </c>
    </row>
    <row r="610" spans="2:9">
      <c r="B610" s="678"/>
      <c r="C610" s="673"/>
      <c r="D610" s="673"/>
      <c r="E610" s="679">
        <f>E609-E608</f>
        <v>25.987142857142842</v>
      </c>
      <c r="F610" s="673" t="str">
        <f t="shared" ref="F610:F619" si="41">IF(E610&gt;0,"1","0")</f>
        <v>1</v>
      </c>
      <c r="G610" s="673" t="str">
        <f>IF(C620&gt;0,"1","0")</f>
        <v>1</v>
      </c>
      <c r="H610" s="673"/>
      <c r="I610" s="680"/>
    </row>
    <row r="611" spans="2:9">
      <c r="B611" s="678"/>
      <c r="C611" s="673"/>
      <c r="D611" s="673"/>
      <c r="E611" s="679">
        <f>E610-E608</f>
        <v>-7.0128571428571576</v>
      </c>
      <c r="F611" s="673" t="str">
        <f t="shared" si="41"/>
        <v>0</v>
      </c>
      <c r="G611" s="673" t="str">
        <f>IF(C620=F608,"1","0")</f>
        <v>0</v>
      </c>
      <c r="H611" s="673"/>
      <c r="I611" s="680"/>
    </row>
    <row r="612" spans="2:9">
      <c r="B612" s="678"/>
      <c r="C612" s="673"/>
      <c r="D612" s="673"/>
      <c r="E612" s="679">
        <f>E611-E608</f>
        <v>-40.012857142857158</v>
      </c>
      <c r="F612" s="673" t="str">
        <f t="shared" si="41"/>
        <v>0</v>
      </c>
      <c r="G612" s="673"/>
      <c r="H612" s="673"/>
      <c r="I612" s="680"/>
    </row>
    <row r="613" spans="2:9">
      <c r="B613" s="678"/>
      <c r="C613" s="673"/>
      <c r="D613" s="673"/>
      <c r="E613" s="679">
        <f>E612-E608</f>
        <v>-73.012857142857158</v>
      </c>
      <c r="F613" s="673" t="str">
        <f t="shared" si="41"/>
        <v>0</v>
      </c>
      <c r="G613" s="673" t="str">
        <f>IF(C620&gt;F608,"1","0")</f>
        <v>1</v>
      </c>
      <c r="H613" s="673"/>
      <c r="I613" s="680"/>
    </row>
    <row r="614" spans="2:9">
      <c r="B614" s="678"/>
      <c r="C614" s="673"/>
      <c r="D614" s="673"/>
      <c r="E614" s="679">
        <f>E613-E608</f>
        <v>-106.01285714285716</v>
      </c>
      <c r="F614" s="673" t="str">
        <f t="shared" si="41"/>
        <v>0</v>
      </c>
      <c r="G614" s="673" t="str">
        <f>IF(C620&lt;E608,"1","0")</f>
        <v>1</v>
      </c>
      <c r="H614" s="673"/>
      <c r="I614" s="680"/>
    </row>
    <row r="615" spans="2:9">
      <c r="B615" s="678"/>
      <c r="C615" s="673"/>
      <c r="D615" s="673"/>
      <c r="E615" s="679">
        <f>E614-E608</f>
        <v>-139.01285714285717</v>
      </c>
      <c r="F615" s="673" t="str">
        <f t="shared" si="41"/>
        <v>0</v>
      </c>
      <c r="G615" s="673" t="str">
        <f>IF(C620=E608,"1","0")</f>
        <v>0</v>
      </c>
      <c r="H615" s="673"/>
      <c r="I615" s="680"/>
    </row>
    <row r="616" spans="2:9">
      <c r="B616" s="678"/>
      <c r="C616" s="673"/>
      <c r="D616" s="673"/>
      <c r="E616" s="679">
        <f>E615-E608</f>
        <v>-172.01285714285717</v>
      </c>
      <c r="F616" s="673" t="str">
        <f t="shared" si="41"/>
        <v>0</v>
      </c>
      <c r="G616" s="681">
        <f>G620</f>
        <v>2</v>
      </c>
      <c r="H616" s="673"/>
      <c r="I616" s="680"/>
    </row>
    <row r="617" spans="2:9">
      <c r="B617" s="678"/>
      <c r="C617" s="673"/>
      <c r="D617" s="673"/>
      <c r="E617" s="679">
        <f>E616-E608</f>
        <v>-205.01285714285717</v>
      </c>
      <c r="F617" s="673" t="str">
        <f t="shared" si="41"/>
        <v>0</v>
      </c>
      <c r="G617" s="673"/>
      <c r="H617" s="673"/>
      <c r="I617" s="680"/>
    </row>
    <row r="618" spans="2:9">
      <c r="B618" s="678"/>
      <c r="C618" s="673"/>
      <c r="D618" s="673"/>
      <c r="E618" s="679">
        <f>E617-E608</f>
        <v>-238.01285714285717</v>
      </c>
      <c r="F618" s="673" t="str">
        <f t="shared" si="41"/>
        <v>0</v>
      </c>
      <c r="G618" s="673"/>
      <c r="H618" s="673"/>
      <c r="I618" s="680"/>
    </row>
    <row r="619" spans="2:9">
      <c r="B619" s="678"/>
      <c r="C619" s="673"/>
      <c r="D619" s="673"/>
      <c r="E619" s="679">
        <f>E618-E608</f>
        <v>-271.01285714285717</v>
      </c>
      <c r="F619" s="673" t="str">
        <f t="shared" si="41"/>
        <v>0</v>
      </c>
      <c r="G619" s="673"/>
      <c r="H619" s="673"/>
      <c r="I619" s="680"/>
    </row>
    <row r="620" spans="2:9">
      <c r="B620" s="682"/>
      <c r="C620" s="683">
        <f>D620*E608</f>
        <v>25.987142857142842</v>
      </c>
      <c r="D620" s="683">
        <f>E620-G620</f>
        <v>0.78748917748917702</v>
      </c>
      <c r="E620" s="684">
        <f>D236/E608</f>
        <v>2.787489177489177</v>
      </c>
      <c r="F620" s="683"/>
      <c r="G620" s="683">
        <f>F609+F610+F611+F612+F613+F614+F615+F616+F617+F618+F619</f>
        <v>2</v>
      </c>
      <c r="H620" s="683"/>
      <c r="I620" s="685"/>
    </row>
    <row r="621" spans="2:9">
      <c r="B621" s="667"/>
      <c r="C621" s="668" t="s">
        <v>381</v>
      </c>
      <c r="D621" s="669"/>
      <c r="E621" s="669"/>
      <c r="F621" s="669"/>
      <c r="G621" s="669" t="s">
        <v>382</v>
      </c>
      <c r="H621" s="669" t="s">
        <v>383</v>
      </c>
      <c r="I621" s="670" t="s">
        <v>384</v>
      </c>
    </row>
    <row r="622" spans="2:9">
      <c r="B622" s="1317" t="str">
        <f>B237</f>
        <v>ест влаж. кедр</v>
      </c>
      <c r="C622" s="1318"/>
      <c r="D622" s="671" t="str">
        <f>C237</f>
        <v>195х190</v>
      </c>
      <c r="E622" s="672">
        <f>K237</f>
        <v>33</v>
      </c>
      <c r="F622" s="672">
        <f>L237</f>
        <v>16</v>
      </c>
      <c r="G622" s="673"/>
      <c r="H622" s="674">
        <f>'Данные Брус'!F277</f>
        <v>150000</v>
      </c>
      <c r="I622" s="674">
        <f>'Данные Брус'!G277</f>
        <v>130000</v>
      </c>
    </row>
    <row r="623" spans="2:9">
      <c r="B623" s="1317" t="s">
        <v>385</v>
      </c>
      <c r="C623" s="1319"/>
      <c r="D623" s="675">
        <v>400</v>
      </c>
      <c r="E623" s="676">
        <f>D237-E622</f>
        <v>58.435495823516817</v>
      </c>
      <c r="F623" s="673" t="str">
        <f>IF(E623&gt;0,"1","0")</f>
        <v>1</v>
      </c>
      <c r="G623" s="673" t="str">
        <f>IF(C634&lt;F622,"1","0")</f>
        <v>0</v>
      </c>
      <c r="H623" s="677">
        <f>G630+G627*G628+G629</f>
        <v>3</v>
      </c>
      <c r="I623" s="677">
        <f>G623*G624+J633+G625</f>
        <v>0</v>
      </c>
    </row>
    <row r="624" spans="2:9">
      <c r="B624" s="678"/>
      <c r="C624" s="673"/>
      <c r="D624" s="673"/>
      <c r="E624" s="679">
        <f>E623-E622</f>
        <v>25.435495823516817</v>
      </c>
      <c r="F624" s="673" t="str">
        <f t="shared" ref="F624:F633" si="42">IF(E624&gt;0,"1","0")</f>
        <v>1</v>
      </c>
      <c r="G624" s="673" t="str">
        <f>IF(C634&gt;0,"1","0")</f>
        <v>1</v>
      </c>
      <c r="H624" s="673"/>
      <c r="I624" s="680"/>
    </row>
    <row r="625" spans="2:9">
      <c r="B625" s="678"/>
      <c r="C625" s="673"/>
      <c r="D625" s="673"/>
      <c r="E625" s="679">
        <f>E624-E622</f>
        <v>-7.5645041764831831</v>
      </c>
      <c r="F625" s="673" t="str">
        <f t="shared" si="42"/>
        <v>0</v>
      </c>
      <c r="G625" s="673" t="str">
        <f>IF(C634=F622,"1","0")</f>
        <v>0</v>
      </c>
      <c r="H625" s="673"/>
      <c r="I625" s="680"/>
    </row>
    <row r="626" spans="2:9">
      <c r="B626" s="678"/>
      <c r="C626" s="673"/>
      <c r="D626" s="673"/>
      <c r="E626" s="679">
        <f>E625-E622</f>
        <v>-40.564504176483183</v>
      </c>
      <c r="F626" s="673" t="str">
        <f t="shared" si="42"/>
        <v>0</v>
      </c>
      <c r="G626" s="673"/>
      <c r="H626" s="673"/>
      <c r="I626" s="680"/>
    </row>
    <row r="627" spans="2:9">
      <c r="B627" s="678"/>
      <c r="C627" s="673"/>
      <c r="D627" s="673"/>
      <c r="E627" s="679">
        <f>E626-E622</f>
        <v>-73.564504176483183</v>
      </c>
      <c r="F627" s="673" t="str">
        <f t="shared" si="42"/>
        <v>0</v>
      </c>
      <c r="G627" s="673" t="str">
        <f>IF(C634&gt;F622,"1","0")</f>
        <v>1</v>
      </c>
      <c r="H627" s="673"/>
      <c r="I627" s="680"/>
    </row>
    <row r="628" spans="2:9">
      <c r="B628" s="678"/>
      <c r="C628" s="673"/>
      <c r="D628" s="673"/>
      <c r="E628" s="679">
        <f>E627-E622</f>
        <v>-106.56450417648318</v>
      </c>
      <c r="F628" s="673" t="str">
        <f t="shared" si="42"/>
        <v>0</v>
      </c>
      <c r="G628" s="673" t="str">
        <f>IF(C634&lt;E622,"1","0")</f>
        <v>1</v>
      </c>
      <c r="H628" s="673"/>
      <c r="I628" s="680"/>
    </row>
    <row r="629" spans="2:9">
      <c r="B629" s="678"/>
      <c r="C629" s="673"/>
      <c r="D629" s="673"/>
      <c r="E629" s="679">
        <f>E628-E622</f>
        <v>-139.56450417648318</v>
      </c>
      <c r="F629" s="673" t="str">
        <f t="shared" si="42"/>
        <v>0</v>
      </c>
      <c r="G629" s="673" t="str">
        <f>IF(C634=E622,"1","0")</f>
        <v>0</v>
      </c>
      <c r="H629" s="673"/>
      <c r="I629" s="680"/>
    </row>
    <row r="630" spans="2:9">
      <c r="B630" s="678"/>
      <c r="C630" s="673"/>
      <c r="D630" s="673"/>
      <c r="E630" s="679">
        <f>E629-E622</f>
        <v>-172.56450417648318</v>
      </c>
      <c r="F630" s="673" t="str">
        <f t="shared" si="42"/>
        <v>0</v>
      </c>
      <c r="G630" s="681">
        <f>G634</f>
        <v>2</v>
      </c>
      <c r="H630" s="673"/>
      <c r="I630" s="680"/>
    </row>
    <row r="631" spans="2:9">
      <c r="B631" s="678"/>
      <c r="C631" s="673"/>
      <c r="D631" s="673"/>
      <c r="E631" s="679">
        <f>E630-E622</f>
        <v>-205.56450417648318</v>
      </c>
      <c r="F631" s="673" t="str">
        <f t="shared" si="42"/>
        <v>0</v>
      </c>
      <c r="G631" s="673"/>
      <c r="H631" s="673"/>
      <c r="I631" s="680"/>
    </row>
    <row r="632" spans="2:9">
      <c r="B632" s="678"/>
      <c r="C632" s="673"/>
      <c r="D632" s="673"/>
      <c r="E632" s="679">
        <f>E631-E622</f>
        <v>-238.56450417648318</v>
      </c>
      <c r="F632" s="673" t="str">
        <f t="shared" si="42"/>
        <v>0</v>
      </c>
      <c r="G632" s="673"/>
      <c r="H632" s="673"/>
      <c r="I632" s="680"/>
    </row>
    <row r="633" spans="2:9">
      <c r="B633" s="678"/>
      <c r="C633" s="673"/>
      <c r="D633" s="673"/>
      <c r="E633" s="679">
        <f>E632-E622</f>
        <v>-271.56450417648318</v>
      </c>
      <c r="F633" s="673" t="str">
        <f t="shared" si="42"/>
        <v>0</v>
      </c>
      <c r="G633" s="673"/>
      <c r="H633" s="673"/>
      <c r="I633" s="680"/>
    </row>
    <row r="634" spans="2:9">
      <c r="B634" s="682"/>
      <c r="C634" s="683">
        <f>D634*E622</f>
        <v>25.435495823516817</v>
      </c>
      <c r="D634" s="683">
        <f>E634-G634</f>
        <v>0.77077260071263076</v>
      </c>
      <c r="E634" s="684">
        <f>D237/E622</f>
        <v>2.7707726007126308</v>
      </c>
      <c r="F634" s="683"/>
      <c r="G634" s="683">
        <f>F623+F624+F625+F626+F627+F628+F629+F630+F631+F632+F633</f>
        <v>2</v>
      </c>
      <c r="H634" s="683"/>
      <c r="I634" s="685"/>
    </row>
  </sheetData>
  <sheetProtection algorithmName="SHA-512" hashValue="Aqky+8oAdspVZxJdSrg4awG6eYepwpZX2B+gdTKNX5DAqX0hOE+sjeYf1oIG25viOLMMHIWQQ9QdXnsGdLaYFQ==" saltValue="ZFVfNDiw0iMfZ6y2BPMJOg==" spinCount="100000" sheet="1" objects="1" scenarios="1"/>
  <customSheetViews>
    <customSheetView guid="{3274156B-1D2A-4448-883E-F1EEF1AAE0AF}" scale="90" state="hidden">
      <selection activeCell="D14" sqref="D14"/>
      <pageMargins left="0.7" right="0.7" top="0.75" bottom="0.75" header="0.3" footer="0.3"/>
      <pageSetup paperSize="9" orientation="portrait" horizontalDpi="0" verticalDpi="0" r:id="rId1"/>
    </customSheetView>
  </customSheetViews>
  <mergeCells count="55">
    <mergeCell ref="B622:C622"/>
    <mergeCell ref="B623:C623"/>
    <mergeCell ref="B581:C581"/>
    <mergeCell ref="B594:C594"/>
    <mergeCell ref="B595:C595"/>
    <mergeCell ref="B608:C608"/>
    <mergeCell ref="B609:C609"/>
    <mergeCell ref="B552:C552"/>
    <mergeCell ref="B553:C553"/>
    <mergeCell ref="B566:C566"/>
    <mergeCell ref="B567:C567"/>
    <mergeCell ref="B580:C580"/>
    <mergeCell ref="B356:C356"/>
    <mergeCell ref="B357:C357"/>
    <mergeCell ref="B370:C370"/>
    <mergeCell ref="B371:C371"/>
    <mergeCell ref="B398:C398"/>
    <mergeCell ref="B384:C384"/>
    <mergeCell ref="B385:C385"/>
    <mergeCell ref="B328:C328"/>
    <mergeCell ref="B329:C329"/>
    <mergeCell ref="B342:C342"/>
    <mergeCell ref="B343:C343"/>
    <mergeCell ref="B286:C286"/>
    <mergeCell ref="B287:C287"/>
    <mergeCell ref="B300:C300"/>
    <mergeCell ref="B301:C301"/>
    <mergeCell ref="B314:C314"/>
    <mergeCell ref="B315:C315"/>
    <mergeCell ref="I229:J229"/>
    <mergeCell ref="K229:L229"/>
    <mergeCell ref="B273:C273"/>
    <mergeCell ref="B272:C272"/>
    <mergeCell ref="E200:E201"/>
    <mergeCell ref="B399:C399"/>
    <mergeCell ref="B412:C412"/>
    <mergeCell ref="B413:C413"/>
    <mergeCell ref="B426:C426"/>
    <mergeCell ref="B427:C427"/>
    <mergeCell ref="B469:C469"/>
    <mergeCell ref="B496:C496"/>
    <mergeCell ref="B497:C497"/>
    <mergeCell ref="B482:C482"/>
    <mergeCell ref="B483:C483"/>
    <mergeCell ref="B440:C440"/>
    <mergeCell ref="B441:C441"/>
    <mergeCell ref="B454:C454"/>
    <mergeCell ref="B455:C455"/>
    <mergeCell ref="B468:C468"/>
    <mergeCell ref="B539:C539"/>
    <mergeCell ref="B510:C510"/>
    <mergeCell ref="B511:C511"/>
    <mergeCell ref="B524:C524"/>
    <mergeCell ref="B525:C525"/>
    <mergeCell ref="B538:C538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6D0C-9A0A-4708-BF4A-D09398C70E6E}">
  <sheetPr codeName="Worksheet____11"/>
  <dimension ref="A1"/>
  <sheetViews>
    <sheetView workbookViewId="0">
      <selection activeCell="D24" sqref="D24"/>
    </sheetView>
  </sheetViews>
  <sheetFormatPr baseColWidth="10" defaultColWidth="8.83203125" defaultRowHeight="15"/>
  <sheetData/>
  <customSheetViews>
    <customSheetView guid="{3274156B-1D2A-4448-883E-F1EEF1AAE0AF}" state="hidden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B66B-7061-4664-977E-FF36B6D21124}">
  <sheetPr codeName="Worksheet____12"/>
  <dimension ref="A1"/>
  <sheetViews>
    <sheetView workbookViewId="0">
      <selection activeCell="K21" sqref="K21"/>
    </sheetView>
  </sheetViews>
  <sheetFormatPr baseColWidth="10" defaultColWidth="8.83203125" defaultRowHeight="15"/>
  <sheetData/>
  <customSheetViews>
    <customSheetView guid="{3274156B-1D2A-4448-883E-F1EEF1AAE0AF}" state="hidden">
      <selection activeCell="K21" sqref="K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C559-4C16-4744-9BFD-EB3C8A455D8C}">
  <sheetPr codeName="Sheet15"/>
  <dimension ref="A1:O66"/>
  <sheetViews>
    <sheetView workbookViewId="0">
      <selection activeCell="L22" sqref="L22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268" customWidth="1"/>
    <col min="4" max="4" width="6.5" bestFit="1" customWidth="1"/>
    <col min="5" max="5" width="11.1640625" style="410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13.1640625" bestFit="1" customWidth="1"/>
    <col min="12" max="12" width="12.33203125" style="410" customWidth="1"/>
    <col min="13" max="13" width="12.33203125" customWidth="1"/>
  </cols>
  <sheetData>
    <row r="1" spans="1:15" s="323" customFormat="1" ht="14.5" customHeight="1">
      <c r="B1" s="324"/>
      <c r="C1" s="324"/>
      <c r="D1" s="324"/>
      <c r="E1" s="324"/>
      <c r="F1" s="324"/>
      <c r="G1" s="324"/>
      <c r="H1" s="1222" t="s">
        <v>514</v>
      </c>
      <c r="I1" s="1222"/>
      <c r="J1" s="1222"/>
      <c r="K1" s="1222"/>
      <c r="L1" s="1222"/>
      <c r="M1" s="1222"/>
    </row>
    <row r="2" spans="1:15" s="323" customFormat="1" ht="14.5" customHeight="1">
      <c r="A2" s="1223" t="s">
        <v>126</v>
      </c>
      <c r="B2" s="1223"/>
      <c r="C2" s="55"/>
      <c r="D2" s="1224"/>
      <c r="E2" s="1224"/>
      <c r="F2" s="1224"/>
      <c r="G2" s="56"/>
      <c r="H2" s="1222" t="s">
        <v>515</v>
      </c>
      <c r="I2" s="1222"/>
      <c r="J2" s="1222"/>
      <c r="K2" s="1222"/>
      <c r="L2" s="1222"/>
      <c r="M2" s="1222"/>
    </row>
    <row r="3" spans="1:15" s="323" customFormat="1" ht="14">
      <c r="A3" s="1225" t="s">
        <v>516</v>
      </c>
      <c r="B3" s="1225"/>
      <c r="C3" s="55"/>
      <c r="D3" s="1226"/>
      <c r="E3" s="1226"/>
      <c r="F3" s="1226"/>
      <c r="G3" s="56"/>
      <c r="H3" s="1324" t="s">
        <v>127</v>
      </c>
      <c r="I3" s="1324"/>
      <c r="J3" s="1324"/>
      <c r="K3" s="56"/>
    </row>
    <row r="4" spans="1:15" s="323" customFormat="1" ht="14.5" customHeight="1">
      <c r="A4" s="58" t="s">
        <v>517</v>
      </c>
      <c r="B4" s="58"/>
      <c r="C4" s="55"/>
      <c r="D4" s="318"/>
      <c r="E4" s="425"/>
      <c r="G4" s="56"/>
      <c r="H4" s="1325" t="s">
        <v>518</v>
      </c>
      <c r="I4" s="1325"/>
      <c r="J4" s="1325"/>
      <c r="K4" s="1325"/>
      <c r="L4" s="1325"/>
      <c r="M4" s="1325"/>
    </row>
    <row r="5" spans="1:15" s="323" customFormat="1" ht="14">
      <c r="A5" s="1225" t="s">
        <v>519</v>
      </c>
      <c r="B5" s="1225"/>
      <c r="C5" s="55"/>
      <c r="D5" s="1226" t="s">
        <v>133</v>
      </c>
      <c r="E5" s="1226"/>
      <c r="F5" s="1226"/>
      <c r="G5" s="62"/>
      <c r="H5" s="62"/>
      <c r="I5" s="1326" t="s">
        <v>520</v>
      </c>
      <c r="J5" s="1326"/>
      <c r="K5" s="1326"/>
      <c r="L5" s="1326"/>
      <c r="M5" s="1326"/>
    </row>
    <row r="6" spans="1:15" s="323" customFormat="1" ht="16">
      <c r="A6" s="1281" t="s">
        <v>521</v>
      </c>
      <c r="B6" s="1281"/>
      <c r="C6" s="1281"/>
      <c r="D6" s="1281"/>
      <c r="E6" s="1281"/>
      <c r="F6" s="1281"/>
      <c r="G6" s="1281"/>
      <c r="H6" s="1281"/>
      <c r="I6" s="1281"/>
      <c r="J6" s="1281"/>
      <c r="K6" s="1281"/>
      <c r="L6" s="1281"/>
      <c r="M6" s="1281"/>
    </row>
    <row r="7" spans="1:15" s="323" customFormat="1" ht="16">
      <c r="A7" s="1323" t="s">
        <v>522</v>
      </c>
      <c r="B7" s="1323"/>
      <c r="C7" s="1323"/>
      <c r="D7" s="1323"/>
      <c r="E7" s="1323"/>
      <c r="F7" s="1323"/>
      <c r="G7" s="1323"/>
      <c r="H7" s="1323"/>
      <c r="I7" s="1323"/>
      <c r="J7" s="1323"/>
      <c r="K7" s="1323"/>
      <c r="L7" s="1323"/>
      <c r="M7" s="1323"/>
    </row>
    <row r="8" spans="1:15" s="323" customFormat="1" ht="16">
      <c r="B8" s="325"/>
      <c r="C8" s="325"/>
      <c r="D8" s="1327" t="str">
        <f>IF([2]данные!D13=0,[2]расчеты!B34,[2]расчеты!B35)</f>
        <v>сечение фундамента в мм. ВхШ</v>
      </c>
      <c r="E8" s="1327"/>
      <c r="F8" s="1327"/>
      <c r="G8" s="1327"/>
      <c r="H8" s="1327"/>
      <c r="I8" s="1327"/>
      <c r="J8" s="326">
        <f>IF('Лента - данные'!D13=0,'Лента - данные'!D8+0.1,'Лента - данные'!D8+0.1+'Лента - данные'!D13)*1000</f>
        <v>100</v>
      </c>
      <c r="K8" s="327">
        <f>'Лента - данные'!D5*1000</f>
        <v>0</v>
      </c>
      <c r="L8" s="328"/>
      <c r="M8" s="329"/>
    </row>
    <row r="9" spans="1:15" s="323" customFormat="1" ht="16">
      <c r="A9" s="329"/>
      <c r="B9" s="1328"/>
      <c r="C9" s="1328"/>
      <c r="D9" s="1328"/>
      <c r="E9" s="322"/>
      <c r="F9" s="322"/>
      <c r="G9" s="329"/>
      <c r="H9" s="329"/>
      <c r="I9" s="329"/>
      <c r="J9" s="329"/>
      <c r="K9" s="328"/>
      <c r="L9" s="328"/>
      <c r="M9" s="329"/>
    </row>
    <row r="10" spans="1:15" s="323" customFormat="1" ht="42">
      <c r="A10" s="330" t="s">
        <v>137</v>
      </c>
      <c r="B10" s="1329" t="s">
        <v>138</v>
      </c>
      <c r="C10" s="1329"/>
      <c r="D10" s="330" t="s">
        <v>139</v>
      </c>
      <c r="E10" s="331" t="s">
        <v>2</v>
      </c>
      <c r="F10" s="332" t="s">
        <v>140</v>
      </c>
      <c r="G10" s="332" t="s">
        <v>141</v>
      </c>
      <c r="H10" s="1329" t="s">
        <v>142</v>
      </c>
      <c r="I10" s="1329"/>
      <c r="J10" s="330" t="s">
        <v>139</v>
      </c>
      <c r="K10" s="331" t="s">
        <v>2</v>
      </c>
      <c r="L10" s="331" t="s">
        <v>143</v>
      </c>
      <c r="M10" s="332" t="s">
        <v>144</v>
      </c>
    </row>
    <row r="11" spans="1:15" s="323" customFormat="1" ht="13">
      <c r="A11" s="333">
        <v>1</v>
      </c>
      <c r="B11" s="1330">
        <v>2</v>
      </c>
      <c r="C11" s="1330"/>
      <c r="D11" s="333">
        <v>3</v>
      </c>
      <c r="E11" s="334">
        <v>4</v>
      </c>
      <c r="F11" s="335">
        <v>5</v>
      </c>
      <c r="G11" s="335">
        <v>6</v>
      </c>
      <c r="H11" s="1331">
        <v>7</v>
      </c>
      <c r="I11" s="1331"/>
      <c r="J11" s="334">
        <v>8</v>
      </c>
      <c r="K11" s="334">
        <v>9</v>
      </c>
      <c r="L11" s="334">
        <v>10</v>
      </c>
      <c r="M11" s="335">
        <v>11</v>
      </c>
    </row>
    <row r="12" spans="1:15" ht="14.5" customHeight="1">
      <c r="A12" s="1335" t="s">
        <v>523</v>
      </c>
      <c r="B12" s="1335"/>
      <c r="C12" s="336"/>
      <c r="D12" s="337"/>
      <c r="E12" s="211"/>
      <c r="F12" s="211"/>
      <c r="G12" s="94"/>
      <c r="H12" s="417" t="s">
        <v>541</v>
      </c>
      <c r="I12" s="93"/>
      <c r="J12" s="94"/>
      <c r="K12" s="211"/>
      <c r="L12" s="211"/>
      <c r="M12" s="338"/>
    </row>
    <row r="13" spans="1:15">
      <c r="A13" s="339">
        <v>1</v>
      </c>
      <c r="B13" s="1336" t="s">
        <v>495</v>
      </c>
      <c r="C13" s="1337"/>
      <c r="D13" s="340" t="s">
        <v>160</v>
      </c>
      <c r="E13" s="341">
        <f>'Лента - данные'!D16</f>
        <v>0</v>
      </c>
      <c r="F13" s="342">
        <f>'Лента Матер - Работы'!D37</f>
        <v>50</v>
      </c>
      <c r="G13" s="343">
        <f t="shared" ref="G13:G18" si="0">E13*F13</f>
        <v>0</v>
      </c>
      <c r="H13" s="1338" t="s">
        <v>524</v>
      </c>
      <c r="I13" s="1339"/>
      <c r="J13" s="344" t="s">
        <v>525</v>
      </c>
      <c r="K13" s="341">
        <f>' Лента-расчеты'!N2</f>
        <v>0</v>
      </c>
      <c r="L13" s="345">
        <f>'Лента Матер - Работы'!D36</f>
        <v>3250</v>
      </c>
      <c r="M13" s="343">
        <f>K13*L13</f>
        <v>0</v>
      </c>
    </row>
    <row r="14" spans="1:15" ht="27.5" customHeight="1">
      <c r="A14" s="339">
        <v>2</v>
      </c>
      <c r="B14" s="1336" t="s">
        <v>526</v>
      </c>
      <c r="C14" s="1337"/>
      <c r="D14" s="340" t="s">
        <v>63</v>
      </c>
      <c r="E14" s="341">
        <f>' Лента-расчеты'!I3</f>
        <v>0</v>
      </c>
      <c r="F14" s="342">
        <f>'Лента Матер - Работы'!D38</f>
        <v>1250</v>
      </c>
      <c r="G14" s="343">
        <f t="shared" si="0"/>
        <v>0</v>
      </c>
      <c r="H14" s="1340"/>
      <c r="I14" s="1341"/>
      <c r="J14" s="344"/>
      <c r="K14" s="341"/>
      <c r="L14" s="345"/>
      <c r="M14" s="343"/>
    </row>
    <row r="15" spans="1:15">
      <c r="A15" s="346">
        <v>3</v>
      </c>
      <c r="B15" s="1342" t="s">
        <v>497</v>
      </c>
      <c r="C15" s="1337"/>
      <c r="D15" s="340" t="s">
        <v>160</v>
      </c>
      <c r="E15" s="341">
        <f>' Лента-расчеты'!I5</f>
        <v>0</v>
      </c>
      <c r="F15" s="342">
        <f>'Лента Матер - Работы'!D39</f>
        <v>150</v>
      </c>
      <c r="G15" s="343">
        <f t="shared" si="0"/>
        <v>0</v>
      </c>
      <c r="H15" s="1343"/>
      <c r="I15" s="1344"/>
      <c r="J15" s="344"/>
      <c r="K15" s="341"/>
      <c r="L15" s="345"/>
      <c r="M15" s="343"/>
    </row>
    <row r="16" spans="1:15" ht="30">
      <c r="A16" s="347">
        <v>4</v>
      </c>
      <c r="B16" s="348" t="s">
        <v>527</v>
      </c>
      <c r="C16" s="114">
        <f>[2]данные!D14*1000</f>
        <v>200</v>
      </c>
      <c r="D16" s="349" t="s">
        <v>63</v>
      </c>
      <c r="E16" s="350">
        <f>' Лента-расчеты'!I7</f>
        <v>0</v>
      </c>
      <c r="F16" s="351">
        <f>'Лента Матер - Работы'!D40</f>
        <v>800</v>
      </c>
      <c r="G16" s="352">
        <f t="shared" si="0"/>
        <v>0</v>
      </c>
      <c r="H16" s="1347" t="s">
        <v>465</v>
      </c>
      <c r="I16" s="1348"/>
      <c r="J16" s="353" t="s">
        <v>63</v>
      </c>
      <c r="K16" s="350">
        <f>E16*1.15</f>
        <v>0</v>
      </c>
      <c r="L16" s="354">
        <f>'Лента Матер - Работы'!E3</f>
        <v>1300</v>
      </c>
      <c r="M16" s="355">
        <f>K16*L16</f>
        <v>0</v>
      </c>
      <c r="O16" s="356"/>
    </row>
    <row r="17" spans="1:13" ht="30">
      <c r="A17" s="357">
        <v>5</v>
      </c>
      <c r="B17" s="1336" t="s">
        <v>528</v>
      </c>
      <c r="C17" s="1337"/>
      <c r="D17" s="358" t="s">
        <v>529</v>
      </c>
      <c r="E17" s="359">
        <f>' Лента-расчеты'!H11</f>
        <v>0</v>
      </c>
      <c r="F17" s="360">
        <f>'Лента Матер - Работы'!D41</f>
        <v>50</v>
      </c>
      <c r="G17" s="361">
        <f t="shared" si="0"/>
        <v>0</v>
      </c>
      <c r="H17" s="419" t="s">
        <v>466</v>
      </c>
      <c r="I17" s="420">
        <f>[2]расчеты!K11</f>
        <v>1500</v>
      </c>
      <c r="J17" s="362" t="s">
        <v>160</v>
      </c>
      <c r="K17" s="359">
        <f>' Лента-расчеты'!H11*1.1</f>
        <v>0</v>
      </c>
      <c r="L17" s="363">
        <f>IF(I17=1500,'Лента Матер - Работы'!E4,'Лента Матер - Работы'!E5)</f>
        <v>65</v>
      </c>
      <c r="M17" s="361">
        <f>K17*L17</f>
        <v>0</v>
      </c>
    </row>
    <row r="18" spans="1:13" ht="30">
      <c r="A18" s="364">
        <v>6</v>
      </c>
      <c r="B18" s="113" t="s">
        <v>530</v>
      </c>
      <c r="C18" s="114">
        <f>[2]данные!D15*1000</f>
        <v>200</v>
      </c>
      <c r="D18" s="365" t="s">
        <v>63</v>
      </c>
      <c r="E18" s="218">
        <f>' Лента-расчеты'!I9</f>
        <v>0</v>
      </c>
      <c r="F18" s="219">
        <f>'Лента Матер - Работы'!D42</f>
        <v>800</v>
      </c>
      <c r="G18" s="366">
        <f t="shared" si="0"/>
        <v>0</v>
      </c>
      <c r="H18" s="1349" t="s">
        <v>467</v>
      </c>
      <c r="I18" s="1350"/>
      <c r="J18" s="367" t="s">
        <v>63</v>
      </c>
      <c r="K18" s="218">
        <f>E18*1.15</f>
        <v>0</v>
      </c>
      <c r="L18" s="368">
        <f>'Лента Матер - Работы'!E6</f>
        <v>3150</v>
      </c>
      <c r="M18" s="366">
        <f>K18*L18</f>
        <v>0</v>
      </c>
    </row>
    <row r="19" spans="1:13" ht="14.5" customHeight="1">
      <c r="A19" s="94"/>
      <c r="B19" s="369"/>
      <c r="C19" s="94"/>
      <c r="D19" s="94"/>
      <c r="E19" s="1332" t="s">
        <v>157</v>
      </c>
      <c r="F19" s="1351"/>
      <c r="G19" s="370">
        <f>SUM(G13:G18)</f>
        <v>0</v>
      </c>
      <c r="H19" s="93"/>
      <c r="I19" s="93"/>
      <c r="J19" s="94"/>
      <c r="K19" s="1332" t="s">
        <v>158</v>
      </c>
      <c r="L19" s="1333"/>
      <c r="M19" s="371">
        <f>SUM(M13:M18)</f>
        <v>0</v>
      </c>
    </row>
    <row r="20" spans="1:13" ht="14.5" customHeight="1">
      <c r="A20" s="1334" t="s">
        <v>531</v>
      </c>
      <c r="B20" s="1334"/>
      <c r="C20" s="1334"/>
      <c r="D20" s="1334"/>
      <c r="E20" s="1334"/>
      <c r="F20" s="211"/>
      <c r="G20" s="94"/>
      <c r="H20" s="417" t="s">
        <v>541</v>
      </c>
      <c r="I20" s="93"/>
      <c r="J20" s="94"/>
      <c r="K20" s="211"/>
      <c r="L20" s="211"/>
      <c r="M20" s="94"/>
    </row>
    <row r="21" spans="1:13">
      <c r="A21" s="116" t="s">
        <v>146</v>
      </c>
      <c r="B21" s="1349" t="s">
        <v>501</v>
      </c>
      <c r="C21" s="1350"/>
      <c r="D21" s="372" t="s">
        <v>160</v>
      </c>
      <c r="E21" s="88">
        <f>' Лента-расчеты'!H13</f>
        <v>0</v>
      </c>
      <c r="F21" s="88">
        <f>'Лента Матер - Работы'!D43</f>
        <v>240</v>
      </c>
      <c r="G21" s="366">
        <f>E21*F21</f>
        <v>0</v>
      </c>
      <c r="H21" s="1345" t="s">
        <v>544</v>
      </c>
      <c r="I21" s="1346"/>
      <c r="J21" s="116" t="s">
        <v>63</v>
      </c>
      <c r="K21" s="88">
        <f>' Лента-расчеты'!P13</f>
        <v>0</v>
      </c>
      <c r="L21" s="88">
        <f>'Лента Матер - Работы'!E7</f>
        <v>16500</v>
      </c>
      <c r="M21" s="119">
        <f t="shared" ref="M21:M45" si="1">K21*L21</f>
        <v>0</v>
      </c>
    </row>
    <row r="22" spans="1:13">
      <c r="A22" s="116"/>
      <c r="B22" s="373"/>
      <c r="C22" s="374"/>
      <c r="D22" s="372"/>
      <c r="E22" s="88"/>
      <c r="F22" s="88"/>
      <c r="G22" s="163"/>
      <c r="H22" s="1345" t="s">
        <v>469</v>
      </c>
      <c r="I22" s="1346"/>
      <c r="J22" s="116" t="s">
        <v>85</v>
      </c>
      <c r="K22" s="88">
        <f>' Лента-расчеты'!O14+' Лента-расчеты'!O15</f>
        <v>0</v>
      </c>
      <c r="L22" s="88">
        <f>'Лента Матер - Работы'!E8</f>
        <v>240</v>
      </c>
      <c r="M22" s="119">
        <f t="shared" si="1"/>
        <v>0</v>
      </c>
    </row>
    <row r="23" spans="1:13">
      <c r="A23" s="116"/>
      <c r="B23" s="373"/>
      <c r="C23" s="374"/>
      <c r="D23" s="372"/>
      <c r="E23" s="88"/>
      <c r="F23" s="88"/>
      <c r="G23" s="163"/>
      <c r="H23" s="1345" t="s">
        <v>470</v>
      </c>
      <c r="I23" s="1346"/>
      <c r="J23" s="116" t="s">
        <v>156</v>
      </c>
      <c r="K23" s="88">
        <f>(' Лента-расчеты'!P14+' Лента-расчеты'!P15)/48</f>
        <v>0</v>
      </c>
      <c r="L23" s="88">
        <f>'Лента Матер - Работы'!E9</f>
        <v>360</v>
      </c>
      <c r="M23" s="119">
        <f t="shared" si="1"/>
        <v>0</v>
      </c>
    </row>
    <row r="24" spans="1:13">
      <c r="A24" s="116"/>
      <c r="B24" s="373"/>
      <c r="C24" s="374"/>
      <c r="D24" s="372"/>
      <c r="E24" s="88"/>
      <c r="F24" s="88"/>
      <c r="G24" s="163"/>
      <c r="H24" s="1345" t="s">
        <v>471</v>
      </c>
      <c r="I24" s="1346"/>
      <c r="J24" s="116" t="s">
        <v>156</v>
      </c>
      <c r="K24" s="88">
        <f>(' Лента-расчеты'!P14+' Лента-расчеты'!P15)/62</f>
        <v>0</v>
      </c>
      <c r="L24" s="88">
        <f>'Лента Матер - Работы'!E10</f>
        <v>360</v>
      </c>
      <c r="M24" s="119">
        <f t="shared" si="1"/>
        <v>0</v>
      </c>
    </row>
    <row r="25" spans="1:13">
      <c r="A25" s="116"/>
      <c r="B25" s="373"/>
      <c r="C25" s="374"/>
      <c r="D25" s="372"/>
      <c r="E25" s="88"/>
      <c r="F25" s="88"/>
      <c r="G25" s="163"/>
      <c r="H25" s="1345" t="s">
        <v>472</v>
      </c>
      <c r="I25" s="1346"/>
      <c r="J25" s="116" t="s">
        <v>148</v>
      </c>
      <c r="K25" s="88">
        <f>' Лента-расчеты'!K16</f>
        <v>0</v>
      </c>
      <c r="L25" s="88">
        <f>'Лента Матер - Работы'!E11</f>
        <v>60</v>
      </c>
      <c r="M25" s="119">
        <f t="shared" si="1"/>
        <v>0</v>
      </c>
    </row>
    <row r="26" spans="1:13">
      <c r="A26" s="375"/>
      <c r="B26" s="1349"/>
      <c r="C26" s="1350"/>
      <c r="D26" s="372"/>
      <c r="E26" s="88"/>
      <c r="F26" s="88"/>
      <c r="G26" s="163"/>
      <c r="H26" s="1349" t="s">
        <v>473</v>
      </c>
      <c r="I26" s="1350"/>
      <c r="J26" s="116" t="s">
        <v>156</v>
      </c>
      <c r="K26" s="88">
        <f>' Лента-расчеты'!K19</f>
        <v>0</v>
      </c>
      <c r="L26" s="88">
        <f>'Лента Матер - Работы'!E12</f>
        <v>160</v>
      </c>
      <c r="M26" s="119">
        <f t="shared" si="1"/>
        <v>0</v>
      </c>
    </row>
    <row r="27" spans="1:13" ht="14.5" customHeight="1">
      <c r="A27" s="376"/>
      <c r="B27" s="1352"/>
      <c r="C27" s="1353"/>
      <c r="D27" s="377"/>
      <c r="E27" s="378"/>
      <c r="F27" s="378"/>
      <c r="G27" s="379"/>
      <c r="H27" s="1354" t="s">
        <v>474</v>
      </c>
      <c r="I27" s="1346"/>
      <c r="J27" s="380" t="s">
        <v>156</v>
      </c>
      <c r="K27" s="381">
        <f>' Лента-расчеты'!K20</f>
        <v>0</v>
      </c>
      <c r="L27" s="381">
        <f>'Лента Матер - Работы'!E13</f>
        <v>390</v>
      </c>
      <c r="M27" s="382">
        <f t="shared" si="1"/>
        <v>0</v>
      </c>
    </row>
    <row r="28" spans="1:13">
      <c r="A28" s="375"/>
      <c r="B28" s="1352"/>
      <c r="C28" s="1353"/>
      <c r="D28" s="372"/>
      <c r="E28" s="88"/>
      <c r="F28" s="88"/>
      <c r="G28" s="163"/>
      <c r="H28" s="1345" t="s">
        <v>475</v>
      </c>
      <c r="I28" s="1346"/>
      <c r="J28" s="116" t="s">
        <v>160</v>
      </c>
      <c r="K28" s="88">
        <f>' Лента-расчеты'!H17</f>
        <v>0</v>
      </c>
      <c r="L28" s="88">
        <f>'Лента Матер - Работы'!E14</f>
        <v>100</v>
      </c>
      <c r="M28" s="119">
        <f t="shared" si="1"/>
        <v>0</v>
      </c>
    </row>
    <row r="29" spans="1:13" ht="27.5" customHeight="1">
      <c r="A29" s="224" t="s">
        <v>164</v>
      </c>
      <c r="B29" s="1355" t="s">
        <v>502</v>
      </c>
      <c r="C29" s="1356"/>
      <c r="D29" s="383" t="s">
        <v>423</v>
      </c>
      <c r="E29" s="416">
        <f>K29+K30+K31+K32+K36+K35</f>
        <v>0</v>
      </c>
      <c r="F29" s="384">
        <f>'Лента Матер - Работы'!D44</f>
        <v>17500</v>
      </c>
      <c r="G29" s="366">
        <f t="shared" ref="G29:G35" si="2">E29*F29</f>
        <v>0</v>
      </c>
      <c r="H29" s="1357" t="s">
        <v>476</v>
      </c>
      <c r="I29" s="1358"/>
      <c r="J29" s="385" t="s">
        <v>423</v>
      </c>
      <c r="K29" s="386">
        <f>' Лента-расчеты'!E11</f>
        <v>0</v>
      </c>
      <c r="L29" s="387">
        <f>'Лента Матер - Работы'!E15</f>
        <v>61735.53719008265</v>
      </c>
      <c r="M29" s="119">
        <f t="shared" si="1"/>
        <v>0</v>
      </c>
    </row>
    <row r="30" spans="1:13">
      <c r="A30" s="388" t="s">
        <v>532</v>
      </c>
      <c r="B30" s="1355" t="s">
        <v>503</v>
      </c>
      <c r="C30" s="1356"/>
      <c r="D30" s="389" t="s">
        <v>85</v>
      </c>
      <c r="E30" s="390">
        <f>' Лента-расчеты'!B22+' Лента-расчеты'!B23</f>
        <v>0</v>
      </c>
      <c r="F30" s="391">
        <f>'Лента Матер - Работы'!D45</f>
        <v>12</v>
      </c>
      <c r="G30" s="392">
        <f t="shared" si="2"/>
        <v>0</v>
      </c>
      <c r="H30" s="1357" t="s">
        <v>477</v>
      </c>
      <c r="I30" s="1358"/>
      <c r="J30" s="393" t="s">
        <v>423</v>
      </c>
      <c r="K30" s="394">
        <f>' Лента-расчеты'!E22+' Лента-расчеты'!E23</f>
        <v>0</v>
      </c>
      <c r="L30" s="84">
        <f>'Лента Матер - Работы'!E16</f>
        <v>70886.075949367078</v>
      </c>
      <c r="M30" s="119">
        <f t="shared" si="1"/>
        <v>0</v>
      </c>
    </row>
    <row r="31" spans="1:13">
      <c r="A31" s="395" t="s">
        <v>533</v>
      </c>
      <c r="B31" s="1355" t="s">
        <v>504</v>
      </c>
      <c r="C31" s="1356"/>
      <c r="D31" s="349" t="s">
        <v>85</v>
      </c>
      <c r="E31" s="350">
        <f>' Лента-расчеты'!B17+' Лента-расчеты'!B18</f>
        <v>0</v>
      </c>
      <c r="F31" s="396">
        <f>'Лента Матер - Работы'!D46</f>
        <v>7</v>
      </c>
      <c r="G31" s="397">
        <f t="shared" si="2"/>
        <v>0</v>
      </c>
      <c r="H31" s="1357" t="s">
        <v>476</v>
      </c>
      <c r="I31" s="1358"/>
      <c r="J31" s="385" t="s">
        <v>423</v>
      </c>
      <c r="K31" s="386">
        <f>' Лента-расчеты'!E17+' Лента-расчеты'!E18</f>
        <v>0</v>
      </c>
      <c r="L31" s="387">
        <f>'Лента Матер - Работы'!E15</f>
        <v>61735.53719008265</v>
      </c>
      <c r="M31" s="119">
        <f t="shared" si="1"/>
        <v>0</v>
      </c>
    </row>
    <row r="32" spans="1:13">
      <c r="A32" s="189" t="s">
        <v>534</v>
      </c>
      <c r="B32" s="1355" t="s">
        <v>505</v>
      </c>
      <c r="C32" s="1356"/>
      <c r="D32" s="365" t="s">
        <v>85</v>
      </c>
      <c r="E32" s="218">
        <f>' Лента-расчеты'!B20</f>
        <v>0</v>
      </c>
      <c r="F32" s="163">
        <f>'Лента Матер - Работы'!D47</f>
        <v>7</v>
      </c>
      <c r="G32" s="366">
        <f t="shared" si="2"/>
        <v>0</v>
      </c>
      <c r="H32" s="1357" t="s">
        <v>476</v>
      </c>
      <c r="I32" s="1358"/>
      <c r="J32" s="393" t="s">
        <v>423</v>
      </c>
      <c r="K32" s="394">
        <f>' Лента-расчеты'!E20</f>
        <v>0</v>
      </c>
      <c r="L32" s="84">
        <f>'Лента Матер - Работы'!E15</f>
        <v>61735.53719008265</v>
      </c>
      <c r="M32" s="119">
        <f t="shared" si="1"/>
        <v>0</v>
      </c>
    </row>
    <row r="33" spans="1:13">
      <c r="A33" s="189"/>
      <c r="B33" s="1355" t="s">
        <v>506</v>
      </c>
      <c r="C33" s="1356"/>
      <c r="D33" s="365" t="s">
        <v>85</v>
      </c>
      <c r="E33" s="218">
        <f>' Лента-расчеты'!B13</f>
        <v>0</v>
      </c>
      <c r="F33" s="163">
        <f>'Лента Матер - Работы'!D48</f>
        <v>7</v>
      </c>
      <c r="G33" s="366">
        <f t="shared" si="2"/>
        <v>0</v>
      </c>
      <c r="H33" s="1357" t="s">
        <v>476</v>
      </c>
      <c r="I33" s="1358"/>
      <c r="J33" s="385" t="s">
        <v>423</v>
      </c>
      <c r="K33" s="394">
        <f>' Лента-расчеты'!E13</f>
        <v>0</v>
      </c>
      <c r="L33" s="84">
        <f>'Лента Матер - Работы'!E15</f>
        <v>61735.53719008265</v>
      </c>
      <c r="M33" s="119">
        <f t="shared" si="1"/>
        <v>0</v>
      </c>
    </row>
    <row r="34" spans="1:13">
      <c r="A34" s="189"/>
      <c r="B34" s="1355" t="s">
        <v>507</v>
      </c>
      <c r="C34" s="1356"/>
      <c r="D34" s="365" t="s">
        <v>85</v>
      </c>
      <c r="E34" s="218">
        <f>' Лента-расчеты'!B15</f>
        <v>0</v>
      </c>
      <c r="F34" s="163">
        <f>'Лента Матер - Работы'!D49</f>
        <v>7</v>
      </c>
      <c r="G34" s="366">
        <f t="shared" si="2"/>
        <v>0</v>
      </c>
      <c r="H34" s="1357" t="s">
        <v>476</v>
      </c>
      <c r="I34" s="1358"/>
      <c r="J34" s="393" t="s">
        <v>423</v>
      </c>
      <c r="K34" s="394">
        <f>' Лента-расчеты'!E15</f>
        <v>0</v>
      </c>
      <c r="L34" s="84">
        <f>'Лента Матер - Работы'!E15</f>
        <v>61735.53719008265</v>
      </c>
      <c r="M34" s="119">
        <f t="shared" si="1"/>
        <v>0</v>
      </c>
    </row>
    <row r="35" spans="1:13">
      <c r="A35" s="189" t="s">
        <v>535</v>
      </c>
      <c r="B35" s="1359" t="s">
        <v>508</v>
      </c>
      <c r="C35" s="1360"/>
      <c r="D35" s="398" t="s">
        <v>85</v>
      </c>
      <c r="E35" s="218">
        <f>' Лента-расчеты'!B25</f>
        <v>1</v>
      </c>
      <c r="F35" s="163">
        <f>'Лента Матер - Работы'!D50</f>
        <v>3</v>
      </c>
      <c r="G35" s="366">
        <f t="shared" si="2"/>
        <v>3</v>
      </c>
      <c r="H35" s="1357" t="s">
        <v>476</v>
      </c>
      <c r="I35" s="1358"/>
      <c r="J35" s="393" t="s">
        <v>423</v>
      </c>
      <c r="K35" s="394">
        <f>' Лента-расчеты'!E25</f>
        <v>0</v>
      </c>
      <c r="L35" s="84">
        <f>'Лента Матер - Работы'!E15</f>
        <v>61735.53719008265</v>
      </c>
      <c r="M35" s="119">
        <f t="shared" si="1"/>
        <v>0</v>
      </c>
    </row>
    <row r="36" spans="1:13">
      <c r="A36" s="399"/>
      <c r="B36" s="1357"/>
      <c r="C36" s="1358"/>
      <c r="D36" s="398"/>
      <c r="E36" s="218"/>
      <c r="F36" s="163"/>
      <c r="G36" s="366"/>
      <c r="H36" s="1357" t="s">
        <v>478</v>
      </c>
      <c r="I36" s="1358"/>
      <c r="J36" s="393" t="s">
        <v>423</v>
      </c>
      <c r="K36" s="394">
        <f>' Лента-расчеты'!E27</f>
        <v>0</v>
      </c>
      <c r="L36" s="84">
        <f>'Лента Матер - Работы'!E17</f>
        <v>130000</v>
      </c>
      <c r="M36" s="119">
        <f t="shared" si="1"/>
        <v>0</v>
      </c>
    </row>
    <row r="37" spans="1:13">
      <c r="A37" s="400" t="s">
        <v>536</v>
      </c>
      <c r="B37" s="1357" t="s">
        <v>509</v>
      </c>
      <c r="C37" s="1358"/>
      <c r="D37" s="398" t="s">
        <v>85</v>
      </c>
      <c r="E37" s="218">
        <f>' Лента-расчеты'!I22+' Лента-расчеты'!I23</f>
        <v>0</v>
      </c>
      <c r="F37" s="163">
        <f>'Лента Матер - Работы'!D51</f>
        <v>50</v>
      </c>
      <c r="G37" s="366">
        <f t="shared" ref="G37:G38" si="3">E37*F37</f>
        <v>0</v>
      </c>
      <c r="H37" s="1357" t="s">
        <v>537</v>
      </c>
      <c r="I37" s="1358"/>
      <c r="J37" s="393" t="s">
        <v>85</v>
      </c>
      <c r="K37" s="415" t="e">
        <f>' Лента-расчеты'!K22+' Лента-расчеты'!K23</f>
        <v>#DIV/0!</v>
      </c>
      <c r="L37" s="84">
        <f>'Лента Матер - Работы'!E20</f>
        <v>1200</v>
      </c>
      <c r="M37" s="119" t="e">
        <f t="shared" si="1"/>
        <v>#DIV/0!</v>
      </c>
    </row>
    <row r="38" spans="1:13">
      <c r="A38" s="401" t="s">
        <v>196</v>
      </c>
      <c r="B38" s="1336" t="s">
        <v>510</v>
      </c>
      <c r="C38" s="1337"/>
      <c r="D38" s="114" t="s">
        <v>63</v>
      </c>
      <c r="E38" s="218">
        <f>' Лента-расчеты'!A29</f>
        <v>0</v>
      </c>
      <c r="F38" s="219">
        <f>'Лента Матер - Работы'!D52</f>
        <v>5850</v>
      </c>
      <c r="G38" s="366">
        <f t="shared" si="3"/>
        <v>0</v>
      </c>
      <c r="H38" s="1336" t="s">
        <v>479</v>
      </c>
      <c r="I38" s="1337"/>
      <c r="J38" s="118" t="s">
        <v>63</v>
      </c>
      <c r="K38" s="85">
        <f>E38*1.1</f>
        <v>0</v>
      </c>
      <c r="L38" s="84">
        <f>'Лента Матер - Работы'!E18</f>
        <v>7200</v>
      </c>
      <c r="M38" s="119">
        <f t="shared" si="1"/>
        <v>0</v>
      </c>
    </row>
    <row r="39" spans="1:13">
      <c r="A39" s="402"/>
      <c r="B39" s="1336"/>
      <c r="C39" s="1337"/>
      <c r="D39" s="114"/>
      <c r="E39" s="218"/>
      <c r="F39" s="219"/>
      <c r="G39" s="366"/>
      <c r="H39" s="1336" t="s">
        <v>480</v>
      </c>
      <c r="I39" s="1337"/>
      <c r="J39" s="118" t="s">
        <v>85</v>
      </c>
      <c r="K39" s="85">
        <f>' Лента-расчеты'!B25</f>
        <v>1</v>
      </c>
      <c r="L39" s="84">
        <f>'Лента Матер - Работы'!E19</f>
        <v>11</v>
      </c>
      <c r="M39" s="119">
        <f t="shared" si="1"/>
        <v>11</v>
      </c>
    </row>
    <row r="40" spans="1:13" ht="16">
      <c r="A40" s="402"/>
      <c r="B40" s="1336"/>
      <c r="C40" s="1337"/>
      <c r="D40" s="403"/>
      <c r="E40" s="218"/>
      <c r="F40" s="219"/>
      <c r="G40" s="366"/>
      <c r="H40" s="1361" t="s">
        <v>485</v>
      </c>
      <c r="I40" s="1362"/>
      <c r="J40" s="118"/>
      <c r="K40" s="85"/>
      <c r="L40" s="84"/>
      <c r="M40" s="119"/>
    </row>
    <row r="41" spans="1:13">
      <c r="A41" s="112"/>
      <c r="B41" s="1363"/>
      <c r="C41" s="1364"/>
      <c r="D41" s="114"/>
      <c r="E41" s="218"/>
      <c r="F41" s="219"/>
      <c r="G41" s="366"/>
      <c r="H41" s="1365" t="s">
        <v>486</v>
      </c>
      <c r="I41" s="1366"/>
      <c r="J41" s="118" t="s">
        <v>85</v>
      </c>
      <c r="K41" s="191">
        <f>ROUNDUP('Лента Матер - Работы'!F25,0)</f>
        <v>1</v>
      </c>
      <c r="L41" s="84">
        <f>'Лента Матер - Работы'!E25</f>
        <v>45</v>
      </c>
      <c r="M41" s="119">
        <f t="shared" si="1"/>
        <v>45</v>
      </c>
    </row>
    <row r="42" spans="1:13">
      <c r="A42" s="112"/>
      <c r="B42" s="1363"/>
      <c r="C42" s="1364"/>
      <c r="D42" s="114"/>
      <c r="E42" s="218"/>
      <c r="F42" s="219"/>
      <c r="G42" s="366"/>
      <c r="H42" s="1365" t="s">
        <v>487</v>
      </c>
      <c r="I42" s="1366"/>
      <c r="J42" s="118" t="s">
        <v>538</v>
      </c>
      <c r="K42" s="191">
        <f>'Лента Матер - Работы'!F26</f>
        <v>0</v>
      </c>
      <c r="L42" s="84">
        <f>'Лента Матер - Работы'!E26</f>
        <v>55</v>
      </c>
      <c r="M42" s="119">
        <f t="shared" si="1"/>
        <v>0</v>
      </c>
    </row>
    <row r="43" spans="1:13">
      <c r="A43" s="112"/>
      <c r="B43" s="1363"/>
      <c r="C43" s="1364"/>
      <c r="D43" s="114"/>
      <c r="E43" s="218"/>
      <c r="F43" s="219"/>
      <c r="G43" s="366"/>
      <c r="H43" s="1365" t="s">
        <v>489</v>
      </c>
      <c r="I43" s="1366"/>
      <c r="J43" s="118" t="s">
        <v>539</v>
      </c>
      <c r="K43" s="191">
        <f>'Лента Матер - Работы'!F27</f>
        <v>0</v>
      </c>
      <c r="L43" s="84">
        <f>'Лента Матер - Работы'!E27</f>
        <v>170</v>
      </c>
      <c r="M43" s="119">
        <f t="shared" si="1"/>
        <v>0</v>
      </c>
    </row>
    <row r="44" spans="1:13">
      <c r="A44" s="112" t="s">
        <v>225</v>
      </c>
      <c r="B44" s="1336" t="s">
        <v>511</v>
      </c>
      <c r="C44" s="1337"/>
      <c r="D44" s="114" t="s">
        <v>160</v>
      </c>
      <c r="E44" s="218">
        <f>' Лента-расчеты'!L25+' Лента-расчеты'!L26</f>
        <v>0</v>
      </c>
      <c r="F44" s="219">
        <f>'Лента Матер - Работы'!D53</f>
        <v>450</v>
      </c>
      <c r="G44" s="366">
        <f>E44*F44</f>
        <v>0</v>
      </c>
      <c r="H44" s="1368" t="s">
        <v>482</v>
      </c>
      <c r="I44" s="1369"/>
      <c r="J44" s="118" t="s">
        <v>184</v>
      </c>
      <c r="K44" s="191" t="e">
        <f>ROUNDUP(' Лента-расчеты'!H25+' Лента-расчеты'!H26,0)</f>
        <v>#DIV/0!</v>
      </c>
      <c r="L44" s="84">
        <f>'Лента Матер - Работы'!E21</f>
        <v>980</v>
      </c>
      <c r="M44" s="119" t="e">
        <f>K44*L44</f>
        <v>#DIV/0!</v>
      </c>
    </row>
    <row r="45" spans="1:13">
      <c r="A45" s="112"/>
      <c r="B45" s="1363"/>
      <c r="C45" s="1364"/>
      <c r="D45" s="114"/>
      <c r="E45" s="218"/>
      <c r="F45" s="219"/>
      <c r="G45" s="366"/>
      <c r="H45" s="1370" t="s">
        <v>483</v>
      </c>
      <c r="I45" s="1371"/>
      <c r="J45" s="118" t="s">
        <v>484</v>
      </c>
      <c r="K45" s="191">
        <f>' Лента-расчеты'!N27</f>
        <v>0</v>
      </c>
      <c r="L45" s="84">
        <f>'Лента Матер - Работы'!E22</f>
        <v>3968</v>
      </c>
      <c r="M45" s="119">
        <f t="shared" si="1"/>
        <v>0</v>
      </c>
    </row>
    <row r="46" spans="1:13" ht="14.5" customHeight="1">
      <c r="A46" s="89"/>
      <c r="B46" s="90"/>
      <c r="C46" s="91"/>
      <c r="D46" s="91"/>
      <c r="E46" s="1332" t="s">
        <v>157</v>
      </c>
      <c r="F46" s="1333"/>
      <c r="G46" s="92">
        <f>SUM(G21:G45)</f>
        <v>3</v>
      </c>
      <c r="H46" s="93"/>
      <c r="I46" s="93"/>
      <c r="J46" s="94"/>
      <c r="K46" s="1332" t="s">
        <v>158</v>
      </c>
      <c r="L46" s="1333"/>
      <c r="M46" s="227" t="e">
        <f>SUM(M21:M45)</f>
        <v>#DIV/0!</v>
      </c>
    </row>
    <row r="47" spans="1:13" ht="14.5" customHeight="1">
      <c r="A47" s="1372" t="s">
        <v>543</v>
      </c>
      <c r="B47" s="1372"/>
      <c r="C47" s="128"/>
      <c r="D47" s="126"/>
      <c r="E47" s="316"/>
      <c r="F47" s="316"/>
      <c r="G47" s="128"/>
      <c r="H47" s="418" t="s">
        <v>542</v>
      </c>
      <c r="I47" s="125"/>
      <c r="J47" s="126"/>
      <c r="K47" s="317"/>
      <c r="L47" s="317"/>
      <c r="M47" s="128"/>
    </row>
    <row r="48" spans="1:13">
      <c r="A48" s="130"/>
      <c r="B48" s="1349" t="s">
        <v>512</v>
      </c>
      <c r="C48" s="1350"/>
      <c r="D48" s="404" t="s">
        <v>166</v>
      </c>
      <c r="E48" s="88">
        <f>K50</f>
        <v>0</v>
      </c>
      <c r="F48" s="405">
        <f>'Лента Матер - Работы'!D54</f>
        <v>4500</v>
      </c>
      <c r="G48" s="130">
        <f>E48*F48</f>
        <v>0</v>
      </c>
      <c r="H48" s="406"/>
      <c r="I48" s="406"/>
      <c r="J48" s="82"/>
      <c r="K48" s="191"/>
      <c r="L48" s="84"/>
      <c r="M48" s="130"/>
    </row>
    <row r="49" spans="1:13">
      <c r="A49" s="130"/>
      <c r="B49" s="1349"/>
      <c r="C49" s="1350"/>
      <c r="D49" s="404"/>
      <c r="E49" s="88"/>
      <c r="F49" s="405"/>
      <c r="G49" s="130"/>
      <c r="H49" s="133" t="s">
        <v>163</v>
      </c>
      <c r="I49" s="133"/>
      <c r="J49" s="130" t="s">
        <v>167</v>
      </c>
      <c r="K49" s="164">
        <f>' Лента-расчеты'!I31</f>
        <v>1</v>
      </c>
      <c r="L49" s="407">
        <f>'Лента Матер - Работы'!C29+'Лента Матер - Работы'!E29*'Лента - данные'!D17</f>
        <v>3500</v>
      </c>
      <c r="M49" s="130">
        <f>K49*L49</f>
        <v>3500</v>
      </c>
    </row>
    <row r="50" spans="1:13">
      <c r="A50" s="130"/>
      <c r="B50" s="1349"/>
      <c r="C50" s="1350"/>
      <c r="D50" s="404"/>
      <c r="E50" s="408"/>
      <c r="F50" s="409"/>
      <c r="G50" s="138"/>
      <c r="H50" s="133" t="s">
        <v>491</v>
      </c>
      <c r="I50" s="133"/>
      <c r="J50" s="130" t="s">
        <v>167</v>
      </c>
      <c r="K50" s="164">
        <f>' Лента-расчеты'!E31</f>
        <v>0</v>
      </c>
      <c r="L50" s="407">
        <f>'Лента Матер - Работы'!C30+'Лента Матер - Работы'!E30*'Лента - данные'!D17</f>
        <v>5000</v>
      </c>
      <c r="M50" s="130">
        <f>K50*L50</f>
        <v>0</v>
      </c>
    </row>
    <row r="51" spans="1:13">
      <c r="A51" s="130"/>
      <c r="B51" s="1373"/>
      <c r="C51" s="1374"/>
      <c r="D51" s="404"/>
      <c r="E51" s="408"/>
      <c r="F51" s="409"/>
      <c r="G51" s="138"/>
      <c r="H51" s="133" t="s">
        <v>492</v>
      </c>
      <c r="I51" s="133"/>
      <c r="J51" s="130" t="s">
        <v>167</v>
      </c>
      <c r="K51" s="164">
        <f>' Лента-расчеты'!J31*' Лента-расчеты'!K31</f>
        <v>0</v>
      </c>
      <c r="L51" s="407">
        <f>'Лента Матер - Работы'!C31</f>
        <v>18500</v>
      </c>
      <c r="M51" s="130">
        <f t="shared" ref="M51:M52" si="4">K51*L51</f>
        <v>0</v>
      </c>
    </row>
    <row r="52" spans="1:13">
      <c r="A52" s="130"/>
      <c r="B52" s="1349"/>
      <c r="C52" s="1350"/>
      <c r="D52" s="404"/>
      <c r="E52" s="408"/>
      <c r="F52" s="409"/>
      <c r="G52" s="138"/>
      <c r="H52" s="134" t="s">
        <v>493</v>
      </c>
      <c r="I52" s="134"/>
      <c r="J52" s="139" t="s">
        <v>167</v>
      </c>
      <c r="K52" s="164">
        <f>' Лента-расчеты'!L31</f>
        <v>0</v>
      </c>
      <c r="L52" s="88">
        <f>'Лента Матер - Работы'!C32</f>
        <v>23500</v>
      </c>
      <c r="M52" s="130">
        <f t="shared" si="4"/>
        <v>0</v>
      </c>
    </row>
    <row r="53" spans="1:13" ht="14.5" customHeight="1">
      <c r="A53" s="126"/>
      <c r="B53" s="125"/>
      <c r="C53" s="126"/>
      <c r="D53" s="126"/>
      <c r="E53" s="1242" t="s">
        <v>157</v>
      </c>
      <c r="F53" s="1243"/>
      <c r="G53" s="421">
        <f>SUM(G48:G52)</f>
        <v>0</v>
      </c>
      <c r="H53" s="125"/>
      <c r="I53" s="125"/>
      <c r="J53" s="126"/>
      <c r="K53" s="1367" t="s">
        <v>20</v>
      </c>
      <c r="L53" s="1367"/>
      <c r="M53" s="421">
        <f>SUM(M48:M52)</f>
        <v>3500</v>
      </c>
    </row>
    <row r="54" spans="1:13">
      <c r="A54" s="130"/>
      <c r="B54" s="131"/>
      <c r="C54" s="130"/>
      <c r="D54" s="130"/>
      <c r="E54" s="408"/>
      <c r="F54" s="408"/>
      <c r="G54" s="138"/>
      <c r="H54" s="131"/>
      <c r="I54" s="131"/>
      <c r="J54" s="130"/>
      <c r="K54" s="423"/>
      <c r="L54" s="423"/>
      <c r="M54" s="138"/>
    </row>
    <row r="55" spans="1:13">
      <c r="A55" s="33"/>
      <c r="B55" s="33"/>
      <c r="C55" s="280"/>
      <c r="D55" s="33"/>
      <c r="E55" s="424"/>
      <c r="F55" s="33"/>
      <c r="G55" s="33"/>
      <c r="H55" s="33"/>
      <c r="I55" s="33"/>
      <c r="J55" s="33"/>
      <c r="K55" s="33"/>
      <c r="L55" s="424"/>
      <c r="M55" s="33"/>
    </row>
    <row r="56" spans="1:13" ht="14.5" customHeight="1">
      <c r="F56" s="1375" t="s">
        <v>170</v>
      </c>
      <c r="G56" s="1376"/>
      <c r="H56" s="422">
        <f>G19+G46+G53</f>
        <v>3</v>
      </c>
      <c r="I56" s="411"/>
    </row>
    <row r="57" spans="1:13" ht="28.25" customHeight="1">
      <c r="F57" s="1196" t="s">
        <v>171</v>
      </c>
      <c r="G57" s="1197"/>
      <c r="H57" s="303">
        <f>H56*0.03</f>
        <v>0.09</v>
      </c>
      <c r="I57" s="411"/>
    </row>
    <row r="58" spans="1:13" ht="30" customHeight="1">
      <c r="F58" s="1196" t="s">
        <v>172</v>
      </c>
      <c r="G58" s="1197"/>
      <c r="H58" s="303">
        <f>H56*0.16</f>
        <v>0.48</v>
      </c>
      <c r="I58" s="411"/>
    </row>
    <row r="59" spans="1:13">
      <c r="F59" s="1196" t="s">
        <v>20</v>
      </c>
      <c r="G59" s="1197"/>
      <c r="H59" s="303">
        <f>H56+H57+H58</f>
        <v>3.57</v>
      </c>
      <c r="I59" s="411"/>
    </row>
    <row r="60" spans="1:13" ht="14.5" customHeight="1">
      <c r="F60" s="1196" t="s">
        <v>173</v>
      </c>
      <c r="G60" s="1197"/>
      <c r="H60" s="303" t="e">
        <f>M19+M46</f>
        <v>#DIV/0!</v>
      </c>
      <c r="I60" s="411"/>
    </row>
    <row r="61" spans="1:13" ht="30" customHeight="1">
      <c r="F61" s="1196" t="s">
        <v>540</v>
      </c>
      <c r="G61" s="1197"/>
      <c r="H61" s="303" t="e">
        <f>H60*0.035</f>
        <v>#DIV/0!</v>
      </c>
      <c r="I61" s="411"/>
    </row>
    <row r="62" spans="1:13" ht="14.5" customHeight="1">
      <c r="F62" s="1196" t="s">
        <v>174</v>
      </c>
      <c r="G62" s="1197"/>
      <c r="H62" s="303">
        <f>M53</f>
        <v>3500</v>
      </c>
      <c r="I62" s="411"/>
    </row>
    <row r="63" spans="1:13">
      <c r="F63" s="1196" t="s">
        <v>20</v>
      </c>
      <c r="G63" s="1197"/>
      <c r="H63" s="303" t="e">
        <f>H60+H61+H62</f>
        <v>#DIV/0!</v>
      </c>
      <c r="I63" s="411"/>
    </row>
    <row r="64" spans="1:13">
      <c r="F64" s="1377" t="s">
        <v>175</v>
      </c>
      <c r="G64" s="1378"/>
      <c r="H64" s="304" t="e">
        <f>H59+H63</f>
        <v>#DIV/0!</v>
      </c>
      <c r="I64" s="412"/>
    </row>
    <row r="65" spans="6:12" ht="16" thickBot="1">
      <c r="F65" s="1198" t="s">
        <v>176</v>
      </c>
      <c r="G65" s="1199"/>
      <c r="H65" s="305">
        <f>H56*0.03</f>
        <v>0.09</v>
      </c>
      <c r="I65" s="413"/>
    </row>
    <row r="66" spans="6:12" ht="17" thickBot="1">
      <c r="F66" s="1379" t="s">
        <v>177</v>
      </c>
      <c r="G66" s="1380"/>
      <c r="H66" s="144" t="e">
        <f>H64+H65</f>
        <v>#DIV/0!</v>
      </c>
      <c r="I66" s="413"/>
      <c r="K66" s="145"/>
      <c r="L66" s="414"/>
    </row>
  </sheetData>
  <customSheetViews>
    <customSheetView guid="{3274156B-1D2A-4448-883E-F1EEF1AAE0AF}">
      <selection activeCell="H11" sqref="H11:I11"/>
      <pageMargins left="0.7" right="0.7" top="0.75" bottom="0.75" header="0.3" footer="0.3"/>
      <pageSetup paperSize="9" orientation="portrait" horizontalDpi="0" verticalDpi="0" r:id="rId1"/>
    </customSheetView>
  </customSheetViews>
  <mergeCells count="99">
    <mergeCell ref="F62:G62"/>
    <mergeCell ref="F63:G63"/>
    <mergeCell ref="F64:G64"/>
    <mergeCell ref="F65:G65"/>
    <mergeCell ref="F66:G66"/>
    <mergeCell ref="F59:G59"/>
    <mergeCell ref="F60:G60"/>
    <mergeCell ref="F61:G61"/>
    <mergeCell ref="B48:C48"/>
    <mergeCell ref="B49:C49"/>
    <mergeCell ref="B50:C50"/>
    <mergeCell ref="B52:C52"/>
    <mergeCell ref="E53:F53"/>
    <mergeCell ref="B51:C51"/>
    <mergeCell ref="F56:G56"/>
    <mergeCell ref="F57:G57"/>
    <mergeCell ref="F58:G58"/>
    <mergeCell ref="K53:L53"/>
    <mergeCell ref="B44:C44"/>
    <mergeCell ref="H44:I44"/>
    <mergeCell ref="H45:I45"/>
    <mergeCell ref="E46:F46"/>
    <mergeCell ref="K46:L46"/>
    <mergeCell ref="A47:B47"/>
    <mergeCell ref="B45:C45"/>
    <mergeCell ref="B41:C41"/>
    <mergeCell ref="H41:I41"/>
    <mergeCell ref="B42:C42"/>
    <mergeCell ref="H42:I42"/>
    <mergeCell ref="B43:C43"/>
    <mergeCell ref="H43:I43"/>
    <mergeCell ref="B38:C38"/>
    <mergeCell ref="H38:I38"/>
    <mergeCell ref="B39:C39"/>
    <mergeCell ref="H39:I39"/>
    <mergeCell ref="B40:C40"/>
    <mergeCell ref="H40:I40"/>
    <mergeCell ref="B35:C35"/>
    <mergeCell ref="H35:I35"/>
    <mergeCell ref="B36:C36"/>
    <mergeCell ref="H36:I36"/>
    <mergeCell ref="B37:C37"/>
    <mergeCell ref="H37:I37"/>
    <mergeCell ref="B32:C32"/>
    <mergeCell ref="H32:I32"/>
    <mergeCell ref="B33:C33"/>
    <mergeCell ref="H33:I33"/>
    <mergeCell ref="B34:C34"/>
    <mergeCell ref="H34:I34"/>
    <mergeCell ref="B29:C29"/>
    <mergeCell ref="H29:I29"/>
    <mergeCell ref="B30:C30"/>
    <mergeCell ref="H30:I30"/>
    <mergeCell ref="B31:C31"/>
    <mergeCell ref="H31:I31"/>
    <mergeCell ref="B26:C26"/>
    <mergeCell ref="H26:I26"/>
    <mergeCell ref="B27:C27"/>
    <mergeCell ref="H27:I27"/>
    <mergeCell ref="B28:C28"/>
    <mergeCell ref="H28:I28"/>
    <mergeCell ref="H25:I25"/>
    <mergeCell ref="H16:I16"/>
    <mergeCell ref="B17:C17"/>
    <mergeCell ref="H18:I18"/>
    <mergeCell ref="E19:F19"/>
    <mergeCell ref="B21:C21"/>
    <mergeCell ref="H21:I21"/>
    <mergeCell ref="H22:I22"/>
    <mergeCell ref="H23:I23"/>
    <mergeCell ref="H24:I24"/>
    <mergeCell ref="K19:L19"/>
    <mergeCell ref="A20:E20"/>
    <mergeCell ref="A12:B12"/>
    <mergeCell ref="B13:C13"/>
    <mergeCell ref="H13:I13"/>
    <mergeCell ref="B14:C14"/>
    <mergeCell ref="H14:I14"/>
    <mergeCell ref="B15:C15"/>
    <mergeCell ref="H15:I15"/>
    <mergeCell ref="D8:I8"/>
    <mergeCell ref="B9:D9"/>
    <mergeCell ref="B10:C10"/>
    <mergeCell ref="H10:I10"/>
    <mergeCell ref="B11:C11"/>
    <mergeCell ref="H11:I11"/>
    <mergeCell ref="A7:M7"/>
    <mergeCell ref="H1:M1"/>
    <mergeCell ref="A2:B2"/>
    <mergeCell ref="D2:F2"/>
    <mergeCell ref="H2:M2"/>
    <mergeCell ref="A3:B3"/>
    <mergeCell ref="D3:F3"/>
    <mergeCell ref="H3:J3"/>
    <mergeCell ref="H4:M4"/>
    <mergeCell ref="A5:B5"/>
    <mergeCell ref="D5:F5"/>
    <mergeCell ref="I5:M5"/>
    <mergeCell ref="A6:M6"/>
  </mergeCells>
  <pageMargins left="0.7" right="0.7" top="0.75" bottom="0.75" header="0.3" footer="0.3"/>
  <pageSetup paperSize="9" orientation="portrait" horizontalDpi="0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A2A7-0A8B-4271-B347-220CF9C60ED3}">
  <sheetPr codeName="Sheet16"/>
  <dimension ref="A1:O66"/>
  <sheetViews>
    <sheetView topLeftCell="A46" workbookViewId="0">
      <selection activeCell="K61" sqref="K61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268" customWidth="1"/>
    <col min="4" max="4" width="6.5" bestFit="1" customWidth="1"/>
    <col min="5" max="5" width="11.1640625" style="410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13.1640625" bestFit="1" customWidth="1"/>
    <col min="12" max="12" width="12.33203125" style="410" customWidth="1"/>
    <col min="13" max="13" width="12.33203125" customWidth="1"/>
  </cols>
  <sheetData>
    <row r="1" spans="1:15" s="323" customFormat="1" ht="14.5" customHeight="1">
      <c r="B1" s="324"/>
      <c r="C1" s="324"/>
      <c r="D1" s="324"/>
      <c r="E1" s="324"/>
      <c r="F1" s="324"/>
      <c r="G1" s="324"/>
      <c r="H1" s="1222" t="s">
        <v>514</v>
      </c>
      <c r="I1" s="1222"/>
      <c r="J1" s="1222"/>
      <c r="K1" s="1222"/>
      <c r="L1" s="1222"/>
      <c r="M1" s="1222"/>
    </row>
    <row r="2" spans="1:15" s="323" customFormat="1" ht="14.5" customHeight="1">
      <c r="A2" s="1223" t="s">
        <v>126</v>
      </c>
      <c r="B2" s="1223"/>
      <c r="C2" s="55"/>
      <c r="D2" s="1224"/>
      <c r="E2" s="1224"/>
      <c r="F2" s="1224"/>
      <c r="G2" s="56"/>
      <c r="H2" s="1222" t="s">
        <v>515</v>
      </c>
      <c r="I2" s="1222"/>
      <c r="J2" s="1222"/>
      <c r="K2" s="1222"/>
      <c r="L2" s="1222"/>
      <c r="M2" s="1222"/>
    </row>
    <row r="3" spans="1:15" s="323" customFormat="1" ht="14">
      <c r="A3" s="1225" t="s">
        <v>516</v>
      </c>
      <c r="B3" s="1225"/>
      <c r="C3" s="55"/>
      <c r="D3" s="1226"/>
      <c r="E3" s="1226"/>
      <c r="F3" s="1226"/>
      <c r="G3" s="56"/>
      <c r="H3" s="1324" t="s">
        <v>127</v>
      </c>
      <c r="I3" s="1324"/>
      <c r="J3" s="1324"/>
      <c r="K3" s="56"/>
    </row>
    <row r="4" spans="1:15" s="323" customFormat="1" ht="14.5" customHeight="1">
      <c r="A4" s="58" t="s">
        <v>517</v>
      </c>
      <c r="B4" s="58"/>
      <c r="C4" s="55"/>
      <c r="D4" s="318"/>
      <c r="E4" s="425"/>
      <c r="G4" s="56"/>
      <c r="H4" s="1325" t="s">
        <v>518</v>
      </c>
      <c r="I4" s="1325"/>
      <c r="J4" s="1325"/>
      <c r="K4" s="1325"/>
      <c r="L4" s="1325"/>
      <c r="M4" s="1325"/>
    </row>
    <row r="5" spans="1:15" s="323" customFormat="1" ht="14">
      <c r="A5" s="1225" t="s">
        <v>519</v>
      </c>
      <c r="B5" s="1225"/>
      <c r="C5" s="55"/>
      <c r="D5" s="1226" t="s">
        <v>133</v>
      </c>
      <c r="E5" s="1226"/>
      <c r="F5" s="1226"/>
      <c r="G5" s="62"/>
      <c r="H5" s="62"/>
      <c r="I5" s="1326" t="s">
        <v>520</v>
      </c>
      <c r="J5" s="1326"/>
      <c r="K5" s="1326"/>
      <c r="L5" s="1326"/>
      <c r="M5" s="1326"/>
    </row>
    <row r="6" spans="1:15" s="323" customFormat="1" ht="16">
      <c r="A6" s="1281" t="s">
        <v>521</v>
      </c>
      <c r="B6" s="1281"/>
      <c r="C6" s="1281"/>
      <c r="D6" s="1281"/>
      <c r="E6" s="1281"/>
      <c r="F6" s="1281"/>
      <c r="G6" s="1281"/>
      <c r="H6" s="1281"/>
      <c r="I6" s="1281"/>
      <c r="J6" s="1281"/>
      <c r="K6" s="1281"/>
      <c r="L6" s="1281"/>
      <c r="M6" s="1281"/>
    </row>
    <row r="7" spans="1:15" s="323" customFormat="1" ht="16">
      <c r="A7" s="1323" t="s">
        <v>522</v>
      </c>
      <c r="B7" s="1323"/>
      <c r="C7" s="1323"/>
      <c r="D7" s="1323"/>
      <c r="E7" s="1323"/>
      <c r="F7" s="1323"/>
      <c r="G7" s="1323"/>
      <c r="H7" s="1323"/>
      <c r="I7" s="1323"/>
      <c r="J7" s="1323"/>
      <c r="K7" s="1323"/>
      <c r="L7" s="1323"/>
      <c r="M7" s="1323"/>
    </row>
    <row r="8" spans="1:15" s="323" customFormat="1" ht="16">
      <c r="B8" s="325"/>
      <c r="C8" s="325"/>
      <c r="D8" s="1327" t="str">
        <f>IF([2]данные!D13=0,[2]расчеты!B34,[2]расчеты!B35)</f>
        <v>сечение фундамента в мм. ВхШ</v>
      </c>
      <c r="E8" s="1327"/>
      <c r="F8" s="1327"/>
      <c r="G8" s="1327"/>
      <c r="H8" s="1327"/>
      <c r="I8" s="1327"/>
      <c r="J8" s="326">
        <f>IF('Лента - данные'!D31=0,'Лента - данные'!D26+0.1,'Лента - данные'!D26+0.1+'Лента - данные'!D31)*1000</f>
        <v>3100</v>
      </c>
      <c r="K8" s="327">
        <f>'Лента - данные'!D23*1000</f>
        <v>0</v>
      </c>
      <c r="L8" s="328"/>
      <c r="M8" s="329"/>
    </row>
    <row r="9" spans="1:15" s="323" customFormat="1" ht="16">
      <c r="A9" s="329"/>
      <c r="B9" s="1328"/>
      <c r="C9" s="1328"/>
      <c r="D9" s="1328"/>
      <c r="E9" s="322"/>
      <c r="F9" s="322"/>
      <c r="G9" s="329"/>
      <c r="H9" s="329"/>
      <c r="I9" s="329"/>
      <c r="J9" s="329"/>
      <c r="K9" s="328"/>
      <c r="L9" s="328"/>
      <c r="M9" s="329"/>
    </row>
    <row r="10" spans="1:15" s="323" customFormat="1" ht="42">
      <c r="A10" s="330" t="s">
        <v>137</v>
      </c>
      <c r="B10" s="1329" t="s">
        <v>138</v>
      </c>
      <c r="C10" s="1329"/>
      <c r="D10" s="330" t="s">
        <v>139</v>
      </c>
      <c r="E10" s="331" t="s">
        <v>2</v>
      </c>
      <c r="F10" s="332" t="s">
        <v>140</v>
      </c>
      <c r="G10" s="332" t="s">
        <v>141</v>
      </c>
      <c r="H10" s="1329" t="s">
        <v>142</v>
      </c>
      <c r="I10" s="1329"/>
      <c r="J10" s="330" t="s">
        <v>139</v>
      </c>
      <c r="K10" s="331" t="s">
        <v>2</v>
      </c>
      <c r="L10" s="331" t="s">
        <v>143</v>
      </c>
      <c r="M10" s="332" t="s">
        <v>144</v>
      </c>
    </row>
    <row r="11" spans="1:15" s="323" customFormat="1" ht="13">
      <c r="A11" s="333">
        <v>1</v>
      </c>
      <c r="B11" s="1330">
        <v>2</v>
      </c>
      <c r="C11" s="1330"/>
      <c r="D11" s="333">
        <v>3</v>
      </c>
      <c r="E11" s="334">
        <v>4</v>
      </c>
      <c r="F11" s="335">
        <v>5</v>
      </c>
      <c r="G11" s="335">
        <v>6</v>
      </c>
      <c r="H11" s="1331">
        <v>7</v>
      </c>
      <c r="I11" s="1331"/>
      <c r="J11" s="334">
        <v>8</v>
      </c>
      <c r="K11" s="334">
        <v>9</v>
      </c>
      <c r="L11" s="334">
        <v>10</v>
      </c>
      <c r="M11" s="335">
        <v>11</v>
      </c>
    </row>
    <row r="12" spans="1:15" ht="14.5" customHeight="1">
      <c r="A12" s="1335" t="s">
        <v>523</v>
      </c>
      <c r="B12" s="1335"/>
      <c r="C12" s="336"/>
      <c r="D12" s="337"/>
      <c r="E12" s="211"/>
      <c r="F12" s="211"/>
      <c r="G12" s="94"/>
      <c r="H12" s="417" t="s">
        <v>541</v>
      </c>
      <c r="I12" s="93"/>
      <c r="J12" s="94"/>
      <c r="K12" s="211"/>
      <c r="L12" s="211"/>
      <c r="M12" s="338"/>
    </row>
    <row r="13" spans="1:15">
      <c r="A13" s="339">
        <v>1</v>
      </c>
      <c r="B13" s="1336" t="s">
        <v>495</v>
      </c>
      <c r="C13" s="1337"/>
      <c r="D13" s="340" t="s">
        <v>160</v>
      </c>
      <c r="E13" s="341">
        <f>'Лента - данные'!D34</f>
        <v>0</v>
      </c>
      <c r="F13" s="342">
        <f>'Лента Матер - Работы'!D37</f>
        <v>50</v>
      </c>
      <c r="G13" s="343">
        <f t="shared" ref="G13:G18" si="0">E13*F13</f>
        <v>0</v>
      </c>
      <c r="H13" s="1338" t="s">
        <v>524</v>
      </c>
      <c r="I13" s="1339"/>
      <c r="J13" s="344" t="s">
        <v>525</v>
      </c>
      <c r="K13" s="341">
        <f>' Лента-расчеты'!N39</f>
        <v>0</v>
      </c>
      <c r="L13" s="345">
        <f>'Лента Матер - Работы'!D36</f>
        <v>3250</v>
      </c>
      <c r="M13" s="343">
        <f>K13*L13</f>
        <v>0</v>
      </c>
    </row>
    <row r="14" spans="1:15" ht="27.5" customHeight="1">
      <c r="A14" s="339">
        <v>2</v>
      </c>
      <c r="B14" s="1336" t="s">
        <v>526</v>
      </c>
      <c r="C14" s="1337"/>
      <c r="D14" s="340" t="s">
        <v>63</v>
      </c>
      <c r="E14" s="341">
        <f>' Лента-расчеты'!I40</f>
        <v>0</v>
      </c>
      <c r="F14" s="342">
        <f>'Лента Матер - Работы'!D38</f>
        <v>1250</v>
      </c>
      <c r="G14" s="343">
        <f t="shared" si="0"/>
        <v>0</v>
      </c>
      <c r="H14" s="1340"/>
      <c r="I14" s="1341"/>
      <c r="J14" s="344"/>
      <c r="K14" s="341"/>
      <c r="L14" s="345"/>
      <c r="M14" s="343"/>
    </row>
    <row r="15" spans="1:15">
      <c r="A15" s="346">
        <v>3</v>
      </c>
      <c r="B15" s="1342" t="s">
        <v>497</v>
      </c>
      <c r="C15" s="1337"/>
      <c r="D15" s="340" t="s">
        <v>160</v>
      </c>
      <c r="E15" s="341">
        <f>' Лента-расчеты'!I42</f>
        <v>0</v>
      </c>
      <c r="F15" s="342">
        <f>'Лента Матер - Работы'!D39</f>
        <v>150</v>
      </c>
      <c r="G15" s="343">
        <f t="shared" si="0"/>
        <v>0</v>
      </c>
      <c r="H15" s="1343"/>
      <c r="I15" s="1344"/>
      <c r="J15" s="344"/>
      <c r="K15" s="341"/>
      <c r="L15" s="345"/>
      <c r="M15" s="343"/>
    </row>
    <row r="16" spans="1:15" ht="30">
      <c r="A16" s="347">
        <v>4</v>
      </c>
      <c r="B16" s="348" t="s">
        <v>527</v>
      </c>
      <c r="C16" s="114">
        <f>[2]данные!D14*1000</f>
        <v>200</v>
      </c>
      <c r="D16" s="349" t="s">
        <v>63</v>
      </c>
      <c r="E16" s="350">
        <f>' Лента-расчеты'!I44</f>
        <v>0</v>
      </c>
      <c r="F16" s="351">
        <f>'Лента Матер - Работы'!D40</f>
        <v>800</v>
      </c>
      <c r="G16" s="352">
        <f t="shared" si="0"/>
        <v>0</v>
      </c>
      <c r="H16" s="1347" t="s">
        <v>465</v>
      </c>
      <c r="I16" s="1348"/>
      <c r="J16" s="353" t="s">
        <v>63</v>
      </c>
      <c r="K16" s="350">
        <f>E16*1.15</f>
        <v>0</v>
      </c>
      <c r="L16" s="354">
        <f>'Лента Матер - Работы'!E3</f>
        <v>1300</v>
      </c>
      <c r="M16" s="355">
        <f>K16*L16</f>
        <v>0</v>
      </c>
      <c r="O16" s="356"/>
    </row>
    <row r="17" spans="1:13" ht="30">
      <c r="A17" s="357">
        <v>5</v>
      </c>
      <c r="B17" s="1336" t="s">
        <v>528</v>
      </c>
      <c r="C17" s="1337"/>
      <c r="D17" s="358" t="s">
        <v>529</v>
      </c>
      <c r="E17" s="359">
        <f>' Лента-расчеты'!H48</f>
        <v>4.5</v>
      </c>
      <c r="F17" s="360">
        <f>'Лента Матер - Работы'!D41</f>
        <v>50</v>
      </c>
      <c r="G17" s="361">
        <f t="shared" si="0"/>
        <v>225</v>
      </c>
      <c r="H17" s="419" t="s">
        <v>466</v>
      </c>
      <c r="I17" s="420">
        <f>[2]расчеты!K11</f>
        <v>1500</v>
      </c>
      <c r="J17" s="362" t="s">
        <v>160</v>
      </c>
      <c r="K17" s="359">
        <f>' Лента-расчеты'!H48*1.1</f>
        <v>4.95</v>
      </c>
      <c r="L17" s="363">
        <f>IF(I17=1500,'Лента Матер - Работы'!E4,'Лента Матер - Работы'!E5)</f>
        <v>65</v>
      </c>
      <c r="M17" s="361">
        <f>K17*L17</f>
        <v>321.75</v>
      </c>
    </row>
    <row r="18" spans="1:13" ht="30">
      <c r="A18" s="364">
        <v>6</v>
      </c>
      <c r="B18" s="113" t="s">
        <v>530</v>
      </c>
      <c r="C18" s="114">
        <f>[2]данные!D15*1000</f>
        <v>200</v>
      </c>
      <c r="D18" s="365" t="s">
        <v>63</v>
      </c>
      <c r="E18" s="218">
        <f>' Лента-расчеты'!I46</f>
        <v>0</v>
      </c>
      <c r="F18" s="219">
        <f>'Лента Матер - Работы'!D42</f>
        <v>800</v>
      </c>
      <c r="G18" s="366">
        <f t="shared" si="0"/>
        <v>0</v>
      </c>
      <c r="H18" s="1349" t="s">
        <v>467</v>
      </c>
      <c r="I18" s="1350"/>
      <c r="J18" s="367" t="s">
        <v>63</v>
      </c>
      <c r="K18" s="218">
        <f>E18*1.15</f>
        <v>0</v>
      </c>
      <c r="L18" s="368">
        <f>'Лента Матер - Работы'!E6</f>
        <v>3150</v>
      </c>
      <c r="M18" s="366">
        <f>K18*L18</f>
        <v>0</v>
      </c>
    </row>
    <row r="19" spans="1:13" ht="14.5" customHeight="1">
      <c r="A19" s="94"/>
      <c r="B19" s="369"/>
      <c r="C19" s="94"/>
      <c r="D19" s="94"/>
      <c r="E19" s="1332" t="s">
        <v>157</v>
      </c>
      <c r="F19" s="1351"/>
      <c r="G19" s="370">
        <f>SUM(G13:G18)</f>
        <v>225</v>
      </c>
      <c r="H19" s="93"/>
      <c r="I19" s="93"/>
      <c r="J19" s="94"/>
      <c r="K19" s="1332" t="s">
        <v>158</v>
      </c>
      <c r="L19" s="1333"/>
      <c r="M19" s="371">
        <f>SUM(M13:M18)</f>
        <v>321.75</v>
      </c>
    </row>
    <row r="20" spans="1:13" ht="14.5" customHeight="1">
      <c r="A20" s="1334" t="s">
        <v>531</v>
      </c>
      <c r="B20" s="1334"/>
      <c r="C20" s="1334"/>
      <c r="D20" s="1334"/>
      <c r="E20" s="1334"/>
      <c r="F20" s="211"/>
      <c r="G20" s="94"/>
      <c r="H20" s="417" t="s">
        <v>541</v>
      </c>
      <c r="I20" s="93"/>
      <c r="J20" s="94"/>
      <c r="K20" s="211"/>
      <c r="L20" s="211"/>
      <c r="M20" s="94"/>
    </row>
    <row r="21" spans="1:13">
      <c r="A21" s="116" t="s">
        <v>146</v>
      </c>
      <c r="B21" s="1349" t="s">
        <v>501</v>
      </c>
      <c r="C21" s="1350"/>
      <c r="D21" s="372" t="s">
        <v>160</v>
      </c>
      <c r="E21" s="88">
        <f>' Лента-расчеты'!H50</f>
        <v>0</v>
      </c>
      <c r="F21" s="88">
        <f>'Лента Матер - Работы'!D43</f>
        <v>240</v>
      </c>
      <c r="G21" s="366">
        <f>E21*F21</f>
        <v>0</v>
      </c>
      <c r="H21" s="1345" t="s">
        <v>544</v>
      </c>
      <c r="I21" s="1346"/>
      <c r="J21" s="116" t="s">
        <v>63</v>
      </c>
      <c r="K21" s="88">
        <f>' Лента-расчеты'!P50</f>
        <v>0</v>
      </c>
      <c r="L21" s="88">
        <f>'Лента Матер - Работы'!E7</f>
        <v>16500</v>
      </c>
      <c r="M21" s="119">
        <f t="shared" ref="M21:M45" si="1">K21*L21</f>
        <v>0</v>
      </c>
    </row>
    <row r="22" spans="1:13">
      <c r="A22" s="116"/>
      <c r="B22" s="373"/>
      <c r="C22" s="374"/>
      <c r="D22" s="372"/>
      <c r="E22" s="88"/>
      <c r="F22" s="88"/>
      <c r="G22" s="163"/>
      <c r="H22" s="1345" t="s">
        <v>469</v>
      </c>
      <c r="I22" s="1346"/>
      <c r="J22" s="116" t="s">
        <v>85</v>
      </c>
      <c r="K22" s="88">
        <f>' Лента-расчеты'!O51+' Лента-расчеты'!O52</f>
        <v>0</v>
      </c>
      <c r="L22" s="88">
        <f>'Лента Матер - Работы'!E8</f>
        <v>240</v>
      </c>
      <c r="M22" s="119">
        <f t="shared" si="1"/>
        <v>0</v>
      </c>
    </row>
    <row r="23" spans="1:13">
      <c r="A23" s="116"/>
      <c r="B23" s="373"/>
      <c r="C23" s="374"/>
      <c r="D23" s="372"/>
      <c r="E23" s="88"/>
      <c r="F23" s="88"/>
      <c r="G23" s="163"/>
      <c r="H23" s="1345" t="s">
        <v>470</v>
      </c>
      <c r="I23" s="1346"/>
      <c r="J23" s="116" t="s">
        <v>156</v>
      </c>
      <c r="K23" s="88">
        <f>(' Лента-расчеты'!P51+' Лента-расчеты'!P52)/48</f>
        <v>0</v>
      </c>
      <c r="L23" s="88">
        <f>'Лента Матер - Работы'!E9</f>
        <v>360</v>
      </c>
      <c r="M23" s="119">
        <f t="shared" si="1"/>
        <v>0</v>
      </c>
    </row>
    <row r="24" spans="1:13">
      <c r="A24" s="116"/>
      <c r="B24" s="373"/>
      <c r="C24" s="374"/>
      <c r="D24" s="372"/>
      <c r="E24" s="88"/>
      <c r="F24" s="88"/>
      <c r="G24" s="163"/>
      <c r="H24" s="1345" t="s">
        <v>471</v>
      </c>
      <c r="I24" s="1346"/>
      <c r="J24" s="116" t="s">
        <v>156</v>
      </c>
      <c r="K24" s="88">
        <f>(' Лента-расчеты'!P51+' Лента-расчеты'!P52)/62</f>
        <v>0</v>
      </c>
      <c r="L24" s="88">
        <f>'Лента Матер - Работы'!E10</f>
        <v>360</v>
      </c>
      <c r="M24" s="119">
        <f t="shared" si="1"/>
        <v>0</v>
      </c>
    </row>
    <row r="25" spans="1:13">
      <c r="A25" s="116"/>
      <c r="B25" s="373"/>
      <c r="C25" s="374"/>
      <c r="D25" s="372"/>
      <c r="E25" s="88"/>
      <c r="F25" s="88"/>
      <c r="G25" s="163"/>
      <c r="H25" s="1345" t="s">
        <v>472</v>
      </c>
      <c r="I25" s="1346"/>
      <c r="J25" s="116" t="s">
        <v>148</v>
      </c>
      <c r="K25" s="88">
        <f>' Лента-расчеты'!K53</f>
        <v>0</v>
      </c>
      <c r="L25" s="88">
        <f>'Лента Матер - Работы'!E11</f>
        <v>60</v>
      </c>
      <c r="M25" s="119">
        <f t="shared" si="1"/>
        <v>0</v>
      </c>
    </row>
    <row r="26" spans="1:13">
      <c r="A26" s="375"/>
      <c r="B26" s="1349"/>
      <c r="C26" s="1350"/>
      <c r="D26" s="372"/>
      <c r="E26" s="88"/>
      <c r="F26" s="88"/>
      <c r="G26" s="163"/>
      <c r="H26" s="1349" t="s">
        <v>473</v>
      </c>
      <c r="I26" s="1350"/>
      <c r="J26" s="116" t="s">
        <v>156</v>
      </c>
      <c r="K26" s="88">
        <f>' Лента-расчеты'!K56</f>
        <v>0</v>
      </c>
      <c r="L26" s="88">
        <f>'Лента Матер - Работы'!E12</f>
        <v>160</v>
      </c>
      <c r="M26" s="119">
        <f t="shared" si="1"/>
        <v>0</v>
      </c>
    </row>
    <row r="27" spans="1:13" ht="14.5" customHeight="1">
      <c r="A27" s="376"/>
      <c r="B27" s="1352"/>
      <c r="C27" s="1353"/>
      <c r="D27" s="377"/>
      <c r="E27" s="378"/>
      <c r="F27" s="378"/>
      <c r="G27" s="379"/>
      <c r="H27" s="1354" t="s">
        <v>474</v>
      </c>
      <c r="I27" s="1346"/>
      <c r="J27" s="380" t="s">
        <v>156</v>
      </c>
      <c r="K27" s="381">
        <f>' Лента-расчеты'!K57</f>
        <v>0</v>
      </c>
      <c r="L27" s="381">
        <f>'Лента Матер - Работы'!E13</f>
        <v>390</v>
      </c>
      <c r="M27" s="382">
        <f t="shared" si="1"/>
        <v>0</v>
      </c>
    </row>
    <row r="28" spans="1:13">
      <c r="A28" s="375"/>
      <c r="B28" s="1352"/>
      <c r="C28" s="1353"/>
      <c r="D28" s="372"/>
      <c r="E28" s="88"/>
      <c r="F28" s="88"/>
      <c r="G28" s="163"/>
      <c r="H28" s="1345" t="s">
        <v>475</v>
      </c>
      <c r="I28" s="1346"/>
      <c r="J28" s="116" t="s">
        <v>160</v>
      </c>
      <c r="K28" s="88">
        <f>' Лента-расчеты'!H54</f>
        <v>0</v>
      </c>
      <c r="L28" s="88">
        <f>'Лента Матер - Работы'!E14</f>
        <v>100</v>
      </c>
      <c r="M28" s="119">
        <f t="shared" si="1"/>
        <v>0</v>
      </c>
    </row>
    <row r="29" spans="1:13" ht="27.5" customHeight="1">
      <c r="A29" s="224" t="s">
        <v>164</v>
      </c>
      <c r="B29" s="1355" t="s">
        <v>502</v>
      </c>
      <c r="C29" s="1356"/>
      <c r="D29" s="383" t="s">
        <v>423</v>
      </c>
      <c r="E29" s="416">
        <f>K29+K30+K31+K32+K36+K35</f>
        <v>0.12819330215999999</v>
      </c>
      <c r="F29" s="384">
        <f>'Лента Матер - Работы'!D44</f>
        <v>17500</v>
      </c>
      <c r="G29" s="366">
        <f t="shared" ref="G29:G35" si="2">E29*F29</f>
        <v>2243.3827877999997</v>
      </c>
      <c r="H29" s="1357" t="s">
        <v>476</v>
      </c>
      <c r="I29" s="1358"/>
      <c r="J29" s="385" t="s">
        <v>423</v>
      </c>
      <c r="K29" s="386">
        <f>' Лента-расчеты'!E48</f>
        <v>0</v>
      </c>
      <c r="L29" s="387">
        <f>'Лента Матер - Работы'!E15</f>
        <v>61735.53719008265</v>
      </c>
      <c r="M29" s="119">
        <f t="shared" si="1"/>
        <v>0</v>
      </c>
    </row>
    <row r="30" spans="1:13">
      <c r="A30" s="388" t="s">
        <v>532</v>
      </c>
      <c r="B30" s="1355" t="s">
        <v>503</v>
      </c>
      <c r="C30" s="1356"/>
      <c r="D30" s="389" t="s">
        <v>85</v>
      </c>
      <c r="E30" s="390">
        <f>' Лента-расчеты'!B59+' Лента-расчеты'!B60</f>
        <v>0</v>
      </c>
      <c r="F30" s="391">
        <f>'Лента Матер - Работы'!D45</f>
        <v>12</v>
      </c>
      <c r="G30" s="392">
        <f t="shared" si="2"/>
        <v>0</v>
      </c>
      <c r="H30" s="1357" t="s">
        <v>477</v>
      </c>
      <c r="I30" s="1358"/>
      <c r="J30" s="393" t="s">
        <v>423</v>
      </c>
      <c r="K30" s="394">
        <f>' Лента-расчеты'!E59+' Лента-расчеты'!E60</f>
        <v>0</v>
      </c>
      <c r="L30" s="84">
        <f>'Лента Матер - Работы'!E16</f>
        <v>70886.075949367078</v>
      </c>
      <c r="M30" s="119">
        <f t="shared" si="1"/>
        <v>0</v>
      </c>
    </row>
    <row r="31" spans="1:13">
      <c r="A31" s="395" t="s">
        <v>533</v>
      </c>
      <c r="B31" s="1355" t="s">
        <v>504</v>
      </c>
      <c r="C31" s="1356"/>
      <c r="D31" s="349" t="s">
        <v>85</v>
      </c>
      <c r="E31" s="350">
        <f>' Лента-расчеты'!B54+' Лента-расчеты'!B55</f>
        <v>99</v>
      </c>
      <c r="F31" s="396">
        <f>'Лента Матер - Работы'!D46</f>
        <v>7</v>
      </c>
      <c r="G31" s="397">
        <f t="shared" si="2"/>
        <v>693</v>
      </c>
      <c r="H31" s="1357" t="s">
        <v>476</v>
      </c>
      <c r="I31" s="1358"/>
      <c r="J31" s="385" t="s">
        <v>423</v>
      </c>
      <c r="K31" s="386">
        <f>' Лента-расчеты'!E54+' Лента-расчеты'!E55</f>
        <v>0.125679708</v>
      </c>
      <c r="L31" s="387">
        <f>'Лента Матер - Работы'!E15</f>
        <v>61735.53719008265</v>
      </c>
      <c r="M31" s="119">
        <f t="shared" si="1"/>
        <v>7758.9042872727277</v>
      </c>
    </row>
    <row r="32" spans="1:13">
      <c r="A32" s="189" t="s">
        <v>534</v>
      </c>
      <c r="B32" s="1355" t="s">
        <v>505</v>
      </c>
      <c r="C32" s="1356"/>
      <c r="D32" s="365" t="s">
        <v>85</v>
      </c>
      <c r="E32" s="218">
        <f>' Лента-расчеты'!B57</f>
        <v>0</v>
      </c>
      <c r="F32" s="163">
        <f>'Лента Матер - Работы'!D47</f>
        <v>7</v>
      </c>
      <c r="G32" s="366">
        <f t="shared" si="2"/>
        <v>0</v>
      </c>
      <c r="H32" s="1357" t="s">
        <v>476</v>
      </c>
      <c r="I32" s="1358"/>
      <c r="J32" s="393" t="s">
        <v>423</v>
      </c>
      <c r="K32" s="394">
        <f>' Лента-расчеты'!E57</f>
        <v>0</v>
      </c>
      <c r="L32" s="84">
        <f>'Лента Матер - Работы'!E15</f>
        <v>61735.53719008265</v>
      </c>
      <c r="M32" s="119">
        <f t="shared" si="1"/>
        <v>0</v>
      </c>
    </row>
    <row r="33" spans="1:13">
      <c r="A33" s="189"/>
      <c r="B33" s="1355" t="s">
        <v>506</v>
      </c>
      <c r="C33" s="1356"/>
      <c r="D33" s="365" t="s">
        <v>85</v>
      </c>
      <c r="E33" s="218">
        <f>' Лента-расчеты'!B50</f>
        <v>0</v>
      </c>
      <c r="F33" s="163">
        <f>'Лента Матер - Работы'!D48</f>
        <v>7</v>
      </c>
      <c r="G33" s="366">
        <f t="shared" si="2"/>
        <v>0</v>
      </c>
      <c r="H33" s="1357" t="s">
        <v>476</v>
      </c>
      <c r="I33" s="1358"/>
      <c r="J33" s="385" t="s">
        <v>423</v>
      </c>
      <c r="K33" s="394">
        <f>' Лента-расчеты'!E50</f>
        <v>0</v>
      </c>
      <c r="L33" s="84">
        <f>'Лента Матер - Работы'!E15</f>
        <v>61735.53719008265</v>
      </c>
      <c r="M33" s="119">
        <f t="shared" si="1"/>
        <v>0</v>
      </c>
    </row>
    <row r="34" spans="1:13">
      <c r="A34" s="189"/>
      <c r="B34" s="1355" t="s">
        <v>507</v>
      </c>
      <c r="C34" s="1356"/>
      <c r="D34" s="365" t="s">
        <v>85</v>
      </c>
      <c r="E34" s="218">
        <f>' Лента-расчеты'!B52</f>
        <v>0</v>
      </c>
      <c r="F34" s="163">
        <f>'Лента Матер - Работы'!D49</f>
        <v>7</v>
      </c>
      <c r="G34" s="366">
        <f t="shared" si="2"/>
        <v>0</v>
      </c>
      <c r="H34" s="1357" t="s">
        <v>476</v>
      </c>
      <c r="I34" s="1358"/>
      <c r="J34" s="393" t="s">
        <v>423</v>
      </c>
      <c r="K34" s="394">
        <f>' Лента-расчеты'!E52</f>
        <v>0</v>
      </c>
      <c r="L34" s="84">
        <f>'Лента Матер - Работы'!E15</f>
        <v>61735.53719008265</v>
      </c>
      <c r="M34" s="119">
        <f t="shared" si="1"/>
        <v>0</v>
      </c>
    </row>
    <row r="35" spans="1:13">
      <c r="A35" s="189" t="s">
        <v>535</v>
      </c>
      <c r="B35" s="1359" t="s">
        <v>508</v>
      </c>
      <c r="C35" s="1360"/>
      <c r="D35" s="398" t="s">
        <v>85</v>
      </c>
      <c r="E35" s="218">
        <f>' Лента-расчеты'!B62</f>
        <v>1</v>
      </c>
      <c r="F35" s="163">
        <f>'Лента Матер - Работы'!D50</f>
        <v>3</v>
      </c>
      <c r="G35" s="366">
        <f t="shared" si="2"/>
        <v>3</v>
      </c>
      <c r="H35" s="1357" t="s">
        <v>476</v>
      </c>
      <c r="I35" s="1358"/>
      <c r="J35" s="393" t="s">
        <v>423</v>
      </c>
      <c r="K35" s="394">
        <f>' Лента-расчеты'!E62</f>
        <v>0</v>
      </c>
      <c r="L35" s="84">
        <f>'Лента Матер - Работы'!E15</f>
        <v>61735.53719008265</v>
      </c>
      <c r="M35" s="119">
        <f t="shared" si="1"/>
        <v>0</v>
      </c>
    </row>
    <row r="36" spans="1:13">
      <c r="A36" s="399"/>
      <c r="B36" s="1357"/>
      <c r="C36" s="1358"/>
      <c r="D36" s="398"/>
      <c r="E36" s="218"/>
      <c r="F36" s="163"/>
      <c r="G36" s="366"/>
      <c r="H36" s="1357" t="s">
        <v>478</v>
      </c>
      <c r="I36" s="1358"/>
      <c r="J36" s="393" t="s">
        <v>423</v>
      </c>
      <c r="K36" s="394">
        <f>' Лента-расчеты'!E64</f>
        <v>2.5135941599999999E-3</v>
      </c>
      <c r="L36" s="84">
        <f>'Лента Матер - Работы'!E17</f>
        <v>130000</v>
      </c>
      <c r="M36" s="119">
        <f t="shared" si="1"/>
        <v>326.76724079999997</v>
      </c>
    </row>
    <row r="37" spans="1:13">
      <c r="A37" s="400" t="s">
        <v>536</v>
      </c>
      <c r="B37" s="1357" t="s">
        <v>509</v>
      </c>
      <c r="C37" s="1358"/>
      <c r="D37" s="398" t="s">
        <v>85</v>
      </c>
      <c r="E37" s="218">
        <f>' Лента-расчеты'!I59+' Лента-расчеты'!I60</f>
        <v>0</v>
      </c>
      <c r="F37" s="163">
        <f>'Лента Матер - Работы'!D51</f>
        <v>50</v>
      </c>
      <c r="G37" s="366">
        <f t="shared" ref="G37:G38" si="3">E37*F37</f>
        <v>0</v>
      </c>
      <c r="H37" s="1357" t="s">
        <v>537</v>
      </c>
      <c r="I37" s="1358"/>
      <c r="J37" s="393" t="s">
        <v>85</v>
      </c>
      <c r="K37" s="415" t="e">
        <f>' Лента-расчеты'!K59+' Лента-расчеты'!K60</f>
        <v>#DIV/0!</v>
      </c>
      <c r="L37" s="84">
        <f>'Лента Матер - Работы'!E20</f>
        <v>1200</v>
      </c>
      <c r="M37" s="119" t="e">
        <f t="shared" si="1"/>
        <v>#DIV/0!</v>
      </c>
    </row>
    <row r="38" spans="1:13">
      <c r="A38" s="401" t="s">
        <v>196</v>
      </c>
      <c r="B38" s="1336" t="s">
        <v>510</v>
      </c>
      <c r="C38" s="1337"/>
      <c r="D38" s="114" t="s">
        <v>63</v>
      </c>
      <c r="E38" s="218">
        <f>' Лента-расчеты'!A66</f>
        <v>0</v>
      </c>
      <c r="F38" s="219">
        <f>'Лента Матер - Работы'!D52</f>
        <v>5850</v>
      </c>
      <c r="G38" s="366">
        <f t="shared" si="3"/>
        <v>0</v>
      </c>
      <c r="H38" s="1336" t="s">
        <v>479</v>
      </c>
      <c r="I38" s="1337"/>
      <c r="J38" s="118" t="s">
        <v>63</v>
      </c>
      <c r="K38" s="85">
        <f>E38*1.1</f>
        <v>0</v>
      </c>
      <c r="L38" s="84">
        <f>'Лента Матер - Работы'!E18</f>
        <v>7200</v>
      </c>
      <c r="M38" s="119">
        <f t="shared" si="1"/>
        <v>0</v>
      </c>
    </row>
    <row r="39" spans="1:13">
      <c r="A39" s="402"/>
      <c r="B39" s="1336"/>
      <c r="C39" s="1337"/>
      <c r="D39" s="114"/>
      <c r="E39" s="218"/>
      <c r="F39" s="219"/>
      <c r="G39" s="366"/>
      <c r="H39" s="1336" t="s">
        <v>480</v>
      </c>
      <c r="I39" s="1337"/>
      <c r="J39" s="118" t="s">
        <v>85</v>
      </c>
      <c r="K39" s="85">
        <f>' Лента-расчеты'!B62</f>
        <v>1</v>
      </c>
      <c r="L39" s="84">
        <f>'Лента Матер - Работы'!E19</f>
        <v>11</v>
      </c>
      <c r="M39" s="119">
        <f t="shared" si="1"/>
        <v>11</v>
      </c>
    </row>
    <row r="40" spans="1:13" ht="16">
      <c r="A40" s="402"/>
      <c r="B40" s="1336"/>
      <c r="C40" s="1337"/>
      <c r="D40" s="403"/>
      <c r="E40" s="218"/>
      <c r="F40" s="219"/>
      <c r="G40" s="366"/>
      <c r="H40" s="1361" t="s">
        <v>485</v>
      </c>
      <c r="I40" s="1362"/>
      <c r="J40" s="118"/>
      <c r="K40" s="85"/>
      <c r="L40" s="84"/>
      <c r="M40" s="119"/>
    </row>
    <row r="41" spans="1:13">
      <c r="A41" s="112"/>
      <c r="B41" s="1363"/>
      <c r="C41" s="1364"/>
      <c r="D41" s="114"/>
      <c r="E41" s="218"/>
      <c r="F41" s="219"/>
      <c r="G41" s="366"/>
      <c r="H41" s="1365" t="s">
        <v>486</v>
      </c>
      <c r="I41" s="1366"/>
      <c r="J41" s="118" t="s">
        <v>85</v>
      </c>
      <c r="K41" s="191">
        <f>ROUNDUP('Лента Матер - Работы'!F25,0)</f>
        <v>1</v>
      </c>
      <c r="L41" s="84">
        <f>'Лента Матер - Работы'!E25</f>
        <v>45</v>
      </c>
      <c r="M41" s="119">
        <f t="shared" si="1"/>
        <v>45</v>
      </c>
    </row>
    <row r="42" spans="1:13">
      <c r="A42" s="112"/>
      <c r="B42" s="1363"/>
      <c r="C42" s="1364"/>
      <c r="D42" s="114"/>
      <c r="E42" s="218"/>
      <c r="F42" s="219"/>
      <c r="G42" s="366"/>
      <c r="H42" s="1365" t="s">
        <v>487</v>
      </c>
      <c r="I42" s="1366"/>
      <c r="J42" s="118" t="s">
        <v>538</v>
      </c>
      <c r="K42" s="191">
        <f>'Лента Матер - Работы'!F26</f>
        <v>0</v>
      </c>
      <c r="L42" s="84">
        <f>'Лента Матер - Работы'!E26</f>
        <v>55</v>
      </c>
      <c r="M42" s="119">
        <f t="shared" si="1"/>
        <v>0</v>
      </c>
    </row>
    <row r="43" spans="1:13">
      <c r="A43" s="112"/>
      <c r="B43" s="1363"/>
      <c r="C43" s="1364"/>
      <c r="D43" s="114"/>
      <c r="E43" s="218"/>
      <c r="F43" s="219"/>
      <c r="G43" s="366"/>
      <c r="H43" s="1365" t="s">
        <v>489</v>
      </c>
      <c r="I43" s="1366"/>
      <c r="J43" s="118" t="s">
        <v>539</v>
      </c>
      <c r="K43" s="191">
        <f>'Лента Матер - Работы'!F27</f>
        <v>0</v>
      </c>
      <c r="L43" s="84">
        <f>'Лента Матер - Работы'!E27</f>
        <v>170</v>
      </c>
      <c r="M43" s="119">
        <f t="shared" si="1"/>
        <v>0</v>
      </c>
    </row>
    <row r="44" spans="1:13">
      <c r="A44" s="112" t="s">
        <v>225</v>
      </c>
      <c r="B44" s="1336" t="s">
        <v>511</v>
      </c>
      <c r="C44" s="1337"/>
      <c r="D44" s="114" t="s">
        <v>160</v>
      </c>
      <c r="E44" s="218">
        <f>' Лента-расчеты'!L62+' Лента-расчеты'!L63</f>
        <v>0</v>
      </c>
      <c r="F44" s="219">
        <f>'Лента Матер - Работы'!D53</f>
        <v>450</v>
      </c>
      <c r="G44" s="366">
        <f>E44*F44</f>
        <v>0</v>
      </c>
      <c r="H44" s="1368" t="s">
        <v>482</v>
      </c>
      <c r="I44" s="1369"/>
      <c r="J44" s="118" t="s">
        <v>184</v>
      </c>
      <c r="K44" s="191" t="e">
        <f>ROUNDUP(' Лента-расчеты'!H62+' Лента-расчеты'!H63,0)</f>
        <v>#DIV/0!</v>
      </c>
      <c r="L44" s="84">
        <f>'Лента Матер - Работы'!E21</f>
        <v>980</v>
      </c>
      <c r="M44" s="119" t="e">
        <f>K44*L44</f>
        <v>#DIV/0!</v>
      </c>
    </row>
    <row r="45" spans="1:13">
      <c r="A45" s="112"/>
      <c r="B45" s="1363"/>
      <c r="C45" s="1364"/>
      <c r="D45" s="114"/>
      <c r="E45" s="218"/>
      <c r="F45" s="219"/>
      <c r="G45" s="366"/>
      <c r="H45" s="1370" t="s">
        <v>483</v>
      </c>
      <c r="I45" s="1371"/>
      <c r="J45" s="118" t="s">
        <v>484</v>
      </c>
      <c r="K45" s="191">
        <f>' Лента-расчеты'!N64</f>
        <v>0</v>
      </c>
      <c r="L45" s="84">
        <f>'Лента Матер - Работы'!E22</f>
        <v>3968</v>
      </c>
      <c r="M45" s="119">
        <f t="shared" si="1"/>
        <v>0</v>
      </c>
    </row>
    <row r="46" spans="1:13" ht="14.5" customHeight="1">
      <c r="A46" s="89"/>
      <c r="B46" s="90"/>
      <c r="C46" s="91"/>
      <c r="D46" s="91"/>
      <c r="E46" s="1332" t="s">
        <v>157</v>
      </c>
      <c r="F46" s="1333"/>
      <c r="G46" s="92">
        <f>SUM(G21:G45)</f>
        <v>2939.3827877999997</v>
      </c>
      <c r="H46" s="93"/>
      <c r="I46" s="93"/>
      <c r="J46" s="94"/>
      <c r="K46" s="1332" t="s">
        <v>158</v>
      </c>
      <c r="L46" s="1333"/>
      <c r="M46" s="227" t="e">
        <f>SUM(M21:M45)</f>
        <v>#DIV/0!</v>
      </c>
    </row>
    <row r="47" spans="1:13" ht="14.5" customHeight="1">
      <c r="A47" s="1372" t="s">
        <v>543</v>
      </c>
      <c r="B47" s="1372"/>
      <c r="C47" s="128"/>
      <c r="D47" s="126"/>
      <c r="E47" s="316"/>
      <c r="F47" s="316"/>
      <c r="G47" s="128"/>
      <c r="H47" s="418" t="s">
        <v>542</v>
      </c>
      <c r="I47" s="125"/>
      <c r="J47" s="126"/>
      <c r="K47" s="317"/>
      <c r="L47" s="317"/>
      <c r="M47" s="128"/>
    </row>
    <row r="48" spans="1:13">
      <c r="A48" s="130"/>
      <c r="B48" s="1349" t="s">
        <v>512</v>
      </c>
      <c r="C48" s="1350"/>
      <c r="D48" s="404" t="s">
        <v>166</v>
      </c>
      <c r="E48" s="88">
        <f>K50</f>
        <v>1</v>
      </c>
      <c r="F48" s="405">
        <f>'Лента Матер - Работы'!D54</f>
        <v>4500</v>
      </c>
      <c r="G48" s="130">
        <f>E48*F48</f>
        <v>4500</v>
      </c>
      <c r="H48" s="406"/>
      <c r="I48" s="406"/>
      <c r="J48" s="82"/>
      <c r="K48" s="191"/>
      <c r="L48" s="84"/>
      <c r="M48" s="130"/>
    </row>
    <row r="49" spans="1:13">
      <c r="A49" s="130"/>
      <c r="B49" s="1349"/>
      <c r="C49" s="1350"/>
      <c r="D49" s="404"/>
      <c r="E49" s="88"/>
      <c r="F49" s="405"/>
      <c r="G49" s="130"/>
      <c r="H49" s="133" t="s">
        <v>163</v>
      </c>
      <c r="I49" s="133"/>
      <c r="J49" s="130" t="s">
        <v>167</v>
      </c>
      <c r="K49" s="164">
        <f>' Лента-расчеты'!I68</f>
        <v>1</v>
      </c>
      <c r="L49" s="407">
        <f>'Лента Матер - Работы'!C86+'Лента Матер - Работы'!E86*'Лента - данные'!D35</f>
        <v>3500</v>
      </c>
      <c r="M49" s="130">
        <f>K49*L49</f>
        <v>3500</v>
      </c>
    </row>
    <row r="50" spans="1:13">
      <c r="A50" s="130"/>
      <c r="B50" s="1349"/>
      <c r="C50" s="1350"/>
      <c r="D50" s="404"/>
      <c r="E50" s="408"/>
      <c r="F50" s="409"/>
      <c r="G50" s="138"/>
      <c r="H50" s="133" t="s">
        <v>491</v>
      </c>
      <c r="I50" s="133"/>
      <c r="J50" s="130" t="s">
        <v>167</v>
      </c>
      <c r="K50" s="164">
        <f>' Лента-расчеты'!E68</f>
        <v>1</v>
      </c>
      <c r="L50" s="407">
        <f>'Лента Матер - Работы'!C87+'Лента Матер - Работы'!E87*'Лента - данные'!D35</f>
        <v>5000</v>
      </c>
      <c r="M50" s="130">
        <f>K50*L50</f>
        <v>5000</v>
      </c>
    </row>
    <row r="51" spans="1:13">
      <c r="A51" s="130"/>
      <c r="B51" s="1373"/>
      <c r="C51" s="1374"/>
      <c r="D51" s="404"/>
      <c r="E51" s="408"/>
      <c r="F51" s="409"/>
      <c r="G51" s="138"/>
      <c r="H51" s="133" t="s">
        <v>492</v>
      </c>
      <c r="I51" s="133"/>
      <c r="J51" s="130" t="s">
        <v>167</v>
      </c>
      <c r="K51" s="164">
        <f>' Лента-расчеты'!J68*' Лента-расчеты'!K68</f>
        <v>0</v>
      </c>
      <c r="L51" s="407">
        <f>'Лента Матер - Работы'!C88</f>
        <v>18500</v>
      </c>
      <c r="M51" s="130">
        <f t="shared" ref="M51:M52" si="4">K51*L51</f>
        <v>0</v>
      </c>
    </row>
    <row r="52" spans="1:13">
      <c r="A52" s="130"/>
      <c r="B52" s="1349"/>
      <c r="C52" s="1350"/>
      <c r="D52" s="404"/>
      <c r="E52" s="408"/>
      <c r="F52" s="409"/>
      <c r="G52" s="138"/>
      <c r="H52" s="134" t="s">
        <v>493</v>
      </c>
      <c r="I52" s="134"/>
      <c r="J52" s="139" t="s">
        <v>167</v>
      </c>
      <c r="K52" s="164">
        <f>' Лента-расчеты'!L31</f>
        <v>0</v>
      </c>
      <c r="L52" s="88">
        <f>'Лента Матер - Работы'!C89</f>
        <v>23500</v>
      </c>
      <c r="M52" s="130">
        <f t="shared" si="4"/>
        <v>0</v>
      </c>
    </row>
    <row r="53" spans="1:13" ht="14.5" customHeight="1">
      <c r="A53" s="126"/>
      <c r="B53" s="125"/>
      <c r="C53" s="126"/>
      <c r="D53" s="126"/>
      <c r="E53" s="1242" t="s">
        <v>157</v>
      </c>
      <c r="F53" s="1243"/>
      <c r="G53" s="421">
        <f>SUM(G48:G52)</f>
        <v>4500</v>
      </c>
      <c r="H53" s="125"/>
      <c r="I53" s="125"/>
      <c r="J53" s="126"/>
      <c r="K53" s="1367" t="s">
        <v>20</v>
      </c>
      <c r="L53" s="1367"/>
      <c r="M53" s="421">
        <f>SUM(M48:M52)</f>
        <v>8500</v>
      </c>
    </row>
    <row r="54" spans="1:13">
      <c r="A54" s="130"/>
      <c r="B54" s="131"/>
      <c r="C54" s="130"/>
      <c r="D54" s="130"/>
      <c r="E54" s="408"/>
      <c r="F54" s="408"/>
      <c r="G54" s="138"/>
      <c r="H54" s="131"/>
      <c r="I54" s="131"/>
      <c r="J54" s="130"/>
      <c r="K54" s="423"/>
      <c r="L54" s="423"/>
      <c r="M54" s="138"/>
    </row>
    <row r="55" spans="1:13">
      <c r="A55" s="33"/>
      <c r="B55" s="33"/>
      <c r="C55" s="280"/>
      <c r="D55" s="33"/>
      <c r="E55" s="424"/>
      <c r="F55" s="33"/>
      <c r="G55" s="33"/>
      <c r="H55" s="33"/>
      <c r="I55" s="33"/>
      <c r="J55" s="33"/>
      <c r="K55" s="33"/>
      <c r="L55" s="424"/>
      <c r="M55" s="33"/>
    </row>
    <row r="56" spans="1:13" ht="14.5" customHeight="1">
      <c r="F56" s="1375" t="s">
        <v>170</v>
      </c>
      <c r="G56" s="1376"/>
      <c r="H56" s="422">
        <f>G19+G46+G53</f>
        <v>7664.3827877999993</v>
      </c>
      <c r="I56" s="411"/>
    </row>
    <row r="57" spans="1:13" ht="28.25" customHeight="1">
      <c r="F57" s="1196" t="s">
        <v>171</v>
      </c>
      <c r="G57" s="1197"/>
      <c r="H57" s="303">
        <f>H56*0.03</f>
        <v>229.93148363399996</v>
      </c>
      <c r="I57" s="411"/>
    </row>
    <row r="58" spans="1:13" ht="30" customHeight="1">
      <c r="F58" s="1196" t="s">
        <v>172</v>
      </c>
      <c r="G58" s="1197"/>
      <c r="H58" s="303">
        <f>H56*0.16</f>
        <v>1226.3012460479999</v>
      </c>
      <c r="I58" s="411"/>
    </row>
    <row r="59" spans="1:13">
      <c r="F59" s="1196" t="s">
        <v>20</v>
      </c>
      <c r="G59" s="1197"/>
      <c r="H59" s="303">
        <f>H56+H57+H58</f>
        <v>9120.6155174819996</v>
      </c>
      <c r="I59" s="411"/>
    </row>
    <row r="60" spans="1:13" ht="14.5" customHeight="1">
      <c r="F60" s="1196" t="s">
        <v>173</v>
      </c>
      <c r="G60" s="1197"/>
      <c r="H60" s="303" t="e">
        <f>M19+M46</f>
        <v>#DIV/0!</v>
      </c>
      <c r="I60" s="411"/>
    </row>
    <row r="61" spans="1:13" ht="30" customHeight="1">
      <c r="F61" s="1196" t="s">
        <v>540</v>
      </c>
      <c r="G61" s="1197"/>
      <c r="H61" s="303" t="e">
        <f>H60*0.035</f>
        <v>#DIV/0!</v>
      </c>
      <c r="I61" s="411"/>
    </row>
    <row r="62" spans="1:13" ht="14.5" customHeight="1">
      <c r="F62" s="1196" t="s">
        <v>174</v>
      </c>
      <c r="G62" s="1197"/>
      <c r="H62" s="303">
        <f>M53</f>
        <v>8500</v>
      </c>
      <c r="I62" s="411"/>
    </row>
    <row r="63" spans="1:13">
      <c r="F63" s="1196" t="s">
        <v>20</v>
      </c>
      <c r="G63" s="1197"/>
      <c r="H63" s="303" t="e">
        <f>H60+H61+H62</f>
        <v>#DIV/0!</v>
      </c>
      <c r="I63" s="411"/>
    </row>
    <row r="64" spans="1:13">
      <c r="F64" s="1377" t="s">
        <v>175</v>
      </c>
      <c r="G64" s="1378"/>
      <c r="H64" s="304" t="e">
        <f>H59+H63</f>
        <v>#DIV/0!</v>
      </c>
      <c r="I64" s="412"/>
    </row>
    <row r="65" spans="6:12" ht="16" thickBot="1">
      <c r="F65" s="1198" t="s">
        <v>176</v>
      </c>
      <c r="G65" s="1199"/>
      <c r="H65" s="305">
        <f>H56*0.03</f>
        <v>229.93148363399996</v>
      </c>
      <c r="I65" s="413"/>
    </row>
    <row r="66" spans="6:12" ht="17" thickBot="1">
      <c r="F66" s="1379" t="s">
        <v>177</v>
      </c>
      <c r="G66" s="1380"/>
      <c r="H66" s="144" t="e">
        <f>H64+H65</f>
        <v>#DIV/0!</v>
      </c>
      <c r="I66" s="413"/>
      <c r="K66" s="145"/>
      <c r="L66" s="414"/>
    </row>
  </sheetData>
  <customSheetViews>
    <customSheetView guid="{3274156B-1D2A-4448-883E-F1EEF1AAE0AF}" state="hidden" topLeftCell="A46">
      <selection activeCell="K61" sqref="K61"/>
      <pageMargins left="0.7" right="0.7" top="0.75" bottom="0.75" header="0.3" footer="0.3"/>
    </customSheetView>
  </customSheetViews>
  <mergeCells count="99">
    <mergeCell ref="F57:G57"/>
    <mergeCell ref="F58:G58"/>
    <mergeCell ref="F66:G66"/>
    <mergeCell ref="F60:G60"/>
    <mergeCell ref="F61:G61"/>
    <mergeCell ref="F62:G62"/>
    <mergeCell ref="F63:G63"/>
    <mergeCell ref="F64:G64"/>
    <mergeCell ref="F65:G65"/>
    <mergeCell ref="F59:G59"/>
    <mergeCell ref="B49:C49"/>
    <mergeCell ref="B50:C50"/>
    <mergeCell ref="B51:C51"/>
    <mergeCell ref="K53:L53"/>
    <mergeCell ref="F56:G56"/>
    <mergeCell ref="B52:C52"/>
    <mergeCell ref="E53:F53"/>
    <mergeCell ref="K46:L46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E46:F46"/>
    <mergeCell ref="A47:B47"/>
    <mergeCell ref="B48:C48"/>
    <mergeCell ref="B38:C38"/>
    <mergeCell ref="H38:I38"/>
    <mergeCell ref="B39:C39"/>
    <mergeCell ref="H39:I39"/>
    <mergeCell ref="B40:C40"/>
    <mergeCell ref="H40:I40"/>
    <mergeCell ref="B35:C35"/>
    <mergeCell ref="H35:I35"/>
    <mergeCell ref="B36:C36"/>
    <mergeCell ref="H36:I36"/>
    <mergeCell ref="B37:C37"/>
    <mergeCell ref="H37:I37"/>
    <mergeCell ref="B32:C32"/>
    <mergeCell ref="H32:I32"/>
    <mergeCell ref="B33:C33"/>
    <mergeCell ref="H33:I33"/>
    <mergeCell ref="B34:C34"/>
    <mergeCell ref="H34:I34"/>
    <mergeCell ref="B29:C29"/>
    <mergeCell ref="H29:I29"/>
    <mergeCell ref="B30:C30"/>
    <mergeCell ref="H30:I30"/>
    <mergeCell ref="B31:C31"/>
    <mergeCell ref="H31:I31"/>
    <mergeCell ref="B26:C26"/>
    <mergeCell ref="H26:I26"/>
    <mergeCell ref="B27:C27"/>
    <mergeCell ref="H27:I27"/>
    <mergeCell ref="B28:C28"/>
    <mergeCell ref="H28:I28"/>
    <mergeCell ref="H25:I25"/>
    <mergeCell ref="H16:I16"/>
    <mergeCell ref="B17:C17"/>
    <mergeCell ref="H18:I18"/>
    <mergeCell ref="E19:F19"/>
    <mergeCell ref="B21:C21"/>
    <mergeCell ref="H21:I21"/>
    <mergeCell ref="H22:I22"/>
    <mergeCell ref="H23:I23"/>
    <mergeCell ref="H24:I24"/>
    <mergeCell ref="K19:L19"/>
    <mergeCell ref="A20:E20"/>
    <mergeCell ref="A12:B12"/>
    <mergeCell ref="B13:C13"/>
    <mergeCell ref="H13:I13"/>
    <mergeCell ref="B14:C14"/>
    <mergeCell ref="H14:I14"/>
    <mergeCell ref="B15:C15"/>
    <mergeCell ref="H15:I15"/>
    <mergeCell ref="D8:I8"/>
    <mergeCell ref="B9:D9"/>
    <mergeCell ref="B10:C10"/>
    <mergeCell ref="H10:I10"/>
    <mergeCell ref="B11:C11"/>
    <mergeCell ref="H11:I11"/>
    <mergeCell ref="A7:M7"/>
    <mergeCell ref="H1:M1"/>
    <mergeCell ref="A2:B2"/>
    <mergeCell ref="D2:F2"/>
    <mergeCell ref="H2:M2"/>
    <mergeCell ref="A3:B3"/>
    <mergeCell ref="D3:F3"/>
    <mergeCell ref="H3:J3"/>
    <mergeCell ref="H4:M4"/>
    <mergeCell ref="A5:B5"/>
    <mergeCell ref="D5:F5"/>
    <mergeCell ref="I5:M5"/>
    <mergeCell ref="A6:M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427F-BB77-490D-A93C-C678918401D2}">
  <sheetPr codeName="Worksheet____13"/>
  <dimension ref="A1:XFD84"/>
  <sheetViews>
    <sheetView topLeftCell="A4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7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7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7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7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7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7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7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7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7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7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7">
      <c r="A12" s="1228" t="s">
        <v>211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7" s="157" customFormat="1">
      <c r="A13" s="189" t="s">
        <v>146</v>
      </c>
      <c r="B13" s="161" t="s">
        <v>199</v>
      </c>
      <c r="C13" s="190" t="s">
        <v>63</v>
      </c>
      <c r="D13" s="232">
        <f>'Данные Брус'!D130</f>
        <v>21.786428571428573</v>
      </c>
      <c r="E13" s="163">
        <f>'Данные Брус'!E29</f>
        <v>5000</v>
      </c>
      <c r="F13" s="42">
        <f>D13*E13</f>
        <v>108932.14285714287</v>
      </c>
      <c r="G13" s="161" t="s">
        <v>200</v>
      </c>
      <c r="H13" s="82" t="s">
        <v>63</v>
      </c>
      <c r="I13" s="233">
        <f>'Данные Брус'!E130</f>
        <v>22.644642857142859</v>
      </c>
      <c r="J13" s="84">
        <f>'Данные Брус'!F130</f>
        <v>26000</v>
      </c>
      <c r="K13" s="85">
        <f t="shared" ref="K13:K15" si="0">I13*J13</f>
        <v>588760.71428571432</v>
      </c>
      <c r="L13"/>
      <c r="M13"/>
      <c r="N13"/>
      <c r="O13"/>
      <c r="P13"/>
      <c r="Q13"/>
    </row>
    <row r="14" spans="1:17" s="157" customFormat="1">
      <c r="A14" s="189" t="s">
        <v>164</v>
      </c>
      <c r="B14" s="161" t="s">
        <v>221</v>
      </c>
      <c r="C14" s="190" t="s">
        <v>86</v>
      </c>
      <c r="D14" s="199">
        <f>'Расчёт - Брус'!D208</f>
        <v>4224</v>
      </c>
      <c r="E14" s="163">
        <v>5</v>
      </c>
      <c r="F14" s="42">
        <f>D14*E14</f>
        <v>21120</v>
      </c>
      <c r="G14" s="161" t="s">
        <v>147</v>
      </c>
      <c r="H14" s="82" t="s">
        <v>63</v>
      </c>
      <c r="I14" s="191">
        <f>D14</f>
        <v>4224</v>
      </c>
      <c r="J14" s="84">
        <f>'Данные Брус'!G130</f>
        <v>9</v>
      </c>
      <c r="K14" s="85">
        <f t="shared" si="0"/>
        <v>38016</v>
      </c>
      <c r="L14"/>
      <c r="M14"/>
      <c r="N14"/>
      <c r="O14"/>
      <c r="P14"/>
      <c r="Q14"/>
    </row>
    <row r="15" spans="1:17" s="157" customFormat="1">
      <c r="A15" s="189"/>
      <c r="B15" s="161"/>
      <c r="C15" s="190"/>
      <c r="D15" s="163"/>
      <c r="E15" s="163"/>
      <c r="F15" s="42"/>
      <c r="G15" s="200" t="s">
        <v>180</v>
      </c>
      <c r="H15" s="201" t="s">
        <v>181</v>
      </c>
      <c r="I15" s="202">
        <f>'Расчёт - Брус'!E208</f>
        <v>22</v>
      </c>
      <c r="J15" s="203">
        <f>'Данные Брус'!E8</f>
        <v>60</v>
      </c>
      <c r="K15" s="85">
        <f t="shared" si="0"/>
        <v>1320</v>
      </c>
      <c r="L15"/>
      <c r="M15"/>
      <c r="N15"/>
      <c r="O15"/>
      <c r="P15"/>
      <c r="Q15"/>
    </row>
    <row r="16" spans="1:17" s="157" customFormat="1">
      <c r="A16" s="189" t="s">
        <v>196</v>
      </c>
      <c r="B16" s="161" t="s">
        <v>222</v>
      </c>
      <c r="C16" s="190" t="s">
        <v>86</v>
      </c>
      <c r="D16" s="163">
        <f>'Расчёт - Брус'!D7*2</f>
        <v>48</v>
      </c>
      <c r="E16" s="163">
        <f>'Данные Брус'!E36</f>
        <v>100</v>
      </c>
      <c r="F16" s="42">
        <f t="shared" ref="F16:F23" si="1">D16*E16</f>
        <v>4800</v>
      </c>
      <c r="G16" s="195" t="s">
        <v>197</v>
      </c>
      <c r="H16" s="196" t="s">
        <v>85</v>
      </c>
      <c r="I16" s="204">
        <f>'Расчёт - Брус'!D7</f>
        <v>24</v>
      </c>
      <c r="J16" s="196">
        <f>'Данные Брус'!E13</f>
        <v>240</v>
      </c>
      <c r="K16" s="173">
        <f t="shared" ref="K16:K21" si="2">I16*J16</f>
        <v>5760</v>
      </c>
      <c r="L16"/>
      <c r="M16"/>
      <c r="N16"/>
      <c r="O16"/>
      <c r="P16"/>
      <c r="Q16"/>
    </row>
    <row r="17" spans="1:17" s="157" customFormat="1">
      <c r="A17" s="189"/>
      <c r="B17" s="161"/>
      <c r="C17" s="190"/>
      <c r="D17" s="163"/>
      <c r="E17" s="163"/>
      <c r="F17" s="42"/>
      <c r="G17" s="205" t="s">
        <v>187</v>
      </c>
      <c r="H17" s="42" t="s">
        <v>85</v>
      </c>
      <c r="I17" s="206">
        <f>'Расчёт - Брус'!D8</f>
        <v>96</v>
      </c>
      <c r="J17" s="42">
        <f>'Данные Брус'!E14</f>
        <v>4</v>
      </c>
      <c r="K17" s="85">
        <f t="shared" si="2"/>
        <v>384</v>
      </c>
      <c r="L17"/>
      <c r="M17"/>
      <c r="N17"/>
      <c r="O17"/>
      <c r="P17"/>
      <c r="Q17"/>
    </row>
    <row r="18" spans="1:17" s="157" customFormat="1">
      <c r="A18" s="189"/>
      <c r="B18" s="161"/>
      <c r="C18" s="190"/>
      <c r="D18" s="163"/>
      <c r="E18" s="163"/>
      <c r="F18" s="42"/>
      <c r="G18" s="205" t="s">
        <v>198</v>
      </c>
      <c r="H18" s="42" t="s">
        <v>85</v>
      </c>
      <c r="I18" s="206">
        <f>'Расчёт - Брус'!D9</f>
        <v>32</v>
      </c>
      <c r="J18" s="42">
        <f>'Данные Брус'!E15</f>
        <v>7</v>
      </c>
      <c r="K18" s="85">
        <f t="shared" si="2"/>
        <v>224</v>
      </c>
      <c r="L18"/>
      <c r="M18"/>
      <c r="N18"/>
      <c r="O18"/>
      <c r="P18"/>
      <c r="Q18"/>
    </row>
    <row r="19" spans="1:17" s="157" customFormat="1">
      <c r="A19" s="189"/>
      <c r="B19" s="161"/>
      <c r="C19" s="190"/>
      <c r="D19" s="163"/>
      <c r="E19" s="163"/>
      <c r="F19" s="42"/>
      <c r="G19" s="195" t="s">
        <v>191</v>
      </c>
      <c r="H19" s="42" t="s">
        <v>85</v>
      </c>
      <c r="I19" s="197">
        <f>'Расчёт - Брус'!D10</f>
        <v>16</v>
      </c>
      <c r="J19" s="42">
        <f>'Данные Брус'!E16</f>
        <v>35</v>
      </c>
      <c r="K19" s="85">
        <f t="shared" si="2"/>
        <v>560</v>
      </c>
      <c r="L19"/>
      <c r="M19"/>
      <c r="N19"/>
      <c r="O19"/>
      <c r="P19"/>
      <c r="Q19"/>
    </row>
    <row r="20" spans="1:17" s="157" customFormat="1">
      <c r="A20" s="189" t="s">
        <v>225</v>
      </c>
      <c r="B20" s="161" t="s">
        <v>151</v>
      </c>
      <c r="C20" s="190" t="s">
        <v>85</v>
      </c>
      <c r="D20" s="207">
        <f>'Расчёт - Брус'!D11</f>
        <v>2</v>
      </c>
      <c r="E20" s="163">
        <f>'Данные Брус'!E31</f>
        <v>1500</v>
      </c>
      <c r="F20" s="42">
        <f t="shared" si="1"/>
        <v>3000</v>
      </c>
      <c r="G20" s="195" t="s">
        <v>209</v>
      </c>
      <c r="H20" s="42" t="s">
        <v>85</v>
      </c>
      <c r="I20" s="197">
        <f>'Данные Брус'!D17</f>
        <v>2</v>
      </c>
      <c r="J20" s="42">
        <f>'Данные Брус'!E17</f>
        <v>680</v>
      </c>
      <c r="K20" s="85">
        <f t="shared" si="2"/>
        <v>1360</v>
      </c>
      <c r="L20"/>
      <c r="M20"/>
      <c r="N20"/>
      <c r="O20"/>
      <c r="P20"/>
      <c r="Q20"/>
    </row>
    <row r="21" spans="1:17" s="157" customFormat="1">
      <c r="A21" s="189"/>
      <c r="B21" s="161"/>
      <c r="C21" s="190"/>
      <c r="D21" s="163"/>
      <c r="E21" s="163"/>
      <c r="F21" s="42"/>
      <c r="G21" s="87" t="s">
        <v>230</v>
      </c>
      <c r="H21" s="42" t="s">
        <v>85</v>
      </c>
      <c r="I21" s="197">
        <f>'Расчёт - Брус'!D12</f>
        <v>16</v>
      </c>
      <c r="J21" s="42">
        <f>'Данные Брус'!E18</f>
        <v>12</v>
      </c>
      <c r="K21" s="85">
        <f t="shared" si="2"/>
        <v>192</v>
      </c>
      <c r="L21"/>
      <c r="M21"/>
      <c r="N21"/>
      <c r="O21"/>
      <c r="P21"/>
      <c r="Q21"/>
    </row>
    <row r="22" spans="1:17" s="157" customFormat="1">
      <c r="A22" s="189"/>
      <c r="B22" s="161"/>
      <c r="C22" s="190"/>
      <c r="D22" s="163"/>
      <c r="E22" s="163"/>
      <c r="F22" s="42"/>
      <c r="G22" s="195"/>
      <c r="H22" s="42"/>
      <c r="I22" s="197"/>
      <c r="J22" s="42"/>
      <c r="K22" s="85"/>
      <c r="L22"/>
      <c r="M22"/>
      <c r="N22"/>
      <c r="O22"/>
      <c r="P22"/>
      <c r="Q22"/>
    </row>
    <row r="23" spans="1:17" s="157" customFormat="1">
      <c r="A23" s="189" t="s">
        <v>224</v>
      </c>
      <c r="B23" s="161" t="s">
        <v>154</v>
      </c>
      <c r="C23" s="190" t="s">
        <v>150</v>
      </c>
      <c r="D23" s="207">
        <f>'Данные Брус'!D32</f>
        <v>1</v>
      </c>
      <c r="E23" s="163">
        <f>'Расчёт - Брус'!D16</f>
        <v>16300</v>
      </c>
      <c r="F23" s="42">
        <f t="shared" si="1"/>
        <v>16300</v>
      </c>
      <c r="G23" s="195" t="s">
        <v>155</v>
      </c>
      <c r="H23" s="42" t="s">
        <v>63</v>
      </c>
      <c r="I23" s="234">
        <f>'Расчёт - Брус'!D14</f>
        <v>2.1733333333333333</v>
      </c>
      <c r="J23" s="42">
        <f>'Данные Брус'!E20</f>
        <v>17000</v>
      </c>
      <c r="K23" s="85">
        <f>I23*J23</f>
        <v>36946.666666666664</v>
      </c>
      <c r="L23"/>
      <c r="M23"/>
      <c r="N23"/>
      <c r="O23"/>
      <c r="P23"/>
      <c r="Q23"/>
    </row>
    <row r="24" spans="1:17" s="157" customFormat="1">
      <c r="A24" s="189"/>
      <c r="B24" s="161"/>
      <c r="C24" s="190"/>
      <c r="D24" s="163"/>
      <c r="E24" s="163"/>
      <c r="F24" s="42"/>
      <c r="G24" s="195" t="s">
        <v>194</v>
      </c>
      <c r="H24" s="42" t="s">
        <v>156</v>
      </c>
      <c r="I24" s="197">
        <f>'Расчёт - Брус'!D15</f>
        <v>6</v>
      </c>
      <c r="J24" s="42">
        <f>'Данные Брус'!E21</f>
        <v>150</v>
      </c>
      <c r="K24" s="85">
        <f>I24*J24</f>
        <v>900</v>
      </c>
      <c r="L24"/>
      <c r="M24"/>
      <c r="N24"/>
      <c r="O24"/>
      <c r="P24"/>
      <c r="Q24"/>
    </row>
    <row r="25" spans="1:17" s="157" customFormat="1">
      <c r="A25" s="189"/>
      <c r="B25" s="161"/>
      <c r="C25" s="190"/>
      <c r="D25" s="163"/>
      <c r="E25" s="163"/>
      <c r="F25" s="42"/>
      <c r="G25" s="195"/>
      <c r="H25" s="42"/>
      <c r="I25" s="197"/>
      <c r="J25" s="42"/>
      <c r="K25" s="85"/>
      <c r="L25"/>
      <c r="M25"/>
      <c r="N25"/>
      <c r="O25"/>
      <c r="P25"/>
      <c r="Q25"/>
    </row>
    <row r="26" spans="1:17" s="157" customFormat="1">
      <c r="A26" s="208"/>
      <c r="B26" s="75"/>
      <c r="C26" s="209"/>
      <c r="D26" s="1234" t="s">
        <v>157</v>
      </c>
      <c r="E26" s="1235"/>
      <c r="F26" s="92">
        <f>SUM(F13:F25)</f>
        <v>154152.14285714287</v>
      </c>
      <c r="G26" s="210"/>
      <c r="H26" s="211"/>
      <c r="I26" s="1235" t="s">
        <v>158</v>
      </c>
      <c r="J26" s="1235"/>
      <c r="K26" s="140">
        <f>SUM(K13:K25)</f>
        <v>674423.38095238095</v>
      </c>
      <c r="L26"/>
      <c r="M26"/>
      <c r="N26"/>
      <c r="O26"/>
      <c r="P26"/>
      <c r="Q26"/>
    </row>
    <row r="27" spans="1:17">
      <c r="A27" s="1233" t="s">
        <v>368</v>
      </c>
      <c r="B27" s="1233"/>
      <c r="C27" s="1233"/>
      <c r="D27" s="1233"/>
      <c r="E27" s="211"/>
      <c r="F27" s="211"/>
      <c r="G27" s="210"/>
      <c r="H27" s="211"/>
      <c r="I27" s="211"/>
      <c r="J27" s="211"/>
      <c r="K27" s="211"/>
    </row>
    <row r="28" spans="1:17">
      <c r="A28" s="189">
        <v>1</v>
      </c>
      <c r="B28" s="161" t="s">
        <v>159</v>
      </c>
      <c r="C28" s="190" t="s">
        <v>160</v>
      </c>
      <c r="D28" s="83">
        <f>'Балки - Этажи 45 и 95мм'!D28</f>
        <v>35</v>
      </c>
      <c r="E28" s="163">
        <f>'Балки - Этажи 45 и 95мм'!E28</f>
        <v>600</v>
      </c>
      <c r="F28" s="163">
        <f>D28*E28</f>
        <v>21000</v>
      </c>
      <c r="G28" s="96" t="s">
        <v>202</v>
      </c>
      <c r="H28" s="97" t="s">
        <v>63</v>
      </c>
      <c r="I28" s="213">
        <f>'Балки - Этажи 45 и 95мм'!I28</f>
        <v>0.84</v>
      </c>
      <c r="J28" s="98">
        <f>'Балки - Этажи 45 и 95мм'!J28</f>
        <v>24000</v>
      </c>
      <c r="K28" s="99">
        <f>I28*J28</f>
        <v>20160</v>
      </c>
    </row>
    <row r="29" spans="1:17">
      <c r="A29" s="212"/>
      <c r="B29" s="96"/>
      <c r="C29" s="193"/>
      <c r="D29" s="213"/>
      <c r="E29" s="48"/>
      <c r="F29" s="48"/>
      <c r="G29" s="100" t="s">
        <v>89</v>
      </c>
      <c r="H29" s="101" t="s">
        <v>85</v>
      </c>
      <c r="I29" s="214">
        <f>'Балки - Этажи 45 и 95мм'!I29</f>
        <v>28</v>
      </c>
      <c r="J29" s="98">
        <f>'Балки - Этажи 45 и 95мм'!J29</f>
        <v>65</v>
      </c>
      <c r="K29" s="99">
        <f>I29*J29</f>
        <v>1820</v>
      </c>
    </row>
    <row r="30" spans="1:17">
      <c r="A30" s="212"/>
      <c r="B30" s="102"/>
      <c r="C30" s="103"/>
      <c r="D30" s="104"/>
      <c r="E30" s="104"/>
      <c r="F30" s="105"/>
      <c r="G30" s="241" t="s">
        <v>229</v>
      </c>
      <c r="H30" s="97" t="s">
        <v>85</v>
      </c>
      <c r="I30" s="213">
        <f>'Балки - Этажи 45 и 95мм'!I30</f>
        <v>112</v>
      </c>
      <c r="J30" s="99">
        <f>'Балки - Этажи 45 и 95мм'!J30</f>
        <v>12</v>
      </c>
      <c r="K30" s="99">
        <f t="shared" ref="K30:K31" si="3">I30*J30</f>
        <v>1344</v>
      </c>
    </row>
    <row r="31" spans="1:17">
      <c r="A31" s="212"/>
      <c r="B31" s="107"/>
      <c r="C31" s="103"/>
      <c r="D31" s="104"/>
      <c r="E31" s="108"/>
      <c r="F31" s="109"/>
      <c r="G31" s="432" t="s">
        <v>161</v>
      </c>
      <c r="H31" s="97" t="s">
        <v>156</v>
      </c>
      <c r="I31" s="215">
        <f>'Балки - Этажи 45 и 95мм'!I31</f>
        <v>1.4177215189873418</v>
      </c>
      <c r="J31" s="111">
        <f>'Балки - Этажи 45 и 95мм'!J31</f>
        <v>380</v>
      </c>
      <c r="K31" s="99">
        <f t="shared" si="3"/>
        <v>538.7341772151899</v>
      </c>
    </row>
    <row r="32" spans="1:17">
      <c r="A32" s="189"/>
      <c r="B32" s="216"/>
      <c r="C32" s="217"/>
      <c r="D32" s="218"/>
      <c r="E32" s="219"/>
      <c r="F32" s="88"/>
      <c r="G32" s="220"/>
      <c r="H32" s="221"/>
      <c r="I32" s="85"/>
      <c r="J32" s="84"/>
      <c r="K32" s="222"/>
    </row>
    <row r="33" spans="1:11">
      <c r="A33" s="208"/>
      <c r="B33" s="75"/>
      <c r="C33" s="209"/>
      <c r="D33" s="1234" t="s">
        <v>157</v>
      </c>
      <c r="E33" s="1235"/>
      <c r="F33" s="223">
        <f>SUM(F28:F32)</f>
        <v>21000</v>
      </c>
      <c r="G33" s="210"/>
      <c r="H33" s="211"/>
      <c r="I33" s="1235" t="s">
        <v>158</v>
      </c>
      <c r="J33" s="1235"/>
      <c r="K33" s="140">
        <f>SUM(K28:K32)</f>
        <v>23862.734177215189</v>
      </c>
    </row>
    <row r="34" spans="1:11">
      <c r="A34" s="1228" t="str">
        <f>IF('Балки - Этажи 45 и 95мм'!F35&gt;0,"2. Монтаж перекрытия второго этажа","")</f>
        <v>2. Монтаж перекрытия второго этажа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189">
        <v>1</v>
      </c>
      <c r="B35" s="161" t="s">
        <v>159</v>
      </c>
      <c r="C35" s="190" t="s">
        <v>160</v>
      </c>
      <c r="D35" s="83">
        <f>'Балки - Этажи 45 и 95мм'!D35</f>
        <v>44</v>
      </c>
      <c r="E35" s="163">
        <f>'Балки - Этажи 45 и 95мм'!E35</f>
        <v>600</v>
      </c>
      <c r="F35" s="163">
        <f>D35*E35</f>
        <v>26400</v>
      </c>
      <c r="G35" s="161" t="s">
        <v>202</v>
      </c>
      <c r="H35" s="82" t="s">
        <v>63</v>
      </c>
      <c r="I35" s="83">
        <f>'Балки - Этажи 45 и 95мм'!I35</f>
        <v>0.6</v>
      </c>
      <c r="J35" s="84">
        <f>'Балки - Этажи 45 и 95мм'!J35</f>
        <v>24000</v>
      </c>
      <c r="K35" s="85">
        <f>I35*J35</f>
        <v>14400</v>
      </c>
    </row>
    <row r="36" spans="1:11">
      <c r="A36" s="189"/>
      <c r="B36" s="161"/>
      <c r="C36" s="190"/>
      <c r="D36" s="83"/>
      <c r="E36" s="163"/>
      <c r="F36" s="163"/>
      <c r="G36" s="183" t="s">
        <v>89</v>
      </c>
      <c r="H36" s="184" t="s">
        <v>85</v>
      </c>
      <c r="I36" s="83">
        <f>'Балки - Этажи 45 и 95мм'!I36</f>
        <v>30</v>
      </c>
      <c r="J36" s="84">
        <f>'Балки - Этажи 45 и 95мм'!J36</f>
        <v>65</v>
      </c>
      <c r="K36" s="85">
        <f>I36*J36</f>
        <v>1950</v>
      </c>
    </row>
    <row r="37" spans="1:11">
      <c r="A37" s="189"/>
      <c r="B37" s="170"/>
      <c r="C37" s="171"/>
      <c r="D37" s="109"/>
      <c r="E37" s="109"/>
      <c r="F37" s="109"/>
      <c r="G37" s="240" t="s">
        <v>229</v>
      </c>
      <c r="H37" s="190" t="s">
        <v>85</v>
      </c>
      <c r="I37" s="83">
        <f>'Балки - Этажи 45 и 95мм'!I37</f>
        <v>120</v>
      </c>
      <c r="J37" s="85">
        <f>'Балки - Этажи 45 и 95мм'!J37</f>
        <v>12</v>
      </c>
      <c r="K37" s="85">
        <f>I37*J37</f>
        <v>1440</v>
      </c>
    </row>
    <row r="38" spans="1:11">
      <c r="A38" s="224"/>
      <c r="B38" s="181"/>
      <c r="C38" s="182"/>
      <c r="D38" s="167"/>
      <c r="E38" s="167"/>
      <c r="F38" s="167"/>
      <c r="G38" s="433" t="s">
        <v>161</v>
      </c>
      <c r="H38" s="175" t="s">
        <v>156</v>
      </c>
      <c r="I38" s="225">
        <f>'Балки - Этажи 45 и 95мм'!I38</f>
        <v>1.518987341772152</v>
      </c>
      <c r="J38" s="172">
        <f>'Балки - Этажи 45 и 95мм'!J38</f>
        <v>380</v>
      </c>
      <c r="K38" s="173">
        <f t="shared" ref="K38" si="4">I38*J38</f>
        <v>577.21518987341778</v>
      </c>
    </row>
    <row r="39" spans="1:11">
      <c r="A39" s="226"/>
      <c r="B39" s="170"/>
      <c r="C39" s="171"/>
      <c r="D39" s="109"/>
      <c r="E39" s="109"/>
      <c r="F39" s="109"/>
      <c r="G39" s="168"/>
      <c r="H39" s="97"/>
      <c r="I39" s="215"/>
      <c r="J39" s="172"/>
      <c r="K39" s="173"/>
    </row>
    <row r="40" spans="1:11">
      <c r="A40" s="208"/>
      <c r="B40" s="75"/>
      <c r="C40" s="209"/>
      <c r="D40" s="1235" t="str">
        <f>IF('Балки - Этажи 45 и 95мм'!F35&gt;0,"Итого работы","")</f>
        <v>Итого работы</v>
      </c>
      <c r="E40" s="1235"/>
      <c r="F40" s="227">
        <f>SUM(F35:F39)</f>
        <v>26400</v>
      </c>
      <c r="G40" s="228"/>
      <c r="H40" s="211"/>
      <c r="I40" s="1236" t="str">
        <f>IF('Балки - Этажи 45 и 95мм'!F35&gt;0,"Итого материалы","")</f>
        <v>Итого материалы</v>
      </c>
      <c r="J40" s="1236"/>
      <c r="K40" s="227">
        <f>SUM(K35:K39)</f>
        <v>18367.215189873419</v>
      </c>
    </row>
    <row r="41" spans="1:11">
      <c r="A41" s="1228" t="s">
        <v>372</v>
      </c>
      <c r="B41" s="1228"/>
      <c r="C41" s="1228"/>
      <c r="D41" s="1228"/>
      <c r="E41" s="1228"/>
      <c r="F41" s="166"/>
      <c r="G41" s="176"/>
      <c r="H41" s="177"/>
      <c r="I41" s="178"/>
      <c r="J41" s="78"/>
      <c r="K41" s="79"/>
    </row>
    <row r="42" spans="1:11">
      <c r="A42" s="80">
        <v>1</v>
      </c>
      <c r="B42" s="81" t="s">
        <v>159</v>
      </c>
      <c r="C42" s="40" t="s">
        <v>160</v>
      </c>
      <c r="D42" s="179">
        <f>'Балки - Этажи 45 и 95мм'!D42</f>
        <v>30</v>
      </c>
      <c r="E42" s="41">
        <f>'Балки - Этажи 45 и 95мм'!E42</f>
        <v>600</v>
      </c>
      <c r="F42" s="41">
        <f>D42*E42</f>
        <v>18000</v>
      </c>
      <c r="G42" s="161" t="s">
        <v>388</v>
      </c>
      <c r="H42" s="82" t="s">
        <v>63</v>
      </c>
      <c r="I42" s="83">
        <f>'Балки - Этажи 45 и 95мм'!I42</f>
        <v>2.1599999999999997</v>
      </c>
      <c r="J42" s="84">
        <f>'Балки - Этажи 45 и 95мм'!J42</f>
        <v>24000</v>
      </c>
      <c r="K42" s="85">
        <f>I42*J42</f>
        <v>51839.999999999993</v>
      </c>
    </row>
    <row r="43" spans="1:11">
      <c r="A43" s="80"/>
      <c r="B43" s="81"/>
      <c r="C43" s="40"/>
      <c r="D43" s="179"/>
      <c r="E43" s="41"/>
      <c r="F43" s="41"/>
      <c r="G43" s="183" t="s">
        <v>89</v>
      </c>
      <c r="H43" s="184" t="s">
        <v>85</v>
      </c>
      <c r="I43" s="83">
        <f>'Балки - Этажи 45 и 95мм'!I43</f>
        <v>96</v>
      </c>
      <c r="J43" s="84">
        <f>'Балки - Этажи 45 и 95мм'!J43</f>
        <v>65</v>
      </c>
      <c r="K43" s="85">
        <f>I43*J43</f>
        <v>6240</v>
      </c>
    </row>
    <row r="44" spans="1:11">
      <c r="A44" s="80"/>
      <c r="B44" s="170"/>
      <c r="C44" s="171"/>
      <c r="D44" s="109"/>
      <c r="E44" s="109"/>
      <c r="F44" s="109"/>
      <c r="G44" s="240" t="s">
        <v>229</v>
      </c>
      <c r="H44" s="82" t="s">
        <v>85</v>
      </c>
      <c r="I44" s="83">
        <f>'Балки - Этажи 45 и 95мм'!I44</f>
        <v>384</v>
      </c>
      <c r="J44" s="85">
        <f>'Балки - Этажи 45 и 95мм'!J44</f>
        <v>12</v>
      </c>
      <c r="K44" s="85">
        <f>I44*J44</f>
        <v>4608</v>
      </c>
    </row>
    <row r="45" spans="1:11">
      <c r="A45" s="180"/>
      <c r="B45" s="181"/>
      <c r="C45" s="182"/>
      <c r="D45" s="167"/>
      <c r="E45" s="167"/>
      <c r="F45" s="167"/>
      <c r="G45" s="433" t="s">
        <v>161</v>
      </c>
      <c r="H45" s="175" t="s">
        <v>156</v>
      </c>
      <c r="I45" s="225">
        <f>'Балки - Этажи 45 и 95мм'!I45</f>
        <v>4.8607594936708862</v>
      </c>
      <c r="J45" s="172">
        <f>'Балки - Этажи 45 и 95мм'!J45</f>
        <v>380</v>
      </c>
      <c r="K45" s="173">
        <f t="shared" ref="K45" si="5">I45*J45</f>
        <v>1847.0886075949368</v>
      </c>
    </row>
    <row r="46" spans="1:11">
      <c r="A46" s="169"/>
      <c r="B46" s="170"/>
      <c r="C46" s="171"/>
      <c r="D46" s="109"/>
      <c r="E46" s="109"/>
      <c r="F46" s="109"/>
      <c r="G46" s="168"/>
      <c r="H46" s="97"/>
      <c r="I46" s="215"/>
      <c r="J46" s="172"/>
      <c r="K46" s="173"/>
    </row>
    <row r="47" spans="1:11" ht="14.5" customHeight="1">
      <c r="A47" s="122"/>
      <c r="B47" s="123"/>
      <c r="C47" s="72"/>
      <c r="D47" s="1229" t="s">
        <v>157</v>
      </c>
      <c r="E47" s="1229"/>
      <c r="F47" s="124">
        <f>SUM(F42:F46)</f>
        <v>18000</v>
      </c>
      <c r="G47" s="125"/>
      <c r="H47" s="126"/>
      <c r="I47" s="1230" t="s">
        <v>158</v>
      </c>
      <c r="J47" s="1230"/>
      <c r="K47" s="124">
        <f>SUM(K42:K46)</f>
        <v>64535.088607594931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27.5" customHeight="1">
      <c r="A49" s="130" t="s">
        <v>146</v>
      </c>
      <c r="B49" s="198" t="s">
        <v>219</v>
      </c>
      <c r="C49" s="130" t="s">
        <v>63</v>
      </c>
      <c r="D49" s="130">
        <f>D13+I23+I28+I35+I42</f>
        <v>27.559761904761906</v>
      </c>
      <c r="E49" s="132">
        <f>'Данные Брус'!E113</f>
        <v>500</v>
      </c>
      <c r="F49" s="130">
        <f>D49*E49</f>
        <v>13779.880952380952</v>
      </c>
      <c r="G49" s="133" t="s">
        <v>163</v>
      </c>
      <c r="H49" s="82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6">I49*J49</f>
        <v>10000</v>
      </c>
    </row>
    <row r="50" spans="1:11" ht="15.5" customHeight="1">
      <c r="A50" s="130"/>
      <c r="B50" s="198"/>
      <c r="C50" s="130"/>
      <c r="D50" s="130"/>
      <c r="E50" s="132"/>
      <c r="F50" s="130"/>
      <c r="G50" s="133"/>
      <c r="H50" s="82"/>
      <c r="I50" s="83"/>
      <c r="J50" s="120"/>
      <c r="K50" s="130"/>
    </row>
    <row r="51" spans="1:11">
      <c r="A51" s="130" t="s">
        <v>164</v>
      </c>
      <c r="B51" s="131" t="s">
        <v>220</v>
      </c>
      <c r="C51" s="130" t="s">
        <v>166</v>
      </c>
      <c r="D51" s="130">
        <v>1</v>
      </c>
      <c r="E51" s="132">
        <v>3200</v>
      </c>
      <c r="F51" s="130">
        <f>D51*E51</f>
        <v>3200</v>
      </c>
      <c r="G51" s="134" t="s">
        <v>373</v>
      </c>
      <c r="H51" s="130" t="s">
        <v>167</v>
      </c>
      <c r="I51" s="135">
        <f>'Данные Брус'!D101</f>
        <v>1</v>
      </c>
      <c r="J51" s="135">
        <f>'Данные Брус'!E101</f>
        <v>12000</v>
      </c>
      <c r="K51" s="130">
        <f t="shared" si="6"/>
        <v>12000</v>
      </c>
    </row>
    <row r="52" spans="1:11">
      <c r="A52" s="130"/>
      <c r="B52" s="131"/>
      <c r="C52" s="130"/>
      <c r="D52" s="130"/>
      <c r="E52" s="132"/>
      <c r="F52" s="130"/>
      <c r="G52" s="133" t="s">
        <v>228</v>
      </c>
      <c r="H52" s="130" t="s">
        <v>168</v>
      </c>
      <c r="I52" s="135">
        <f>'Данные Брус'!E279</f>
        <v>0</v>
      </c>
      <c r="J52" s="130">
        <f>'Данные Брус'!G279</f>
        <v>70000</v>
      </c>
      <c r="K52" s="130">
        <f t="shared" si="6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Брус'!D279</f>
        <v>1</v>
      </c>
      <c r="J53" s="139">
        <f>'Данные Брус'!F279</f>
        <v>80000</v>
      </c>
      <c r="K53" s="130">
        <f t="shared" si="6"/>
        <v>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16979.880952380954</v>
      </c>
      <c r="G54" s="125"/>
      <c r="H54" s="126"/>
      <c r="I54" s="1244" t="s">
        <v>169</v>
      </c>
      <c r="J54" s="1245"/>
      <c r="K54" s="138">
        <f>SUM(K49:K53)</f>
        <v>102000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6" spans="1:11">
      <c r="A56" s="33"/>
      <c r="B56" s="33"/>
      <c r="C56" s="1381"/>
      <c r="D56" s="1381"/>
      <c r="E56" s="1381"/>
      <c r="F56" s="1381"/>
      <c r="G56" s="33"/>
      <c r="H56" s="33"/>
      <c r="I56" s="33"/>
      <c r="J56" s="33"/>
      <c r="K56" s="33"/>
    </row>
    <row r="57" spans="1:11">
      <c r="A57" s="236"/>
      <c r="B57" s="236"/>
      <c r="C57" s="1376" t="s">
        <v>170</v>
      </c>
      <c r="D57" s="1382"/>
      <c r="E57" s="1382"/>
      <c r="F57" s="1382"/>
      <c r="G57" s="235">
        <f>F26+F33+F40+F47+F54</f>
        <v>236532.02380952382</v>
      </c>
    </row>
    <row r="58" spans="1:11">
      <c r="C58" s="1195" t="s">
        <v>171</v>
      </c>
      <c r="D58" s="1195"/>
      <c r="E58" s="1195"/>
      <c r="F58" s="1195"/>
      <c r="G58" s="141">
        <f>G57*0.03</f>
        <v>7095.9607142857139</v>
      </c>
    </row>
    <row r="59" spans="1:11">
      <c r="C59" s="1195" t="s">
        <v>172</v>
      </c>
      <c r="D59" s="1195"/>
      <c r="E59" s="1195"/>
      <c r="F59" s="1195"/>
      <c r="G59" s="141">
        <f>G57*0.16</f>
        <v>37845.123809523815</v>
      </c>
    </row>
    <row r="60" spans="1:11">
      <c r="C60" s="1195" t="s">
        <v>20</v>
      </c>
      <c r="D60" s="1195"/>
      <c r="E60" s="1195"/>
      <c r="F60" s="1195"/>
      <c r="G60" s="141">
        <f>G57+G58+G59</f>
        <v>281473.10833333334</v>
      </c>
    </row>
    <row r="61" spans="1:11">
      <c r="C61" s="1195" t="s">
        <v>173</v>
      </c>
      <c r="D61" s="1195"/>
      <c r="E61" s="1195"/>
      <c r="F61" s="1195"/>
      <c r="G61" s="141"/>
    </row>
    <row r="62" spans="1:11">
      <c r="C62" s="1195" t="s">
        <v>174</v>
      </c>
      <c r="D62" s="1195"/>
      <c r="E62" s="1195"/>
      <c r="F62" s="1195"/>
      <c r="G62" s="141">
        <f>K54</f>
        <v>102000</v>
      </c>
    </row>
    <row r="63" spans="1:11">
      <c r="C63" s="1195" t="s">
        <v>20</v>
      </c>
      <c r="D63" s="1195"/>
      <c r="E63" s="1195"/>
      <c r="F63" s="1195"/>
      <c r="G63" s="141">
        <f>G61+G62</f>
        <v>102000</v>
      </c>
    </row>
    <row r="64" spans="1:11">
      <c r="C64" s="1246" t="s">
        <v>175</v>
      </c>
      <c r="D64" s="1246"/>
      <c r="E64" s="1246"/>
      <c r="F64" s="1246"/>
      <c r="G64" s="142">
        <f>G60+G63</f>
        <v>383473.10833333334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7095.9607142857139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390569.06904761906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G74" s="155"/>
    </row>
    <row r="75" spans="1:11 16384:16384">
      <c r="G75" s="153"/>
    </row>
    <row r="76" spans="1:11 16384:16384">
      <c r="G76" s="155"/>
    </row>
    <row r="77" spans="1:11 16384:16384">
      <c r="G77" s="153"/>
    </row>
    <row r="78" spans="1:11 16384:16384">
      <c r="G78" s="155"/>
    </row>
    <row r="79" spans="1:11 16384:16384">
      <c r="G79" s="153"/>
    </row>
    <row r="80" spans="1:11 16384:16384">
      <c r="G80" s="155"/>
    </row>
    <row r="81" spans="1:11" s="147" customFormat="1">
      <c r="A81"/>
      <c r="B81"/>
      <c r="C81"/>
      <c r="D81"/>
      <c r="E81"/>
      <c r="F81"/>
      <c r="G81" s="153"/>
      <c r="H81"/>
      <c r="I81"/>
      <c r="J81"/>
      <c r="K81"/>
    </row>
    <row r="82" spans="1:11" s="147" customFormat="1">
      <c r="A82"/>
      <c r="B82"/>
      <c r="C82"/>
      <c r="D82"/>
      <c r="E82"/>
      <c r="F82"/>
      <c r="G82" s="37"/>
      <c r="H82"/>
      <c r="I82"/>
      <c r="J82"/>
      <c r="K82"/>
    </row>
    <row r="83" spans="1:11" s="147" customFormat="1">
      <c r="A83"/>
      <c r="B83"/>
      <c r="C83"/>
      <c r="D83"/>
      <c r="E83"/>
      <c r="F83"/>
      <c r="G83"/>
      <c r="H83"/>
      <c r="I83"/>
      <c r="J83"/>
      <c r="K83"/>
    </row>
    <row r="84" spans="1:11" s="147" customFormat="1">
      <c r="A84"/>
      <c r="B84"/>
      <c r="C84"/>
      <c r="D84"/>
      <c r="E84"/>
      <c r="F84"/>
      <c r="G84"/>
      <c r="H84"/>
      <c r="I84"/>
      <c r="J84"/>
      <c r="K84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0"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D54:E54"/>
    <mergeCell ref="I54:J54"/>
    <mergeCell ref="A12:B12"/>
    <mergeCell ref="A27:D27"/>
    <mergeCell ref="D33:E33"/>
    <mergeCell ref="I33:J33"/>
    <mergeCell ref="D26:E26"/>
    <mergeCell ref="I26:J26"/>
    <mergeCell ref="A34:E34"/>
    <mergeCell ref="D40:E40"/>
    <mergeCell ref="I40:J40"/>
    <mergeCell ref="A48:B48"/>
    <mergeCell ref="A41:E41"/>
    <mergeCell ref="D47:E47"/>
    <mergeCell ref="I47:J47"/>
    <mergeCell ref="C56:F56"/>
    <mergeCell ref="C63:F63"/>
    <mergeCell ref="C64:F64"/>
    <mergeCell ref="C65:F65"/>
    <mergeCell ref="C66:F66"/>
    <mergeCell ref="C57:F57"/>
    <mergeCell ref="C58:F58"/>
    <mergeCell ref="C59:F59"/>
    <mergeCell ref="C60:F60"/>
    <mergeCell ref="C61:F61"/>
    <mergeCell ref="C62:F62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8092-1D68-4213-9A30-56A53C394CFE}">
  <sheetPr codeName="Worksheet____14"/>
  <dimension ref="A1:XFD80"/>
  <sheetViews>
    <sheetView topLeftCell="A28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7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7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7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7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7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7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7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7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7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7" s="157" customFormat="1">
      <c r="A11" s="1239" t="s">
        <v>212</v>
      </c>
      <c r="B11" s="1239"/>
      <c r="C11" s="1239"/>
      <c r="D11" s="1239"/>
      <c r="E11" s="94"/>
      <c r="F11" s="94"/>
      <c r="G11" s="93"/>
      <c r="H11" s="94"/>
      <c r="I11" s="94"/>
      <c r="J11" s="94"/>
      <c r="K11" s="94"/>
      <c r="L11"/>
      <c r="M11"/>
      <c r="N11"/>
      <c r="O11"/>
      <c r="P11"/>
      <c r="Q11"/>
    </row>
    <row r="12" spans="1:17" s="194" customFormat="1">
      <c r="A12" s="189" t="s">
        <v>146</v>
      </c>
      <c r="B12" s="161" t="s">
        <v>199</v>
      </c>
      <c r="C12" s="190" t="s">
        <v>63</v>
      </c>
      <c r="D12" s="232">
        <f>'Данные Брус'!D131</f>
        <v>45.993571428571421</v>
      </c>
      <c r="E12" s="163">
        <f>'Данные Брус'!E61</f>
        <v>5000</v>
      </c>
      <c r="F12" s="42">
        <f>D12*E12</f>
        <v>229967.8571428571</v>
      </c>
      <c r="G12" s="161" t="s">
        <v>203</v>
      </c>
      <c r="H12" s="82" t="s">
        <v>63</v>
      </c>
      <c r="I12" s="233">
        <f>'Данные Брус'!E131</f>
        <v>47.80535714285714</v>
      </c>
      <c r="J12" s="84">
        <f>'Данные Брус'!F131</f>
        <v>26000</v>
      </c>
      <c r="K12" s="85">
        <f>I12*J12</f>
        <v>1242939.2857142857</v>
      </c>
      <c r="L12"/>
      <c r="M12"/>
      <c r="N12"/>
      <c r="O12"/>
      <c r="P12"/>
      <c r="Q12"/>
    </row>
    <row r="13" spans="1:17" s="194" customFormat="1">
      <c r="A13" s="189" t="s">
        <v>164</v>
      </c>
      <c r="B13" s="161" t="s">
        <v>221</v>
      </c>
      <c r="C13" s="190" t="s">
        <v>86</v>
      </c>
      <c r="D13" s="199">
        <f>'Расчёт - Брус'!D209</f>
        <v>4224</v>
      </c>
      <c r="E13" s="163">
        <f>'Данные Брус'!E62</f>
        <v>5</v>
      </c>
      <c r="F13" s="42">
        <f>D13*E13</f>
        <v>21120</v>
      </c>
      <c r="G13" s="161" t="s">
        <v>147</v>
      </c>
      <c r="H13" s="82" t="s">
        <v>148</v>
      </c>
      <c r="I13" s="191">
        <f>D13</f>
        <v>4224</v>
      </c>
      <c r="J13" s="84">
        <f>'Данные Брус'!G131</f>
        <v>9</v>
      </c>
      <c r="K13" s="85">
        <f t="shared" ref="K13:K22" si="0">I13*J13</f>
        <v>38016</v>
      </c>
      <c r="L13"/>
      <c r="M13"/>
      <c r="N13"/>
      <c r="O13"/>
      <c r="P13"/>
      <c r="Q13"/>
    </row>
    <row r="14" spans="1:17" s="194" customFormat="1">
      <c r="A14" s="189"/>
      <c r="B14" s="161"/>
      <c r="C14" s="190"/>
      <c r="D14" s="163"/>
      <c r="E14" s="163"/>
      <c r="F14" s="42"/>
      <c r="G14" s="200" t="s">
        <v>180</v>
      </c>
      <c r="H14" s="201" t="s">
        <v>181</v>
      </c>
      <c r="I14" s="202">
        <f>'Расчёт - Брус'!E209</f>
        <v>22</v>
      </c>
      <c r="J14" s="203">
        <f>'Данные Брус'!E43</f>
        <v>60</v>
      </c>
      <c r="K14" s="85">
        <f t="shared" si="0"/>
        <v>1320</v>
      </c>
      <c r="L14"/>
      <c r="M14"/>
      <c r="N14"/>
      <c r="O14"/>
      <c r="P14"/>
      <c r="Q14"/>
    </row>
    <row r="15" spans="1:17" s="157" customFormat="1">
      <c r="A15" s="189" t="s">
        <v>196</v>
      </c>
      <c r="B15" s="161" t="s">
        <v>222</v>
      </c>
      <c r="C15" s="190" t="s">
        <v>86</v>
      </c>
      <c r="D15" s="163">
        <f>'Расчёт - Брус'!D30*2</f>
        <v>48</v>
      </c>
      <c r="E15" s="163">
        <f>'Данные Брус'!E68</f>
        <v>100</v>
      </c>
      <c r="F15" s="42">
        <f t="shared" ref="F15:F21" si="1">D15*E15</f>
        <v>4800</v>
      </c>
      <c r="G15" s="195" t="s">
        <v>197</v>
      </c>
      <c r="H15" s="196" t="s">
        <v>85</v>
      </c>
      <c r="I15" s="204">
        <f>'Расчёт - Брус'!D30</f>
        <v>24</v>
      </c>
      <c r="J15" s="196">
        <f>'Данные Брус'!E44</f>
        <v>240</v>
      </c>
      <c r="K15" s="173">
        <f t="shared" si="0"/>
        <v>5760</v>
      </c>
      <c r="L15"/>
      <c r="M15"/>
      <c r="N15"/>
      <c r="O15"/>
      <c r="P15"/>
      <c r="Q15"/>
    </row>
    <row r="16" spans="1:17" s="157" customFormat="1">
      <c r="A16" s="189"/>
      <c r="B16" s="161"/>
      <c r="C16" s="190"/>
      <c r="D16" s="163"/>
      <c r="E16" s="163"/>
      <c r="F16" s="42"/>
      <c r="G16" s="205" t="s">
        <v>187</v>
      </c>
      <c r="H16" s="42" t="s">
        <v>85</v>
      </c>
      <c r="I16" s="206">
        <f>'Расчёт - Брус'!D31</f>
        <v>96</v>
      </c>
      <c r="J16" s="42">
        <f>'Данные Брус'!E45</f>
        <v>4</v>
      </c>
      <c r="K16" s="85">
        <f t="shared" si="0"/>
        <v>384</v>
      </c>
      <c r="L16"/>
      <c r="M16"/>
      <c r="N16"/>
      <c r="O16"/>
      <c r="P16"/>
      <c r="Q16"/>
    </row>
    <row r="17" spans="1:17" s="157" customFormat="1">
      <c r="A17" s="189"/>
      <c r="B17" s="161"/>
      <c r="C17" s="190"/>
      <c r="D17" s="163"/>
      <c r="E17" s="163"/>
      <c r="F17" s="42"/>
      <c r="G17" s="205" t="s">
        <v>198</v>
      </c>
      <c r="H17" s="42" t="s">
        <v>85</v>
      </c>
      <c r="I17" s="206">
        <f>'Расчёт - Брус'!D32</f>
        <v>32</v>
      </c>
      <c r="J17" s="42">
        <f>'Данные Брус'!E46</f>
        <v>7</v>
      </c>
      <c r="K17" s="85">
        <f t="shared" si="0"/>
        <v>224</v>
      </c>
      <c r="L17"/>
      <c r="M17"/>
      <c r="N17"/>
      <c r="O17"/>
      <c r="P17"/>
      <c r="Q17"/>
    </row>
    <row r="18" spans="1:17" s="157" customFormat="1">
      <c r="A18" s="189"/>
      <c r="B18" s="161"/>
      <c r="C18" s="190"/>
      <c r="D18" s="163"/>
      <c r="E18" s="163"/>
      <c r="F18" s="42"/>
      <c r="G18" s="195" t="s">
        <v>191</v>
      </c>
      <c r="H18" s="42" t="s">
        <v>85</v>
      </c>
      <c r="I18" s="197">
        <f>'Расчёт - Брус'!D33</f>
        <v>16</v>
      </c>
      <c r="J18" s="42">
        <f>'Данные Брус'!E47</f>
        <v>35</v>
      </c>
      <c r="K18" s="85">
        <f t="shared" si="0"/>
        <v>560</v>
      </c>
      <c r="L18"/>
      <c r="M18"/>
      <c r="N18"/>
      <c r="O18"/>
      <c r="P18"/>
      <c r="Q18"/>
    </row>
    <row r="19" spans="1:17" s="157" customFormat="1">
      <c r="A19" s="189" t="s">
        <v>225</v>
      </c>
      <c r="B19" s="161" t="s">
        <v>151</v>
      </c>
      <c r="C19" s="190" t="s">
        <v>85</v>
      </c>
      <c r="D19" s="199">
        <f>'Расчёт - Брус'!D34</f>
        <v>2</v>
      </c>
      <c r="E19" s="163">
        <f>'Данные Брус'!E63</f>
        <v>1500</v>
      </c>
      <c r="F19" s="42">
        <f t="shared" si="1"/>
        <v>3000</v>
      </c>
      <c r="G19" s="195" t="s">
        <v>209</v>
      </c>
      <c r="H19" s="42" t="s">
        <v>85</v>
      </c>
      <c r="I19" s="197">
        <f>'Данные Брус'!D48</f>
        <v>2</v>
      </c>
      <c r="J19" s="42">
        <f>'Данные Брус'!E48</f>
        <v>680</v>
      </c>
      <c r="K19" s="85">
        <f t="shared" si="0"/>
        <v>1360</v>
      </c>
      <c r="L19"/>
      <c r="M19"/>
      <c r="N19"/>
      <c r="O19"/>
      <c r="P19"/>
      <c r="Q19"/>
    </row>
    <row r="20" spans="1:17" s="157" customFormat="1">
      <c r="A20" s="189"/>
      <c r="B20" s="161"/>
      <c r="C20" s="190"/>
      <c r="D20" s="163"/>
      <c r="E20" s="163"/>
      <c r="F20" s="42"/>
      <c r="G20" s="87" t="s">
        <v>230</v>
      </c>
      <c r="H20" s="42" t="s">
        <v>85</v>
      </c>
      <c r="I20" s="197">
        <f>'Расчёт - Брус'!D35</f>
        <v>16</v>
      </c>
      <c r="J20" s="42">
        <f>'Данные Брус'!E49</f>
        <v>12</v>
      </c>
      <c r="K20" s="85">
        <f t="shared" si="0"/>
        <v>192</v>
      </c>
      <c r="L20"/>
      <c r="M20"/>
      <c r="N20"/>
      <c r="O20"/>
      <c r="P20"/>
      <c r="Q20"/>
    </row>
    <row r="21" spans="1:17" s="157" customFormat="1">
      <c r="A21" s="189" t="s">
        <v>224</v>
      </c>
      <c r="B21" s="161" t="s">
        <v>154</v>
      </c>
      <c r="C21" s="190" t="s">
        <v>150</v>
      </c>
      <c r="D21" s="199">
        <f>'Данные Брус'!D111</f>
        <v>1</v>
      </c>
      <c r="E21" s="163">
        <f>'Расчёт - Брус'!D65</f>
        <v>16300</v>
      </c>
      <c r="F21" s="42">
        <f t="shared" si="1"/>
        <v>16300</v>
      </c>
      <c r="G21" s="195" t="s">
        <v>155</v>
      </c>
      <c r="H21" s="42" t="s">
        <v>63</v>
      </c>
      <c r="I21" s="234">
        <f>'Расчёт - Брус'!D37</f>
        <v>2.1733333333333333</v>
      </c>
      <c r="J21" s="42">
        <f>'Данные Брус'!E51</f>
        <v>17000</v>
      </c>
      <c r="K21" s="85">
        <f t="shared" si="0"/>
        <v>36946.666666666664</v>
      </c>
      <c r="L21"/>
      <c r="M21"/>
      <c r="N21"/>
      <c r="O21"/>
      <c r="P21"/>
      <c r="Q21"/>
    </row>
    <row r="22" spans="1:17" s="157" customFormat="1">
      <c r="A22" s="189"/>
      <c r="B22" s="161"/>
      <c r="C22" s="190"/>
      <c r="D22" s="163"/>
      <c r="E22" s="163"/>
      <c r="F22" s="42"/>
      <c r="G22" s="195" t="s">
        <v>194</v>
      </c>
      <c r="H22" s="42" t="s">
        <v>156</v>
      </c>
      <c r="I22" s="197">
        <f>'Расчёт - Брус'!D38</f>
        <v>6</v>
      </c>
      <c r="J22" s="42">
        <f>'Данные Брус'!E52</f>
        <v>150</v>
      </c>
      <c r="K22" s="85">
        <f t="shared" si="0"/>
        <v>900</v>
      </c>
      <c r="L22"/>
      <c r="M22"/>
      <c r="N22"/>
      <c r="O22"/>
      <c r="P22"/>
      <c r="Q22"/>
    </row>
    <row r="23" spans="1:17" s="157" customFormat="1">
      <c r="A23" s="189"/>
      <c r="B23" s="161"/>
      <c r="C23" s="190"/>
      <c r="D23" s="163"/>
      <c r="E23" s="163"/>
      <c r="F23" s="42"/>
      <c r="G23" s="195"/>
      <c r="H23" s="42"/>
      <c r="I23" s="197"/>
      <c r="J23" s="42"/>
      <c r="K23" s="85"/>
      <c r="L23"/>
      <c r="M23"/>
      <c r="N23"/>
      <c r="O23"/>
      <c r="P23"/>
      <c r="Q23"/>
    </row>
    <row r="24" spans="1:17" s="157" customFormat="1">
      <c r="A24" s="208"/>
      <c r="B24" s="75"/>
      <c r="C24" s="209"/>
      <c r="D24" s="1234" t="s">
        <v>157</v>
      </c>
      <c r="E24" s="1235"/>
      <c r="F24" s="92">
        <f>SUM(F12:F23)</f>
        <v>275187.8571428571</v>
      </c>
      <c r="G24" s="210"/>
      <c r="H24" s="211"/>
      <c r="I24" s="1235" t="s">
        <v>158</v>
      </c>
      <c r="J24" s="1235"/>
      <c r="K24" s="140">
        <f>SUM(K12:K23)</f>
        <v>1328601.9523809524</v>
      </c>
      <c r="L24"/>
      <c r="M24"/>
      <c r="N24"/>
      <c r="O24"/>
      <c r="P24"/>
      <c r="Q24"/>
    </row>
    <row r="25" spans="1:17">
      <c r="A25" s="1239" t="s">
        <v>368</v>
      </c>
      <c r="B25" s="1239"/>
      <c r="C25" s="1239"/>
      <c r="D25" s="1239"/>
      <c r="E25" s="94"/>
      <c r="F25" s="94"/>
      <c r="G25" s="93"/>
      <c r="H25" s="94"/>
      <c r="I25" s="94"/>
      <c r="J25" s="94"/>
      <c r="K25" s="94"/>
    </row>
    <row r="26" spans="1:17">
      <c r="A26" s="212" t="s">
        <v>146</v>
      </c>
      <c r="B26" s="96" t="s">
        <v>159</v>
      </c>
      <c r="C26" s="193" t="s">
        <v>160</v>
      </c>
      <c r="D26" s="213">
        <f>'Балки - Этажи 45 и 95мм'!D28</f>
        <v>35</v>
      </c>
      <c r="E26" s="48">
        <f>'Балки - Этажи 45 и 95мм'!E28</f>
        <v>600</v>
      </c>
      <c r="F26" s="48">
        <f>D26*E26</f>
        <v>21000</v>
      </c>
      <c r="G26" s="96" t="s">
        <v>202</v>
      </c>
      <c r="H26" s="97" t="s">
        <v>63</v>
      </c>
      <c r="I26" s="213">
        <f>балки!K6</f>
        <v>0.84</v>
      </c>
      <c r="J26" s="98">
        <f>'Балки - Этажи 45 и 95мм'!J28</f>
        <v>24000</v>
      </c>
      <c r="K26" s="99">
        <f>I26*J26</f>
        <v>20160</v>
      </c>
    </row>
    <row r="27" spans="1:17">
      <c r="A27" s="212"/>
      <c r="B27" s="96"/>
      <c r="C27" s="193"/>
      <c r="D27" s="213"/>
      <c r="E27" s="48"/>
      <c r="F27" s="48"/>
      <c r="G27" s="100" t="s">
        <v>89</v>
      </c>
      <c r="H27" s="101" t="s">
        <v>85</v>
      </c>
      <c r="I27" s="214">
        <f>балки!I6*2</f>
        <v>28</v>
      </c>
      <c r="J27" s="98">
        <f>'Балки - Этажи 45 и 95мм'!J29</f>
        <v>65</v>
      </c>
      <c r="K27" s="99">
        <f>I27*J27</f>
        <v>1820</v>
      </c>
    </row>
    <row r="28" spans="1:17">
      <c r="A28" s="212"/>
      <c r="B28" s="102"/>
      <c r="C28" s="103"/>
      <c r="D28" s="104"/>
      <c r="E28" s="104"/>
      <c r="F28" s="105"/>
      <c r="G28" s="241" t="s">
        <v>229</v>
      </c>
      <c r="H28" s="97" t="s">
        <v>85</v>
      </c>
      <c r="I28" s="213">
        <f>'Балки - Этажи 45 и 95мм'!I30</f>
        <v>112</v>
      </c>
      <c r="J28" s="99">
        <f>'Балки - Этажи 45 и 95мм'!J30</f>
        <v>12</v>
      </c>
      <c r="K28" s="99">
        <f t="shared" ref="K28:K29" si="2">I28*J28</f>
        <v>1344</v>
      </c>
    </row>
    <row r="29" spans="1:17">
      <c r="A29" s="212"/>
      <c r="B29" s="107"/>
      <c r="C29" s="103"/>
      <c r="D29" s="104"/>
      <c r="E29" s="108"/>
      <c r="F29" s="109"/>
      <c r="G29" s="432" t="s">
        <v>161</v>
      </c>
      <c r="H29" s="97" t="s">
        <v>156</v>
      </c>
      <c r="I29" s="215">
        <f>'Балки - Этажи 45 и 95мм'!I31</f>
        <v>1.4177215189873418</v>
      </c>
      <c r="J29" s="111">
        <f>'Балки - Этажи 45 и 95мм'!J31</f>
        <v>380</v>
      </c>
      <c r="K29" s="99">
        <f t="shared" si="2"/>
        <v>538.7341772151899</v>
      </c>
    </row>
    <row r="30" spans="1:17">
      <c r="A30" s="208"/>
      <c r="B30" s="75"/>
      <c r="C30" s="209"/>
      <c r="D30" s="1234" t="s">
        <v>157</v>
      </c>
      <c r="E30" s="1235"/>
      <c r="F30" s="223">
        <f>SUM(F26:F29)</f>
        <v>21000</v>
      </c>
      <c r="G30" s="210"/>
      <c r="H30" s="211"/>
      <c r="I30" s="1235" t="s">
        <v>158</v>
      </c>
      <c r="J30" s="1235"/>
      <c r="K30" s="140">
        <f>SUM(K26:K29)</f>
        <v>23862.734177215189</v>
      </c>
    </row>
    <row r="31" spans="1:17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7">
      <c r="A32" s="80">
        <v>1</v>
      </c>
      <c r="B32" s="81" t="s">
        <v>159</v>
      </c>
      <c r="C32" s="40" t="s">
        <v>160</v>
      </c>
      <c r="D32" s="179">
        <f>'Балки - Этажи 45 и 95мм'!D35</f>
        <v>44</v>
      </c>
      <c r="E32" s="41">
        <f>'Балки - Этажи 45 и 95мм'!E35</f>
        <v>600</v>
      </c>
      <c r="F32" s="41">
        <f>D32*E32</f>
        <v>26400</v>
      </c>
      <c r="G32" s="161" t="s">
        <v>202</v>
      </c>
      <c r="H32" s="82" t="s">
        <v>63</v>
      </c>
      <c r="I32" s="83">
        <f>'Балки - Этажи 45 и 95мм'!I35</f>
        <v>0.6</v>
      </c>
      <c r="J32" s="84">
        <f>'Балки - Этажи 45 и 95мм'!J35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Этажи 45 и 95мм'!I36</f>
        <v>30</v>
      </c>
      <c r="J33" s="84">
        <f>'Балки - Этажи 45 и 95мм'!J36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229</v>
      </c>
      <c r="H34" s="82" t="s">
        <v>85</v>
      </c>
      <c r="I34" s="83">
        <f>'Балки - Этажи 45 и 95мм'!I37</f>
        <v>120</v>
      </c>
      <c r="J34" s="85">
        <f>'Балки - Этажи 45 и 95мм'!J37</f>
        <v>12</v>
      </c>
      <c r="K34" s="85">
        <f>I34*J34</f>
        <v>1440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175" t="s">
        <v>156</v>
      </c>
      <c r="I35" s="225">
        <f>'Балки - Этажи 45 и 95мм'!I38</f>
        <v>1.518987341772152</v>
      </c>
      <c r="J35" s="172">
        <f>'Балки - Этажи 45 и 95мм'!J38</f>
        <v>380</v>
      </c>
      <c r="K35" s="173">
        <f t="shared" ref="K35" si="3">I35*J35</f>
        <v>577.21518987341778</v>
      </c>
    </row>
    <row r="36" spans="1:11" ht="14.5" customHeight="1">
      <c r="A36" s="122"/>
      <c r="B36" s="123"/>
      <c r="C36" s="72"/>
      <c r="D36" s="1229" t="s">
        <v>157</v>
      </c>
      <c r="E36" s="1229"/>
      <c r="F36" s="138">
        <f>SUM(F32:F35)</f>
        <v>26400</v>
      </c>
      <c r="G36" s="125"/>
      <c r="H36" s="126"/>
      <c r="I36" s="1230" t="s">
        <v>158</v>
      </c>
      <c r="J36" s="1230"/>
      <c r="K36" s="138">
        <f>SUM(K32:K35)</f>
        <v>18367.215189873419</v>
      </c>
    </row>
    <row r="37" spans="1:11" ht="14.5" customHeight="1">
      <c r="A37" s="1383" t="s">
        <v>372</v>
      </c>
      <c r="B37" s="1228"/>
      <c r="C37" s="72"/>
      <c r="D37" s="127"/>
      <c r="E37" s="127"/>
      <c r="F37" s="128"/>
      <c r="G37" s="125"/>
      <c r="H37" s="126"/>
      <c r="I37" s="129"/>
      <c r="J37" s="129"/>
      <c r="K37" s="128"/>
    </row>
    <row r="38" spans="1:11">
      <c r="A38" s="80">
        <v>1</v>
      </c>
      <c r="B38" s="81" t="s">
        <v>159</v>
      </c>
      <c r="C38" s="40" t="s">
        <v>160</v>
      </c>
      <c r="D38" s="179">
        <f>'Балки - Этажи 45 и 95мм'!D42</f>
        <v>30</v>
      </c>
      <c r="E38" s="41">
        <f>'Балки - Этажи 45 и 95мм'!E42</f>
        <v>600</v>
      </c>
      <c r="F38" s="429">
        <f>D38*E38</f>
        <v>18000</v>
      </c>
      <c r="G38" s="161" t="s">
        <v>202</v>
      </c>
      <c r="H38" s="82" t="s">
        <v>63</v>
      </c>
      <c r="I38" s="83">
        <f>'Балки - Этажи 45 и 95мм'!I42</f>
        <v>2.1599999999999997</v>
      </c>
      <c r="J38" s="84">
        <f>'Балки - Этажи 45 и 95мм'!J42</f>
        <v>24000</v>
      </c>
      <c r="K38" s="85">
        <f>I38*J38</f>
        <v>51839.999999999993</v>
      </c>
    </row>
    <row r="39" spans="1:11">
      <c r="A39" s="80"/>
      <c r="B39" s="81"/>
      <c r="C39" s="40"/>
      <c r="D39" s="179"/>
      <c r="E39" s="41"/>
      <c r="F39" s="429"/>
      <c r="G39" s="183" t="s">
        <v>89</v>
      </c>
      <c r="H39" s="184" t="s">
        <v>85</v>
      </c>
      <c r="I39" s="83">
        <f>'Балки - Этажи 45 и 95мм'!I43</f>
        <v>96</v>
      </c>
      <c r="J39" s="84">
        <f>'Балки - Этажи 45 и 95мм'!J43</f>
        <v>65</v>
      </c>
      <c r="K39" s="85">
        <f>I39*J39</f>
        <v>6240</v>
      </c>
    </row>
    <row r="40" spans="1:11">
      <c r="A40" s="174"/>
      <c r="B40" s="185"/>
      <c r="C40" s="186"/>
      <c r="D40" s="187"/>
      <c r="E40" s="187"/>
      <c r="F40" s="430"/>
      <c r="G40" s="240" t="s">
        <v>229</v>
      </c>
      <c r="H40" s="82" t="s">
        <v>85</v>
      </c>
      <c r="I40" s="83">
        <f>'Балки - Этажи 45 и 95мм'!I44</f>
        <v>384</v>
      </c>
      <c r="J40" s="85">
        <f>'Балки - Этажи 45 и 95мм'!J44</f>
        <v>12</v>
      </c>
      <c r="K40" s="85">
        <f>I40*J40</f>
        <v>4608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82" t="s">
        <v>156</v>
      </c>
      <c r="I41" s="394">
        <f>'Балки - Этажи 45 и 95мм'!I45</f>
        <v>4.8607594936708862</v>
      </c>
      <c r="J41" s="85">
        <f>'Балки - Этажи 45 и 95мм'!J45</f>
        <v>380</v>
      </c>
      <c r="K41" s="85">
        <f t="shared" ref="K41" si="4">I41*J41</f>
        <v>1847.0886075949368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18000</v>
      </c>
      <c r="G42" s="125"/>
      <c r="H42" s="126"/>
      <c r="I42" s="1230" t="s">
        <v>158</v>
      </c>
      <c r="J42" s="1230"/>
      <c r="K42" s="124">
        <f>SUM(K38:K41)</f>
        <v>64535.088607594931</v>
      </c>
    </row>
    <row r="43" spans="1:11">
      <c r="A43" s="1231" t="s">
        <v>226</v>
      </c>
      <c r="B43" s="1231"/>
      <c r="C43" s="126"/>
      <c r="D43" s="127"/>
      <c r="E43" s="127"/>
      <c r="F43" s="128"/>
      <c r="G43" s="125"/>
      <c r="H43" s="126"/>
      <c r="I43" s="129"/>
      <c r="J43" s="129"/>
      <c r="K43" s="128"/>
    </row>
    <row r="44" spans="1:11" ht="27.5" customHeight="1">
      <c r="A44" s="130" t="s">
        <v>146</v>
      </c>
      <c r="B44" s="198" t="s">
        <v>219</v>
      </c>
      <c r="C44" s="130" t="s">
        <v>63</v>
      </c>
      <c r="D44" s="130">
        <f>D12+I21+I26+I32+I38</f>
        <v>51.766904761904755</v>
      </c>
      <c r="E44" s="132">
        <f>'Данные Брус'!E113</f>
        <v>500</v>
      </c>
      <c r="F44" s="130">
        <f>D44*E44</f>
        <v>25883.452380952378</v>
      </c>
      <c r="G44" s="133" t="s">
        <v>163</v>
      </c>
      <c r="H44" s="190" t="s">
        <v>167</v>
      </c>
      <c r="I44" s="449">
        <f>'Данные Брус'!D100</f>
        <v>1</v>
      </c>
      <c r="J44" s="115">
        <f>'Данные Брус'!E100</f>
        <v>10000</v>
      </c>
      <c r="K44" s="130">
        <f t="shared" ref="K44:K48" si="5">I44*J44</f>
        <v>10000</v>
      </c>
    </row>
    <row r="45" spans="1:11" ht="14.5" customHeight="1">
      <c r="A45" s="130"/>
      <c r="B45" s="198"/>
      <c r="C45" s="130"/>
      <c r="D45" s="130"/>
      <c r="E45" s="132"/>
      <c r="F45" s="130"/>
      <c r="G45" s="133"/>
      <c r="H45" s="82"/>
      <c r="I45" s="83"/>
      <c r="J45" s="120"/>
      <c r="K45" s="130"/>
    </row>
    <row r="46" spans="1:11">
      <c r="A46" s="130" t="s">
        <v>164</v>
      </c>
      <c r="B46" s="131" t="s">
        <v>220</v>
      </c>
      <c r="C46" s="130" t="s">
        <v>166</v>
      </c>
      <c r="D46" s="130">
        <v>1</v>
      </c>
      <c r="E46" s="132">
        <v>3200</v>
      </c>
      <c r="F46" s="130">
        <f>D46*E46</f>
        <v>3200</v>
      </c>
      <c r="G46" s="134" t="s">
        <v>373</v>
      </c>
      <c r="H46" s="130" t="s">
        <v>167</v>
      </c>
      <c r="I46" s="135">
        <f>'Данные Брус'!D101</f>
        <v>1</v>
      </c>
      <c r="J46" s="135">
        <f>'Данные Брус'!E101</f>
        <v>12000</v>
      </c>
      <c r="K46" s="130">
        <f t="shared" si="5"/>
        <v>12000</v>
      </c>
    </row>
    <row r="47" spans="1:11">
      <c r="A47" s="130"/>
      <c r="B47" s="131"/>
      <c r="C47" s="130"/>
      <c r="D47" s="136"/>
      <c r="E47" s="137"/>
      <c r="F47" s="138"/>
      <c r="G47" s="133" t="s">
        <v>228</v>
      </c>
      <c r="H47" s="130" t="s">
        <v>168</v>
      </c>
      <c r="I47" s="135">
        <f>'Данные Брус'!E280</f>
        <v>1</v>
      </c>
      <c r="J47" s="130">
        <f>'Данные Брус'!G280</f>
        <v>70000</v>
      </c>
      <c r="K47" s="130">
        <f t="shared" si="5"/>
        <v>70000</v>
      </c>
    </row>
    <row r="48" spans="1:11">
      <c r="A48" s="130"/>
      <c r="B48" s="131"/>
      <c r="C48" s="130"/>
      <c r="D48" s="136"/>
      <c r="E48" s="137"/>
      <c r="F48" s="138"/>
      <c r="G48" s="131" t="s">
        <v>227</v>
      </c>
      <c r="H48" s="130" t="s">
        <v>168</v>
      </c>
      <c r="I48" s="139">
        <f>'Данные Брус'!D280</f>
        <v>1</v>
      </c>
      <c r="J48" s="139">
        <f>'Данные Брус'!F280</f>
        <v>80000</v>
      </c>
      <c r="K48" s="130">
        <f t="shared" si="5"/>
        <v>80000</v>
      </c>
    </row>
    <row r="49" spans="1:11 16384:16384">
      <c r="A49" s="126"/>
      <c r="B49" s="125"/>
      <c r="C49" s="126"/>
      <c r="D49" s="1242" t="s">
        <v>157</v>
      </c>
      <c r="E49" s="1243"/>
      <c r="F49" s="138">
        <f>SUM(F44:F48)</f>
        <v>29083.452380952378</v>
      </c>
      <c r="G49" s="125"/>
      <c r="H49" s="126"/>
      <c r="I49" s="1285" t="s">
        <v>169</v>
      </c>
      <c r="J49" s="1245"/>
      <c r="K49" s="138">
        <f>SUM(K44:K48)</f>
        <v>172000</v>
      </c>
    </row>
    <row r="50" spans="1:11 16384:16384">
      <c r="A50" s="126"/>
      <c r="B50" s="125"/>
      <c r="C50" s="126"/>
      <c r="D50" s="127"/>
      <c r="E50" s="127"/>
      <c r="F50" s="128"/>
      <c r="G50" s="125"/>
      <c r="H50" s="126"/>
      <c r="I50" s="129"/>
      <c r="J50" s="129"/>
      <c r="K50" s="128"/>
    </row>
    <row r="52" spans="1:11 16384:16384">
      <c r="C52" s="1195" t="s">
        <v>170</v>
      </c>
      <c r="D52" s="1195"/>
      <c r="E52" s="1195"/>
      <c r="F52" s="1195"/>
      <c r="G52" s="141">
        <f>F24+F30+F36+F42+F49</f>
        <v>369671.30952380947</v>
      </c>
    </row>
    <row r="53" spans="1:11 16384:16384">
      <c r="C53" s="1195" t="s">
        <v>171</v>
      </c>
      <c r="D53" s="1195"/>
      <c r="E53" s="1195"/>
      <c r="F53" s="1195"/>
      <c r="G53" s="141">
        <f>G52*0.03</f>
        <v>11090.139285714284</v>
      </c>
    </row>
    <row r="54" spans="1:11 16384:16384">
      <c r="C54" s="1195" t="s">
        <v>172</v>
      </c>
      <c r="D54" s="1195"/>
      <c r="E54" s="1195"/>
      <c r="F54" s="1195"/>
      <c r="G54" s="141">
        <f>G52*0.16</f>
        <v>59147.409523809518</v>
      </c>
    </row>
    <row r="55" spans="1:11 16384:16384">
      <c r="C55" s="1195" t="s">
        <v>20</v>
      </c>
      <c r="D55" s="1195"/>
      <c r="E55" s="1195"/>
      <c r="F55" s="1195"/>
      <c r="G55" s="141">
        <f>G52+G53+G54</f>
        <v>439908.85833333328</v>
      </c>
    </row>
    <row r="56" spans="1:11 16384:16384">
      <c r="C56" s="1195" t="s">
        <v>173</v>
      </c>
      <c r="D56" s="1195"/>
      <c r="E56" s="1195"/>
      <c r="F56" s="1195"/>
      <c r="G56" s="141">
        <f>K24+K30+K36+K42</f>
        <v>1435366.990355636</v>
      </c>
    </row>
    <row r="57" spans="1:11 16384:16384">
      <c r="C57" s="1195" t="s">
        <v>174</v>
      </c>
      <c r="D57" s="1195"/>
      <c r="E57" s="1195"/>
      <c r="F57" s="1195"/>
      <c r="G57" s="141">
        <f>K49</f>
        <v>172000</v>
      </c>
    </row>
    <row r="58" spans="1:11 16384:16384">
      <c r="C58" s="1195" t="s">
        <v>20</v>
      </c>
      <c r="D58" s="1195"/>
      <c r="E58" s="1195"/>
      <c r="F58" s="1195"/>
      <c r="G58" s="141">
        <f>G56+G57</f>
        <v>1607366.990355636</v>
      </c>
    </row>
    <row r="59" spans="1:11 16384:16384">
      <c r="C59" s="1246" t="s">
        <v>175</v>
      </c>
      <c r="D59" s="1246"/>
      <c r="E59" s="1246"/>
      <c r="F59" s="1246"/>
      <c r="G59" s="142">
        <f>G55+G58</f>
        <v>2047275.8486889694</v>
      </c>
    </row>
    <row r="60" spans="1:11 16384:16384" ht="16" thickBot="1">
      <c r="C60" s="1247" t="s">
        <v>176</v>
      </c>
      <c r="D60" s="1247"/>
      <c r="E60" s="1247"/>
      <c r="F60" s="1247"/>
      <c r="G60" s="143">
        <f>G52*0.03</f>
        <v>11090.139285714284</v>
      </c>
    </row>
    <row r="61" spans="1:11 16384:16384" ht="17" thickBot="1">
      <c r="C61" s="1248" t="s">
        <v>177</v>
      </c>
      <c r="D61" s="1249"/>
      <c r="E61" s="1249"/>
      <c r="F61" s="1250"/>
      <c r="G61" s="144">
        <f>G59+G60</f>
        <v>2058365.9879746838</v>
      </c>
      <c r="I61" s="145"/>
      <c r="J61" s="146"/>
    </row>
    <row r="62" spans="1:11 16384:16384">
      <c r="XFD62" s="37">
        <f>SUM(A62:XFC62)</f>
        <v>0</v>
      </c>
    </row>
    <row r="63" spans="1:11 16384:16384">
      <c r="A63" s="147"/>
      <c r="B63" s="147"/>
      <c r="C63" s="147"/>
      <c r="D63" s="147"/>
      <c r="E63" s="147"/>
      <c r="F63" s="148"/>
      <c r="G63" s="149"/>
      <c r="H63" s="147"/>
      <c r="I63" s="147"/>
      <c r="J63" s="147"/>
      <c r="K63" s="147"/>
    </row>
    <row r="64" spans="1:11 16384:16384">
      <c r="A64" s="147"/>
      <c r="B64" s="147"/>
      <c r="C64" s="147"/>
      <c r="D64" s="147"/>
      <c r="E64" s="147"/>
      <c r="F64" s="148"/>
      <c r="G64" s="150"/>
      <c r="H64" s="147"/>
      <c r="I64" s="147"/>
      <c r="J64" s="147"/>
      <c r="K64" s="147"/>
    </row>
    <row r="65" spans="1:11" ht="16">
      <c r="A65" s="147"/>
      <c r="B65" s="147"/>
      <c r="C65" s="147"/>
      <c r="D65" s="147"/>
      <c r="E65" s="147"/>
      <c r="F65" s="148"/>
      <c r="G65" s="151"/>
      <c r="H65" s="147"/>
      <c r="I65" s="147"/>
      <c r="J65" s="147"/>
      <c r="K65" s="147"/>
    </row>
    <row r="66" spans="1:11" ht="14" customHeight="1">
      <c r="A66" s="147"/>
      <c r="B66" s="147"/>
      <c r="C66" s="147"/>
      <c r="D66" s="147"/>
      <c r="E66" s="147"/>
      <c r="F66" s="148"/>
      <c r="G66" s="150"/>
      <c r="H66" s="147"/>
      <c r="I66" s="147"/>
      <c r="J66" s="147"/>
      <c r="K66" s="147"/>
    </row>
    <row r="67" spans="1:11">
      <c r="F67" s="152"/>
      <c r="G67" s="153"/>
    </row>
    <row r="68" spans="1:11">
      <c r="G68" s="154"/>
    </row>
    <row r="69" spans="1:11">
      <c r="G69" s="153"/>
    </row>
    <row r="70" spans="1:11" ht="14" customHeight="1">
      <c r="G70" s="155"/>
    </row>
    <row r="71" spans="1:11">
      <c r="G71" s="153"/>
    </row>
    <row r="72" spans="1:11">
      <c r="G72" s="155"/>
    </row>
    <row r="73" spans="1:11">
      <c r="G73" s="153"/>
    </row>
    <row r="74" spans="1:11">
      <c r="G74" s="155"/>
    </row>
    <row r="75" spans="1:11">
      <c r="G75" s="153"/>
    </row>
    <row r="76" spans="1:11">
      <c r="G76" s="155"/>
    </row>
    <row r="77" spans="1:11" s="147" customFormat="1">
      <c r="A77"/>
      <c r="B77"/>
      <c r="C77"/>
      <c r="D77"/>
      <c r="E77"/>
      <c r="F77"/>
      <c r="G77" s="153"/>
      <c r="H77"/>
      <c r="I77"/>
      <c r="J77"/>
      <c r="K77"/>
    </row>
    <row r="78" spans="1:11" s="147" customFormat="1">
      <c r="A78"/>
      <c r="B78"/>
      <c r="C78"/>
      <c r="D78"/>
      <c r="E78"/>
      <c r="F78"/>
      <c r="G78" s="37"/>
      <c r="H78"/>
      <c r="I78"/>
      <c r="J78"/>
      <c r="K78"/>
    </row>
    <row r="79" spans="1:11" s="147" customFormat="1">
      <c r="A79"/>
      <c r="B79"/>
      <c r="C79"/>
      <c r="D79"/>
      <c r="E79"/>
      <c r="F79"/>
      <c r="G79"/>
      <c r="H79"/>
      <c r="I79"/>
      <c r="J79"/>
      <c r="K79"/>
    </row>
    <row r="80" spans="1:11" s="147" customFormat="1">
      <c r="A80"/>
      <c r="B80"/>
      <c r="C80"/>
      <c r="D80"/>
      <c r="E80"/>
      <c r="F80"/>
      <c r="G80"/>
      <c r="H80"/>
      <c r="I80"/>
      <c r="J80"/>
      <c r="K80"/>
    </row>
  </sheetData>
  <customSheetViews>
    <customSheetView guid="{3274156B-1D2A-4448-883E-F1EEF1AAE0AF}" topLeftCell="A28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39">
    <mergeCell ref="C59:F59"/>
    <mergeCell ref="C60:F60"/>
    <mergeCell ref="C61:F61"/>
    <mergeCell ref="A37:B37"/>
    <mergeCell ref="C53:F53"/>
    <mergeCell ref="C54:F54"/>
    <mergeCell ref="C55:F55"/>
    <mergeCell ref="C56:F56"/>
    <mergeCell ref="C57:F57"/>
    <mergeCell ref="C58:F58"/>
    <mergeCell ref="D42:E42"/>
    <mergeCell ref="I42:J42"/>
    <mergeCell ref="A43:B43"/>
    <mergeCell ref="D49:E49"/>
    <mergeCell ref="I49:J49"/>
    <mergeCell ref="C52:F52"/>
    <mergeCell ref="A31:E31"/>
    <mergeCell ref="D36:E36"/>
    <mergeCell ref="I36:J36"/>
    <mergeCell ref="A25:D25"/>
    <mergeCell ref="D30:E30"/>
    <mergeCell ref="I30:J30"/>
    <mergeCell ref="A11:D11"/>
    <mergeCell ref="D24:E24"/>
    <mergeCell ref="I24:J24"/>
    <mergeCell ref="D5:F5"/>
    <mergeCell ref="A6:B6"/>
    <mergeCell ref="D6:F6"/>
    <mergeCell ref="I6:K6"/>
    <mergeCell ref="A7:K7"/>
    <mergeCell ref="A8:G8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9600-9CC5-4B60-BC39-B2440FFCD9CE}">
  <sheetPr codeName="Worksheet____15"/>
  <dimension ref="A1:XFD87"/>
  <sheetViews>
    <sheetView topLeftCell="A40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Брус'!D135</f>
        <v>70.19632097485092</v>
      </c>
      <c r="E13" s="41">
        <f>'Данные Брус'!E106</f>
        <v>5000</v>
      </c>
      <c r="F13" s="42">
        <f>D13*E13</f>
        <v>350981.60487425461</v>
      </c>
      <c r="G13" s="161" t="s">
        <v>356</v>
      </c>
      <c r="H13" s="190" t="s">
        <v>63</v>
      </c>
      <c r="I13" s="233">
        <f>'Данные Брус'!E135</f>
        <v>72.961505055742805</v>
      </c>
      <c r="J13" s="84">
        <f>'Данные Брус'!F135</f>
        <v>26000</v>
      </c>
      <c r="K13" s="85">
        <f t="shared" ref="K13:K20" si="0">I13*J13</f>
        <v>1896999.1314493129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Брус'!D213</f>
        <v>4224</v>
      </c>
      <c r="E14" s="163">
        <f>'Данные Брус'!E109</f>
        <v>5</v>
      </c>
      <c r="F14" s="42">
        <f>D14*E14</f>
        <v>21120</v>
      </c>
      <c r="G14" s="161" t="s">
        <v>147</v>
      </c>
      <c r="H14" s="190" t="s">
        <v>148</v>
      </c>
      <c r="I14" s="191">
        <f>D14</f>
        <v>4224</v>
      </c>
      <c r="J14" s="84">
        <f>'Данные Брус'!G132</f>
        <v>12</v>
      </c>
      <c r="K14" s="85">
        <f t="shared" si="0"/>
        <v>50688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Брус'!E213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Брус'!O244</f>
        <v>563.37812306390992</v>
      </c>
      <c r="J16" s="88">
        <f>'Данные Брус'!E89</f>
        <v>21</v>
      </c>
      <c r="K16" s="160">
        <f t="shared" si="0"/>
        <v>11830.940584342108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Брус'!M244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Брус'!N244</f>
        <v>8.4519924697820503</v>
      </c>
      <c r="J18" s="88">
        <f>'Данные Брус'!E93</f>
        <v>380</v>
      </c>
      <c r="K18" s="160">
        <f t="shared" si="0"/>
        <v>3211.7571385171791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392901.60487425461</v>
      </c>
      <c r="G23" s="93"/>
      <c r="H23" s="94"/>
      <c r="I23" s="1238" t="s">
        <v>158</v>
      </c>
      <c r="J23" s="1238"/>
      <c r="K23" s="140">
        <f>SUM(K13:K22)</f>
        <v>2018045.4958388389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202</v>
      </c>
      <c r="H32" s="190" t="s">
        <v>63</v>
      </c>
      <c r="I32" s="83">
        <f>'Балки - КС и ПБКЛ'!I37</f>
        <v>0.6</v>
      </c>
      <c r="J32" s="84">
        <f>'Балки - КС и ПБКЛ'!J37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18487.215189873419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202</v>
      </c>
      <c r="H38" s="190" t="s">
        <v>63</v>
      </c>
      <c r="I38" s="83">
        <f>'Балки - КС и ПБКЛ'!I43</f>
        <v>0.48</v>
      </c>
      <c r="J38" s="84">
        <f>'Балки - КС и ПБКЛ'!J43</f>
        <v>24000</v>
      </c>
      <c r="K38" s="85">
        <f>I38*J38</f>
        <v>11520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187"/>
      <c r="G40" s="239" t="s">
        <v>153</v>
      </c>
      <c r="H40" s="434" t="s">
        <v>85</v>
      </c>
      <c r="I40" s="230">
        <f>'Балки - КС и ПБКЛ'!I45</f>
        <v>128</v>
      </c>
      <c r="J40" s="188">
        <f>'Балки - КС и ПБКЛ'!J45</f>
        <v>13</v>
      </c>
      <c r="K40" s="188">
        <f>I40*J40</f>
        <v>1664</v>
      </c>
    </row>
    <row r="41" spans="1:11">
      <c r="A41" s="169"/>
      <c r="B41" s="170"/>
      <c r="C41" s="171"/>
      <c r="D41" s="109"/>
      <c r="E41" s="109"/>
      <c r="F41" s="109"/>
      <c r="G41" s="433" t="s">
        <v>161</v>
      </c>
      <c r="H41" s="193" t="s">
        <v>156</v>
      </c>
      <c r="I41" s="215">
        <f>'Балки - КС и ПБКЛ'!I46</f>
        <v>1.620253164556962</v>
      </c>
      <c r="J41" s="172">
        <f>'Балки - КС и ПБКЛ'!J46</f>
        <v>380</v>
      </c>
      <c r="K41" s="173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15879.696202531646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202</v>
      </c>
      <c r="H44" s="190" t="s">
        <v>63</v>
      </c>
      <c r="I44" s="83">
        <f>'Балки - КС и ПБКЛ'!I49</f>
        <v>2.88</v>
      </c>
      <c r="J44" s="84">
        <f>'Балки - КС и ПБКЛ'!J49</f>
        <v>24000</v>
      </c>
      <c r="K44" s="85">
        <f>I44*J44</f>
        <v>69120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187"/>
      <c r="G46" s="239" t="s">
        <v>153</v>
      </c>
      <c r="H46" s="434" t="s">
        <v>85</v>
      </c>
      <c r="I46" s="230">
        <f>'Балки - КС и ПБКЛ'!I51</f>
        <v>384</v>
      </c>
      <c r="J46" s="188">
        <f>'Балки - КС и ПБКЛ'!J51</f>
        <v>13</v>
      </c>
      <c r="K46" s="188">
        <f>I46*J46</f>
        <v>4992</v>
      </c>
    </row>
    <row r="47" spans="1:11">
      <c r="A47" s="169"/>
      <c r="B47" s="170"/>
      <c r="C47" s="171"/>
      <c r="D47" s="109"/>
      <c r="E47" s="109"/>
      <c r="F47" s="109"/>
      <c r="G47" s="433" t="s">
        <v>161</v>
      </c>
      <c r="H47" s="193" t="s">
        <v>156</v>
      </c>
      <c r="I47" s="215">
        <f>'Балки - КС и ПБКЛ'!I52</f>
        <v>4.8607594936708862</v>
      </c>
      <c r="J47" s="172">
        <f>'Балки - КС и ПБКЛ'!J52</f>
        <v>380</v>
      </c>
      <c r="K47" s="173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82199.088607594938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77.169654308184249</v>
      </c>
      <c r="E51" s="132">
        <f>'Данные Брус'!E113</f>
        <v>500</v>
      </c>
      <c r="F51" s="130">
        <f>D51*E51</f>
        <v>38584.827154092127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Брус'!E284</f>
        <v>0</v>
      </c>
      <c r="J54" s="130">
        <f>'Данные Брус'!G284</f>
        <v>70000</v>
      </c>
      <c r="K54" s="130">
        <f t="shared" si="5"/>
        <v>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Брус'!D284</f>
        <v>2</v>
      </c>
      <c r="J55" s="139">
        <f>'Данные Брус'!F284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41784.827154092127</v>
      </c>
      <c r="G56" s="125"/>
      <c r="H56" s="126"/>
      <c r="I56" s="1244" t="s">
        <v>169</v>
      </c>
      <c r="J56" s="1245"/>
      <c r="K56" s="138">
        <f>SUM(K51:K55)</f>
        <v>182000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482086.43202834675</v>
      </c>
    </row>
    <row r="60" spans="1:11">
      <c r="C60" s="1195" t="s">
        <v>171</v>
      </c>
      <c r="D60" s="1195"/>
      <c r="E60" s="1195"/>
      <c r="F60" s="1195"/>
      <c r="G60" s="141">
        <f>G59*0.03</f>
        <v>14462.592960850403</v>
      </c>
    </row>
    <row r="61" spans="1:11">
      <c r="C61" s="1195" t="s">
        <v>172</v>
      </c>
      <c r="D61" s="1195"/>
      <c r="E61" s="1195"/>
      <c r="F61" s="1195"/>
      <c r="G61" s="141">
        <f>G59*0.16</f>
        <v>77133.829124535478</v>
      </c>
    </row>
    <row r="62" spans="1:11">
      <c r="C62" s="1195" t="s">
        <v>20</v>
      </c>
      <c r="D62" s="1195"/>
      <c r="E62" s="1195"/>
      <c r="F62" s="1195"/>
      <c r="G62" s="141">
        <f>G59+G60+G61</f>
        <v>573682.85411373258</v>
      </c>
    </row>
    <row r="63" spans="1:11">
      <c r="C63" s="1195" t="s">
        <v>173</v>
      </c>
      <c r="D63" s="1195"/>
      <c r="E63" s="1195"/>
      <c r="F63" s="1195"/>
      <c r="G63" s="141">
        <f>K23+K29+K36</f>
        <v>2060507.4452059276</v>
      </c>
    </row>
    <row r="64" spans="1:11">
      <c r="C64" s="1195" t="s">
        <v>174</v>
      </c>
      <c r="D64" s="1195"/>
      <c r="E64" s="1195"/>
      <c r="F64" s="1195"/>
      <c r="G64" s="141">
        <f>K56</f>
        <v>182000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2242507.4452059278</v>
      </c>
    </row>
    <row r="66" spans="1:11 16384:16384">
      <c r="C66" s="1246" t="s">
        <v>175</v>
      </c>
      <c r="D66" s="1246"/>
      <c r="E66" s="1246"/>
      <c r="F66" s="1246"/>
      <c r="G66" s="142">
        <f>G62+G65</f>
        <v>2816190.2993196603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14462.592960850403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2830652.8922805106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scale="90" topLeftCell="A40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3">
    <mergeCell ref="C68:F68"/>
    <mergeCell ref="C62:F62"/>
    <mergeCell ref="C63:F63"/>
    <mergeCell ref="C64:F64"/>
    <mergeCell ref="C65:F65"/>
    <mergeCell ref="C66:F66"/>
    <mergeCell ref="C67:F67"/>
    <mergeCell ref="C61:F61"/>
    <mergeCell ref="A30:K30"/>
    <mergeCell ref="A31:E31"/>
    <mergeCell ref="D36:E36"/>
    <mergeCell ref="I36:J36"/>
    <mergeCell ref="A37:E37"/>
    <mergeCell ref="D42:E42"/>
    <mergeCell ref="I42:J42"/>
    <mergeCell ref="A50:B50"/>
    <mergeCell ref="D56:E56"/>
    <mergeCell ref="I56:J56"/>
    <mergeCell ref="C59:F59"/>
    <mergeCell ref="C60:F60"/>
    <mergeCell ref="A43:E43"/>
    <mergeCell ref="D48:E48"/>
    <mergeCell ref="I48:J48"/>
    <mergeCell ref="A12:B12"/>
    <mergeCell ref="D23:E23"/>
    <mergeCell ref="I23:J23"/>
    <mergeCell ref="A24:D24"/>
    <mergeCell ref="D29:E29"/>
    <mergeCell ref="I29:J29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1E91-35F0-492E-9B53-546169FE503F}">
  <sheetPr codeName="Worksheet____17"/>
  <dimension ref="A1:XFD87"/>
  <sheetViews>
    <sheetView topLeftCell="A28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Брус'!D136</f>
        <v>94.403463831993776</v>
      </c>
      <c r="E13" s="41">
        <f>'Данные Брус'!E106</f>
        <v>5000</v>
      </c>
      <c r="F13" s="42">
        <f>D13*E13</f>
        <v>472017.31915996887</v>
      </c>
      <c r="G13" s="161" t="s">
        <v>559</v>
      </c>
      <c r="H13" s="190" t="s">
        <v>63</v>
      </c>
      <c r="I13" s="233">
        <f>'Данные Брус'!E136</f>
        <v>98.122219341457082</v>
      </c>
      <c r="J13" s="84">
        <f>'Данные Брус'!F136</f>
        <v>26000</v>
      </c>
      <c r="K13" s="85">
        <f t="shared" ref="K13:K20" si="0">I13*J13</f>
        <v>2551177.7028778843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Брус'!H245</f>
        <v>4222.9000000000005</v>
      </c>
      <c r="E14" s="163">
        <f>'Данные Брус'!E109</f>
        <v>5</v>
      </c>
      <c r="F14" s="42">
        <f>D14*E14</f>
        <v>21114.500000000004</v>
      </c>
      <c r="G14" s="161" t="s">
        <v>147</v>
      </c>
      <c r="H14" s="190" t="s">
        <v>148</v>
      </c>
      <c r="I14" s="453">
        <f>D14</f>
        <v>4222.9000000000005</v>
      </c>
      <c r="J14" s="84">
        <f>'Данные Брус'!G136</f>
        <v>12</v>
      </c>
      <c r="K14" s="85">
        <f t="shared" si="0"/>
        <v>50674.8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Брус'!E214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Брус'!O245</f>
        <v>563.30546868550687</v>
      </c>
      <c r="J16" s="88">
        <f>'Данные Брус'!E89</f>
        <v>21</v>
      </c>
      <c r="K16" s="160">
        <f t="shared" si="0"/>
        <v>11829.414842395645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Брус'!M245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Брус'!N245</f>
        <v>8.4509024837956943</v>
      </c>
      <c r="J18" s="88">
        <f>'Данные Брус'!E93</f>
        <v>380</v>
      </c>
      <c r="K18" s="160">
        <f t="shared" si="0"/>
        <v>3211.3429438423636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513931.81915996887</v>
      </c>
      <c r="G23" s="93"/>
      <c r="H23" s="94"/>
      <c r="I23" s="1238" t="s">
        <v>158</v>
      </c>
      <c r="J23" s="1238"/>
      <c r="K23" s="140">
        <f>SUM(K13:K22)</f>
        <v>2672208.9273307887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202</v>
      </c>
      <c r="H32" s="190" t="s">
        <v>63</v>
      </c>
      <c r="I32" s="83">
        <f>'Балки - КС и ПБКЛ'!I37</f>
        <v>0.6</v>
      </c>
      <c r="J32" s="84">
        <f>'Балки - КС и ПБКЛ'!J37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18487.215189873419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202</v>
      </c>
      <c r="H38" s="190" t="s">
        <v>63</v>
      </c>
      <c r="I38" s="83">
        <f>'Балки - КС и ПБКЛ'!I43</f>
        <v>0.48</v>
      </c>
      <c r="J38" s="84">
        <f>'Балки - КС и ПБКЛ'!J43</f>
        <v>24000</v>
      </c>
      <c r="K38" s="85">
        <f>I38*J38</f>
        <v>11520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15879.696202531646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202</v>
      </c>
      <c r="H44" s="190" t="s">
        <v>63</v>
      </c>
      <c r="I44" s="83">
        <f>'Балки - КС и ПБКЛ'!I49</f>
        <v>2.88</v>
      </c>
      <c r="J44" s="84">
        <f>'Балки - КС и ПБКЛ'!J49</f>
        <v>24000</v>
      </c>
      <c r="K44" s="85">
        <f>I44*J44</f>
        <v>69120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82199.088607594938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101.3767971653271</v>
      </c>
      <c r="E51" s="132">
        <f>'Данные Брус'!E113</f>
        <v>500</v>
      </c>
      <c r="F51" s="130">
        <f>D51*E51</f>
        <v>50688.398582663554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Брус'!E285</f>
        <v>1</v>
      </c>
      <c r="J54" s="130">
        <f>'Данные Брус'!G284</f>
        <v>70000</v>
      </c>
      <c r="K54" s="130">
        <f t="shared" si="5"/>
        <v>70000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Брус'!D285</f>
        <v>2</v>
      </c>
      <c r="J55" s="139">
        <f>'Данные Брус'!F284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53888.398582663554</v>
      </c>
      <c r="G56" s="125"/>
      <c r="H56" s="126"/>
      <c r="I56" s="1244" t="s">
        <v>169</v>
      </c>
      <c r="J56" s="1245"/>
      <c r="K56" s="138">
        <f>SUM(K51:K55)</f>
        <v>252000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615220.21774263238</v>
      </c>
    </row>
    <row r="60" spans="1:11">
      <c r="C60" s="1195" t="s">
        <v>171</v>
      </c>
      <c r="D60" s="1195"/>
      <c r="E60" s="1195"/>
      <c r="F60" s="1195"/>
      <c r="G60" s="141">
        <f>G59*0.03</f>
        <v>18456.606532278969</v>
      </c>
    </row>
    <row r="61" spans="1:11">
      <c r="C61" s="1195" t="s">
        <v>172</v>
      </c>
      <c r="D61" s="1195"/>
      <c r="E61" s="1195"/>
      <c r="F61" s="1195"/>
      <c r="G61" s="141">
        <f>G59*0.16</f>
        <v>98435.234838821183</v>
      </c>
    </row>
    <row r="62" spans="1:11">
      <c r="C62" s="1195" t="s">
        <v>20</v>
      </c>
      <c r="D62" s="1195"/>
      <c r="E62" s="1195"/>
      <c r="F62" s="1195"/>
      <c r="G62" s="141">
        <f>G59+G60+G61</f>
        <v>732112.05911373254</v>
      </c>
    </row>
    <row r="63" spans="1:11">
      <c r="C63" s="1195" t="s">
        <v>173</v>
      </c>
      <c r="D63" s="1195"/>
      <c r="E63" s="1195"/>
      <c r="F63" s="1195"/>
      <c r="G63" s="141">
        <f>K23+K29+K36</f>
        <v>2714670.876697877</v>
      </c>
    </row>
    <row r="64" spans="1:11">
      <c r="C64" s="1195" t="s">
        <v>174</v>
      </c>
      <c r="D64" s="1195"/>
      <c r="E64" s="1195"/>
      <c r="F64" s="1195"/>
      <c r="G64" s="141">
        <f>K56</f>
        <v>252000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2966670.876697877</v>
      </c>
    </row>
    <row r="66" spans="1:11 16384:16384">
      <c r="C66" s="1246" t="s">
        <v>175</v>
      </c>
      <c r="D66" s="1246"/>
      <c r="E66" s="1246"/>
      <c r="F66" s="1246"/>
      <c r="G66" s="142">
        <f>G62+G65</f>
        <v>3698782.9358116095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18456.606532278969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3717239.5423438884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scale="90" topLeftCell="A28">
      <selection activeCell="I11" sqref="I11"/>
      <pageMargins left="0.7" right="0.7" top="0.75" bottom="0.75" header="0.3" footer="0.3"/>
    </customSheetView>
  </customSheetViews>
  <mergeCells count="43">
    <mergeCell ref="C67:F67"/>
    <mergeCell ref="C68:F68"/>
    <mergeCell ref="A12:B12"/>
    <mergeCell ref="D23:E23"/>
    <mergeCell ref="I23:J23"/>
    <mergeCell ref="A24:D24"/>
    <mergeCell ref="D48:E48"/>
    <mergeCell ref="D29:E29"/>
    <mergeCell ref="I29:J29"/>
    <mergeCell ref="A30:K30"/>
    <mergeCell ref="I48:J48"/>
    <mergeCell ref="A31:E31"/>
    <mergeCell ref="D36:E36"/>
    <mergeCell ref="I36:J36"/>
    <mergeCell ref="A37:E37"/>
    <mergeCell ref="D56:E56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D42:E42"/>
    <mergeCell ref="I42:J42"/>
    <mergeCell ref="A43:E43"/>
    <mergeCell ref="A50:B50"/>
    <mergeCell ref="C59:F59"/>
    <mergeCell ref="I56:J56"/>
    <mergeCell ref="C64:F64"/>
    <mergeCell ref="C65:F65"/>
    <mergeCell ref="C66:F66"/>
    <mergeCell ref="C60:F60"/>
    <mergeCell ref="C61:F61"/>
    <mergeCell ref="C62:F62"/>
    <mergeCell ref="C63:F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798A-140E-48B4-B1E2-E7D7FFE71C19}">
  <sheetPr codeName="Sheet17"/>
  <dimension ref="A1:XFD87"/>
  <sheetViews>
    <sheetView topLeftCell="B1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Брус'!D137</f>
        <v>93.838445852261842</v>
      </c>
      <c r="E13" s="41">
        <f>'Данные Брус'!E106</f>
        <v>5000</v>
      </c>
      <c r="F13" s="42">
        <f>D13*E13</f>
        <v>469192.2292613092</v>
      </c>
      <c r="G13" s="161" t="s">
        <v>561</v>
      </c>
      <c r="H13" s="190" t="s">
        <v>63</v>
      </c>
      <c r="I13" s="233">
        <f>'Данные Брус'!E137</f>
        <v>97.534944088106329</v>
      </c>
      <c r="J13" s="84">
        <f>'Данные Брус'!F137</f>
        <v>26000</v>
      </c>
      <c r="K13" s="85">
        <f t="shared" ref="K13:K20" si="0">I13*J13</f>
        <v>2535908.5462907646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Брус'!H246</f>
        <v>3121.8</v>
      </c>
      <c r="E14" s="163">
        <f>'Данные Брус'!E109</f>
        <v>5</v>
      </c>
      <c r="F14" s="42">
        <f>D14*E14</f>
        <v>15609</v>
      </c>
      <c r="G14" s="161" t="s">
        <v>147</v>
      </c>
      <c r="H14" s="190" t="s">
        <v>148</v>
      </c>
      <c r="I14" s="453">
        <f>D14</f>
        <v>3121.8</v>
      </c>
      <c r="J14" s="84">
        <f>'Данные Брус'!G136</f>
        <v>12</v>
      </c>
      <c r="K14" s="85">
        <f t="shared" si="0"/>
        <v>37461.600000000006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Брус'!E215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Брус'!O246</f>
        <v>570.49669646169173</v>
      </c>
      <c r="J16" s="88">
        <f>'Данные Брус'!E89</f>
        <v>21</v>
      </c>
      <c r="K16" s="160">
        <f t="shared" si="0"/>
        <v>11980.430625695526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Брус'!M246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Брус'!N246</f>
        <v>6.2456018771037058</v>
      </c>
      <c r="J18" s="88">
        <f>'Данные Брус'!E93</f>
        <v>380</v>
      </c>
      <c r="K18" s="160">
        <f t="shared" si="0"/>
        <v>2373.3287132994083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505601.2292613092</v>
      </c>
      <c r="G23" s="93"/>
      <c r="H23" s="94"/>
      <c r="I23" s="1238" t="s">
        <v>158</v>
      </c>
      <c r="J23" s="1238"/>
      <c r="K23" s="140">
        <f>SUM(K13:K22)</f>
        <v>2638720.5722964262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202</v>
      </c>
      <c r="H32" s="190" t="s">
        <v>63</v>
      </c>
      <c r="I32" s="83">
        <f>'Балки - КС и ПБКЛ'!I37</f>
        <v>0.6</v>
      </c>
      <c r="J32" s="84">
        <f>'Балки - КС и ПБКЛ'!J37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18487.215189873419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202</v>
      </c>
      <c r="H38" s="190" t="s">
        <v>63</v>
      </c>
      <c r="I38" s="83">
        <f>'Балки - КС и ПБКЛ'!I43</f>
        <v>0.48</v>
      </c>
      <c r="J38" s="84">
        <f>'Балки - КС и ПБКЛ'!J43</f>
        <v>24000</v>
      </c>
      <c r="K38" s="85">
        <f>I38*J38</f>
        <v>11520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15879.696202531646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202</v>
      </c>
      <c r="H44" s="190" t="s">
        <v>63</v>
      </c>
      <c r="I44" s="83">
        <f>'Балки - КС и ПБКЛ'!I49</f>
        <v>2.88</v>
      </c>
      <c r="J44" s="84">
        <f>'Балки - КС и ПБКЛ'!J49</f>
        <v>24000</v>
      </c>
      <c r="K44" s="85">
        <f>I44*J44</f>
        <v>69120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82199.088607594938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100.81177918559517</v>
      </c>
      <c r="E51" s="132">
        <f>'Данные Брус'!E113</f>
        <v>500</v>
      </c>
      <c r="F51" s="130">
        <f>D51*E51</f>
        <v>50405.889592797583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Брус'!E286</f>
        <v>1</v>
      </c>
      <c r="J54" s="130">
        <f>'Данные Брус'!G286</f>
        <v>70000</v>
      </c>
      <c r="K54" s="130">
        <f t="shared" si="5"/>
        <v>70000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Брус'!D286</f>
        <v>2</v>
      </c>
      <c r="J55" s="139">
        <f>'Данные Брус'!F286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53605.889592797583</v>
      </c>
      <c r="G56" s="125"/>
      <c r="H56" s="126"/>
      <c r="I56" s="1244" t="s">
        <v>169</v>
      </c>
      <c r="J56" s="1245"/>
      <c r="K56" s="138">
        <f>SUM(K51:K55)</f>
        <v>252000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606607.11885410675</v>
      </c>
    </row>
    <row r="60" spans="1:11">
      <c r="C60" s="1195" t="s">
        <v>171</v>
      </c>
      <c r="D60" s="1195"/>
      <c r="E60" s="1195"/>
      <c r="F60" s="1195"/>
      <c r="G60" s="141">
        <f>G59*0.03</f>
        <v>18198.213565623202</v>
      </c>
    </row>
    <row r="61" spans="1:11">
      <c r="C61" s="1195" t="s">
        <v>172</v>
      </c>
      <c r="D61" s="1195"/>
      <c r="E61" s="1195"/>
      <c r="F61" s="1195"/>
      <c r="G61" s="141">
        <f>G59*0.16</f>
        <v>97057.139016657078</v>
      </c>
    </row>
    <row r="62" spans="1:11">
      <c r="C62" s="1195" t="s">
        <v>20</v>
      </c>
      <c r="D62" s="1195"/>
      <c r="E62" s="1195"/>
      <c r="F62" s="1195"/>
      <c r="G62" s="141">
        <f>G59+G60+G61</f>
        <v>721862.47143638693</v>
      </c>
    </row>
    <row r="63" spans="1:11">
      <c r="C63" s="1195" t="s">
        <v>173</v>
      </c>
      <c r="D63" s="1195"/>
      <c r="E63" s="1195"/>
      <c r="F63" s="1195"/>
      <c r="G63" s="141">
        <f>K23+K29+K36</f>
        <v>2681182.5216635144</v>
      </c>
    </row>
    <row r="64" spans="1:11">
      <c r="C64" s="1195" t="s">
        <v>174</v>
      </c>
      <c r="D64" s="1195"/>
      <c r="E64" s="1195"/>
      <c r="F64" s="1195"/>
      <c r="G64" s="141">
        <f>K56</f>
        <v>252000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2933182.5216635144</v>
      </c>
    </row>
    <row r="66" spans="1:11 16384:16384">
      <c r="C66" s="1246" t="s">
        <v>175</v>
      </c>
      <c r="D66" s="1246"/>
      <c r="E66" s="1246"/>
      <c r="F66" s="1246"/>
      <c r="G66" s="142">
        <f>G62+G65</f>
        <v>3655044.9930999014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18198.213565623202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3673243.2066655247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B10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  <pageSetup paperSize="9" orientation="portrait" horizontalDpi="0" verticalDpi="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342-CA54-4744-88F9-4FF663CB6314}">
  <sheetPr codeName="Sheet18"/>
  <dimension ref="A1:XFD87"/>
  <sheetViews>
    <sheetView workbookViewId="0">
      <selection activeCell="B13" sqref="B13:B2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Брус'!D132</f>
        <v>67.78</v>
      </c>
      <c r="E13" s="41">
        <f>'Данные Брус'!E107</f>
        <v>6000</v>
      </c>
      <c r="F13" s="42">
        <f>D13*E13</f>
        <v>406680</v>
      </c>
      <c r="G13" s="161" t="s">
        <v>560</v>
      </c>
      <c r="H13" s="190" t="s">
        <v>63</v>
      </c>
      <c r="I13" s="233">
        <f>'Данные Брус'!E132</f>
        <v>70.45</v>
      </c>
      <c r="J13" s="84">
        <f>'Данные Брус'!F132</f>
        <v>19000</v>
      </c>
      <c r="K13" s="85">
        <f t="shared" ref="K13:K20" si="0">I13*J13</f>
        <v>1338550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Брус'!H241</f>
        <v>4224</v>
      </c>
      <c r="E14" s="163">
        <f>'Данные Брус'!E109</f>
        <v>5</v>
      </c>
      <c r="F14" s="42">
        <f>D14*E14</f>
        <v>21120</v>
      </c>
      <c r="G14" s="161" t="s">
        <v>147</v>
      </c>
      <c r="H14" s="190" t="s">
        <v>148</v>
      </c>
      <c r="I14" s="453">
        <f>D14</f>
        <v>4224</v>
      </c>
      <c r="J14" s="84">
        <f>'Данные Брус'!G136</f>
        <v>12</v>
      </c>
      <c r="K14" s="85">
        <f t="shared" si="0"/>
        <v>50688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Брус'!E210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Брус'!O241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Брус'!M241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Брус'!N241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448600</v>
      </c>
      <c r="G23" s="93"/>
      <c r="H23" s="94"/>
      <c r="I23" s="1238" t="s">
        <v>158</v>
      </c>
      <c r="J23" s="1238"/>
      <c r="K23" s="140">
        <f>SUM(K13:K22)</f>
        <v>1459597.7421404326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550</v>
      </c>
      <c r="H32" s="190" t="s">
        <v>63</v>
      </c>
      <c r="I32" s="83">
        <f>'Балки - КС и ПБКЛ'!I37</f>
        <v>0.6</v>
      </c>
      <c r="J32" s="84">
        <f>'Балки - ест. влахность'!J36</f>
        <v>17000</v>
      </c>
      <c r="K32" s="85">
        <f>I32*J32</f>
        <v>10200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14287.215189873417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550</v>
      </c>
      <c r="H38" s="190" t="s">
        <v>63</v>
      </c>
      <c r="I38" s="83">
        <f>'Балки - КС и ПБКЛ'!I43</f>
        <v>0.48</v>
      </c>
      <c r="J38" s="84">
        <f>'Балки - ест. влахность'!J42</f>
        <v>17000</v>
      </c>
      <c r="K38" s="85">
        <f>I38*J38</f>
        <v>8160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12519.696202531646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550</v>
      </c>
      <c r="H44" s="190" t="s">
        <v>63</v>
      </c>
      <c r="I44" s="83">
        <f>'Балки - КС и ПБКЛ'!I49</f>
        <v>2.88</v>
      </c>
      <c r="J44" s="84">
        <f>'Балки - ест. влахность'!J48</f>
        <v>17000</v>
      </c>
      <c r="K44" s="85">
        <f>I44*J44</f>
        <v>48960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62039.088607594938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74.75333333333333</v>
      </c>
      <c r="E51" s="132">
        <f>'Данные Брус'!E113</f>
        <v>500</v>
      </c>
      <c r="F51" s="130">
        <f>D51*E51</f>
        <v>37376.666666666664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Брус'!E281</f>
        <v>1</v>
      </c>
      <c r="J54" s="130">
        <f>'Данные Брус'!G281</f>
        <v>70000</v>
      </c>
      <c r="K54" s="130">
        <f t="shared" si="5"/>
        <v>70000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Брус'!D281</f>
        <v>2</v>
      </c>
      <c r="J55" s="139">
        <f>'Данные Брус'!F281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40576.666666666664</v>
      </c>
      <c r="G56" s="125"/>
      <c r="H56" s="126"/>
      <c r="I56" s="1244" t="s">
        <v>169</v>
      </c>
      <c r="J56" s="1245"/>
      <c r="K56" s="138">
        <f>SUM(K51:K55)</f>
        <v>252000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536576.66666666663</v>
      </c>
    </row>
    <row r="60" spans="1:11">
      <c r="C60" s="1195" t="s">
        <v>171</v>
      </c>
      <c r="D60" s="1195"/>
      <c r="E60" s="1195"/>
      <c r="F60" s="1195"/>
      <c r="G60" s="141">
        <f>G59*0.03</f>
        <v>16097.299999999997</v>
      </c>
    </row>
    <row r="61" spans="1:11">
      <c r="C61" s="1195" t="s">
        <v>172</v>
      </c>
      <c r="D61" s="1195"/>
      <c r="E61" s="1195"/>
      <c r="F61" s="1195"/>
      <c r="G61" s="141">
        <f>G59*0.16</f>
        <v>85852.266666666663</v>
      </c>
    </row>
    <row r="62" spans="1:11">
      <c r="C62" s="1195" t="s">
        <v>20</v>
      </c>
      <c r="D62" s="1195"/>
      <c r="E62" s="1195"/>
      <c r="F62" s="1195"/>
      <c r="G62" s="141">
        <f>G59+G60+G61</f>
        <v>638526.2333333334</v>
      </c>
    </row>
    <row r="63" spans="1:11">
      <c r="C63" s="1195" t="s">
        <v>173</v>
      </c>
      <c r="D63" s="1195"/>
      <c r="E63" s="1195"/>
      <c r="F63" s="1195"/>
      <c r="G63" s="141">
        <f>K23+K29+K36</f>
        <v>1491979.6915075213</v>
      </c>
    </row>
    <row r="64" spans="1:11">
      <c r="C64" s="1195" t="s">
        <v>174</v>
      </c>
      <c r="D64" s="1195"/>
      <c r="E64" s="1195"/>
      <c r="F64" s="1195"/>
      <c r="G64" s="141">
        <f>K56</f>
        <v>252000</v>
      </c>
    </row>
    <row r="65" spans="1:11 16384:16384">
      <c r="C65" s="1195" t="s">
        <v>20</v>
      </c>
      <c r="D65" s="1195"/>
      <c r="E65" s="1195"/>
      <c r="F65" s="1195"/>
      <c r="G65" s="141">
        <f>G63+G64</f>
        <v>1743979.6915075213</v>
      </c>
    </row>
    <row r="66" spans="1:11 16384:16384">
      <c r="C66" s="1246" t="s">
        <v>175</v>
      </c>
      <c r="D66" s="1246"/>
      <c r="E66" s="1246"/>
      <c r="F66" s="1246"/>
      <c r="G66" s="142">
        <f>G62+G65</f>
        <v>2382505.9248408545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16097.299999999997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2398603.2248408543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3A28-17A4-4133-BF14-EF690EC941DE}">
  <sheetPr codeName="Sheet19"/>
  <dimension ref="A1:XFD87"/>
  <sheetViews>
    <sheetView topLeftCell="B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Брус'!D133</f>
        <v>91.987142857142842</v>
      </c>
      <c r="E13" s="41">
        <f>'Данные Брус'!E107</f>
        <v>6000</v>
      </c>
      <c r="F13" s="42">
        <f>D13*E13</f>
        <v>551922.85714285704</v>
      </c>
      <c r="G13" s="161" t="s">
        <v>563</v>
      </c>
      <c r="H13" s="190" t="s">
        <v>63</v>
      </c>
      <c r="I13" s="233">
        <f>'Данные Брус'!E133</f>
        <v>95.61071428571428</v>
      </c>
      <c r="J13" s="84">
        <f>'Данные Брус'!F132</f>
        <v>19000</v>
      </c>
      <c r="K13" s="85">
        <f t="shared" ref="K13:K20" si="0">I13*J13</f>
        <v>1816603.5714285714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Брус'!H242</f>
        <v>4222.9000000000005</v>
      </c>
      <c r="E14" s="163">
        <f>'Данные Брус'!E109</f>
        <v>5</v>
      </c>
      <c r="F14" s="42">
        <f>D14*E14</f>
        <v>21114.500000000004</v>
      </c>
      <c r="G14" s="161" t="s">
        <v>147</v>
      </c>
      <c r="H14" s="190" t="s">
        <v>148</v>
      </c>
      <c r="I14" s="453">
        <f>D14</f>
        <v>4222.9000000000005</v>
      </c>
      <c r="J14" s="84">
        <f>'Данные Брус'!G136</f>
        <v>12</v>
      </c>
      <c r="K14" s="85">
        <f t="shared" si="0"/>
        <v>50674.8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Брус'!E211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Брус'!O242</f>
        <v>563.32351366071418</v>
      </c>
      <c r="J16" s="88">
        <f>'Данные Брус'!E89</f>
        <v>21</v>
      </c>
      <c r="K16" s="160">
        <f t="shared" si="0"/>
        <v>11829.793786874998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Брус'!N242</f>
        <v>8.4511732007233267</v>
      </c>
      <c r="J18" s="88">
        <f>'Данные Брус'!E93</f>
        <v>380</v>
      </c>
      <c r="K18" s="160">
        <f t="shared" si="0"/>
        <v>3211.4458162748642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593837.35714285704</v>
      </c>
      <c r="G23" s="93"/>
      <c r="H23" s="94"/>
      <c r="I23" s="1238" t="s">
        <v>158</v>
      </c>
      <c r="J23" s="1238"/>
      <c r="K23" s="140">
        <f>SUM(K13:K22)</f>
        <v>1937635.2776983881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550</v>
      </c>
      <c r="H32" s="190" t="s">
        <v>63</v>
      </c>
      <c r="I32" s="83">
        <f>'Балки - КС и ПБКЛ'!I37</f>
        <v>0.6</v>
      </c>
      <c r="J32" s="84">
        <f>'Балки - ест. влахность'!J36</f>
        <v>17000</v>
      </c>
      <c r="K32" s="85">
        <f>I32*J32</f>
        <v>10200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14287.215189873417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550</v>
      </c>
      <c r="H38" s="190" t="s">
        <v>63</v>
      </c>
      <c r="I38" s="83">
        <f>'Балки - КС и ПБКЛ'!I43</f>
        <v>0.48</v>
      </c>
      <c r="J38" s="84">
        <f>'Балки - ест. влахность'!J42</f>
        <v>17000</v>
      </c>
      <c r="K38" s="85">
        <f>I38*J38</f>
        <v>8160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12519.696202531646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550</v>
      </c>
      <c r="H44" s="190" t="s">
        <v>63</v>
      </c>
      <c r="I44" s="83">
        <f>'Балки - КС и ПБКЛ'!I49</f>
        <v>2.88</v>
      </c>
      <c r="J44" s="84">
        <f>'Балки - ест. влахность'!J48</f>
        <v>17000</v>
      </c>
      <c r="K44" s="85">
        <f>I44*J44</f>
        <v>48960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62039.088607594938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98.960476190476172</v>
      </c>
      <c r="E51" s="132">
        <f>'Данные Брус'!E113</f>
        <v>500</v>
      </c>
      <c r="F51" s="130">
        <f>D51*E51</f>
        <v>49480.238095238084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Брус'!E282</f>
        <v>0</v>
      </c>
      <c r="J54" s="130">
        <f>'Данные Брус'!G282</f>
        <v>70000</v>
      </c>
      <c r="K54" s="130">
        <f t="shared" si="5"/>
        <v>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Брус'!D282</f>
        <v>3</v>
      </c>
      <c r="J55" s="139">
        <f>'Данные Брус'!F282</f>
        <v>80000</v>
      </c>
      <c r="K55" s="130">
        <f t="shared" si="5"/>
        <v>240000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52680.238095238084</v>
      </c>
      <c r="G56" s="125"/>
      <c r="H56" s="126"/>
      <c r="I56" s="1244" t="s">
        <v>169</v>
      </c>
      <c r="J56" s="1245"/>
      <c r="K56" s="138">
        <f>SUM(K51:K55)</f>
        <v>262000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693917.59523809515</v>
      </c>
    </row>
    <row r="60" spans="1:11">
      <c r="C60" s="1195" t="s">
        <v>171</v>
      </c>
      <c r="D60" s="1195"/>
      <c r="E60" s="1195"/>
      <c r="F60" s="1195"/>
      <c r="G60" s="141">
        <f>G59*0.03</f>
        <v>20817.527857142853</v>
      </c>
    </row>
    <row r="61" spans="1:11">
      <c r="C61" s="1195" t="s">
        <v>172</v>
      </c>
      <c r="D61" s="1195"/>
      <c r="E61" s="1195"/>
      <c r="F61" s="1195"/>
      <c r="G61" s="141">
        <f>G59*0.16</f>
        <v>111026.81523809522</v>
      </c>
    </row>
    <row r="62" spans="1:11">
      <c r="C62" s="1195" t="s">
        <v>20</v>
      </c>
      <c r="D62" s="1195"/>
      <c r="E62" s="1195"/>
      <c r="F62" s="1195"/>
      <c r="G62" s="141">
        <f>G59+G60+G61</f>
        <v>825761.93833333324</v>
      </c>
    </row>
    <row r="63" spans="1:11">
      <c r="C63" s="1195" t="s">
        <v>173</v>
      </c>
      <c r="D63" s="1195"/>
      <c r="E63" s="1195"/>
      <c r="F63" s="1195"/>
      <c r="G63" s="141">
        <f>K23+K29+K36</f>
        <v>1970017.2270654768</v>
      </c>
    </row>
    <row r="64" spans="1:11">
      <c r="C64" s="1195" t="s">
        <v>174</v>
      </c>
      <c r="D64" s="1195"/>
      <c r="E64" s="1195"/>
      <c r="F64" s="1195"/>
      <c r="G64" s="141">
        <f>K56</f>
        <v>262000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2232017.2270654766</v>
      </c>
    </row>
    <row r="66" spans="1:11 16384:16384">
      <c r="C66" s="1246" t="s">
        <v>175</v>
      </c>
      <c r="D66" s="1246"/>
      <c r="E66" s="1246"/>
      <c r="F66" s="1246"/>
      <c r="G66" s="142">
        <f>G62+G65</f>
        <v>3057779.1653988101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20817.527857142853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3078596.693255953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B7">
      <selection activeCell="I11" sqref="I11"/>
      <pageMargins left="0.7" right="0.7" top="0.75" bottom="0.75" header="0.3" footer="0.3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FBF1-B907-44D4-B655-8DC4A580B6F2}">
  <sheetPr codeName="Sheet20"/>
  <dimension ref="A1:XFD87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Брус'!D134</f>
        <v>91.435495823516817</v>
      </c>
      <c r="E13" s="41">
        <f>'Данные Брус'!E107</f>
        <v>6000</v>
      </c>
      <c r="F13" s="42">
        <f>D13*E13</f>
        <v>548612.97494110093</v>
      </c>
      <c r="G13" s="161" t="s">
        <v>564</v>
      </c>
      <c r="H13" s="190" t="s">
        <v>63</v>
      </c>
      <c r="I13" s="233">
        <f>'Данные Брус'!E134</f>
        <v>95.037336688798462</v>
      </c>
      <c r="J13" s="84">
        <f>'Данные Брус'!F132</f>
        <v>19000</v>
      </c>
      <c r="K13" s="85">
        <f t="shared" ref="K13:K20" si="0">I13*J13</f>
        <v>1805709.3970871707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Брус'!H243</f>
        <v>3122.9</v>
      </c>
      <c r="E14" s="163">
        <f>'Данные Брус'!E109</f>
        <v>5</v>
      </c>
      <c r="F14" s="42">
        <f>D14*E14</f>
        <v>15614.5</v>
      </c>
      <c r="G14" s="161" t="s">
        <v>147</v>
      </c>
      <c r="H14" s="190" t="s">
        <v>148</v>
      </c>
      <c r="I14" s="453">
        <f>D14</f>
        <v>3122.9</v>
      </c>
      <c r="J14" s="84">
        <f>'Данные Брус'!G136</f>
        <v>12</v>
      </c>
      <c r="K14" s="85">
        <f t="shared" si="0"/>
        <v>37474.800000000003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Брус'!E212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Брус'!O243</f>
        <v>570.68893246399125</v>
      </c>
      <c r="J16" s="88">
        <f>'Данные Брус'!E89</f>
        <v>21</v>
      </c>
      <c r="K16" s="160">
        <f t="shared" si="0"/>
        <v>11984.467581743816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Брус'!M243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Брус'!N243</f>
        <v>6.2477064108271358</v>
      </c>
      <c r="J18" s="88">
        <f>'Данные Брус'!E93</f>
        <v>380</v>
      </c>
      <c r="K18" s="160">
        <f t="shared" si="0"/>
        <v>2374.1284361143116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585027.47494110093</v>
      </c>
      <c r="G23" s="93"/>
      <c r="H23" s="94"/>
      <c r="I23" s="1238" t="s">
        <v>158</v>
      </c>
      <c r="J23" s="1238"/>
      <c r="K23" s="140">
        <f>SUM(K13:K22)</f>
        <v>1908539.4597716958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550</v>
      </c>
      <c r="H32" s="190" t="s">
        <v>63</v>
      </c>
      <c r="I32" s="83">
        <f>'Балки - КС и ПБКЛ'!I37</f>
        <v>0.6</v>
      </c>
      <c r="J32" s="84">
        <f>'Балки - ест. влахность'!J36</f>
        <v>17000</v>
      </c>
      <c r="K32" s="85">
        <f>I32*J32</f>
        <v>10200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14287.215189873417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550</v>
      </c>
      <c r="H38" s="190" t="s">
        <v>63</v>
      </c>
      <c r="I38" s="83">
        <f>'Балки - КС и ПБКЛ'!I43</f>
        <v>0.48</v>
      </c>
      <c r="J38" s="84">
        <f>'Балки - ест. влахность'!J42</f>
        <v>17000</v>
      </c>
      <c r="K38" s="85">
        <f>I38*J38</f>
        <v>8160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12519.696202531646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550</v>
      </c>
      <c r="H44" s="190" t="s">
        <v>63</v>
      </c>
      <c r="I44" s="83">
        <f>'Балки - КС и ПБКЛ'!I49</f>
        <v>2.88</v>
      </c>
      <c r="J44" s="84">
        <f>'Балки - ест. влахность'!J48</f>
        <v>17000</v>
      </c>
      <c r="K44" s="85">
        <f>I44*J44</f>
        <v>48960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62039.088607594938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98.408829156850146</v>
      </c>
      <c r="E51" s="132">
        <f>'Данные Брус'!E113</f>
        <v>500</v>
      </c>
      <c r="F51" s="130">
        <f>D51*E51</f>
        <v>49204.414578425072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Брус'!E283</f>
        <v>0</v>
      </c>
      <c r="J54" s="130">
        <f>'Данные Брус'!G283</f>
        <v>70000</v>
      </c>
      <c r="K54" s="130">
        <f t="shared" si="5"/>
        <v>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Брус'!D283</f>
        <v>3</v>
      </c>
      <c r="J55" s="139">
        <f>'Данные Брус'!F283</f>
        <v>80000</v>
      </c>
      <c r="K55" s="130">
        <f t="shared" si="5"/>
        <v>240000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52404.414578425072</v>
      </c>
      <c r="G56" s="125"/>
      <c r="H56" s="126"/>
      <c r="I56" s="1244" t="s">
        <v>169</v>
      </c>
      <c r="J56" s="1245"/>
      <c r="K56" s="138">
        <f>SUM(K51:K55)</f>
        <v>262000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684831.88951952604</v>
      </c>
    </row>
    <row r="60" spans="1:11">
      <c r="C60" s="1195" t="s">
        <v>171</v>
      </c>
      <c r="D60" s="1195"/>
      <c r="E60" s="1195"/>
      <c r="F60" s="1195"/>
      <c r="G60" s="141">
        <f>G59*0.03</f>
        <v>20544.956685585781</v>
      </c>
    </row>
    <row r="61" spans="1:11">
      <c r="C61" s="1195" t="s">
        <v>172</v>
      </c>
      <c r="D61" s="1195"/>
      <c r="E61" s="1195"/>
      <c r="F61" s="1195"/>
      <c r="G61" s="141">
        <f>G59*0.16</f>
        <v>109573.10232312417</v>
      </c>
    </row>
    <row r="62" spans="1:11">
      <c r="C62" s="1195" t="s">
        <v>20</v>
      </c>
      <c r="D62" s="1195"/>
      <c r="E62" s="1195"/>
      <c r="F62" s="1195"/>
      <c r="G62" s="141">
        <f>G59+G60+G61</f>
        <v>814949.94852823601</v>
      </c>
    </row>
    <row r="63" spans="1:11">
      <c r="C63" s="1195" t="s">
        <v>173</v>
      </c>
      <c r="D63" s="1195"/>
      <c r="E63" s="1195"/>
      <c r="F63" s="1195"/>
      <c r="G63" s="141">
        <f>K23+K29+K36</f>
        <v>1940921.4091387845</v>
      </c>
    </row>
    <row r="64" spans="1:11">
      <c r="C64" s="1195" t="s">
        <v>174</v>
      </c>
      <c r="D64" s="1195"/>
      <c r="E64" s="1195"/>
      <c r="F64" s="1195"/>
      <c r="G64" s="141">
        <f>K56</f>
        <v>262000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2202921.4091387847</v>
      </c>
    </row>
    <row r="66" spans="1:11 16384:16384">
      <c r="C66" s="1246" t="s">
        <v>175</v>
      </c>
      <c r="D66" s="1246"/>
      <c r="E66" s="1246"/>
      <c r="F66" s="1246"/>
      <c r="G66" s="142">
        <f>G62+G65</f>
        <v>3017871.3576670205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20544.956685585781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3038416.3143526064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1552-4DF5-4AAC-9B9F-D08C2A4FBF55}">
  <sheetPr codeName="Sheet21"/>
  <dimension ref="A1:XFD85"/>
  <sheetViews>
    <sheetView topLeftCell="A40" zoomScaleNormal="10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Брус'!D123</f>
        <v>67.78</v>
      </c>
      <c r="E13" s="41">
        <f>'Данные Брус'!E107</f>
        <v>6000</v>
      </c>
      <c r="F13" s="42">
        <f>D13*E13</f>
        <v>406680</v>
      </c>
      <c r="G13" s="161" t="s">
        <v>566</v>
      </c>
      <c r="H13" s="190" t="s">
        <v>63</v>
      </c>
      <c r="I13" s="233">
        <f>'Данные Брус'!E123</f>
        <v>70.45</v>
      </c>
      <c r="J13" s="84">
        <f>'Данные Брус'!F123</f>
        <v>27000</v>
      </c>
      <c r="K13" s="85">
        <f t="shared" ref="K13:K20" si="0">I13*J13</f>
        <v>1902150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Брус'!H232</f>
        <v>4646.4000000000005</v>
      </c>
      <c r="E14" s="163">
        <f>'Данные Брус'!E109</f>
        <v>5</v>
      </c>
      <c r="F14" s="42">
        <f>D14*E14</f>
        <v>23232.000000000004</v>
      </c>
      <c r="G14" s="161" t="s">
        <v>147</v>
      </c>
      <c r="H14" s="190" t="s">
        <v>148</v>
      </c>
      <c r="I14" s="453">
        <f>D14</f>
        <v>4646.4000000000005</v>
      </c>
      <c r="J14" s="84">
        <f>'Данные Брус'!G136</f>
        <v>12</v>
      </c>
      <c r="K14" s="85">
        <f t="shared" si="0"/>
        <v>55756.800000000003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Брус'!E202</f>
        <v>47</v>
      </c>
      <c r="J15" s="203">
        <f>'Данные Брус'!E88</f>
        <v>60</v>
      </c>
      <c r="K15" s="85">
        <f t="shared" si="0"/>
        <v>2820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Брус'!O232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Брус'!N232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450712</v>
      </c>
      <c r="G23" s="93"/>
      <c r="H23" s="94"/>
      <c r="I23" s="1238" t="s">
        <v>158</v>
      </c>
      <c r="J23" s="1238"/>
      <c r="K23" s="140">
        <f>SUM(K13:K22)</f>
        <v>2028506.5421404326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74.75333333333333</v>
      </c>
      <c r="E49" s="132">
        <f>'Данные Брус'!E113</f>
        <v>500</v>
      </c>
      <c r="F49" s="130">
        <f>D49*E49</f>
        <v>37376.666666666664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Брус'!E272</f>
        <v>0</v>
      </c>
      <c r="J52" s="130">
        <f>'Данные Брус'!G272</f>
        <v>130000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Брус'!D272</f>
        <v>3</v>
      </c>
      <c r="J53" s="139">
        <f>'Данные Брус'!F272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40576.666666666664</v>
      </c>
      <c r="G54" s="125"/>
      <c r="H54" s="126"/>
      <c r="I54" s="1244" t="s">
        <v>169</v>
      </c>
      <c r="J54" s="1245"/>
      <c r="K54" s="138">
        <f>SUM(K49:K53)</f>
        <v>472000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538688.66666666663</v>
      </c>
    </row>
    <row r="58" spans="1:11">
      <c r="C58" s="1195" t="s">
        <v>171</v>
      </c>
      <c r="D58" s="1195"/>
      <c r="E58" s="1195"/>
      <c r="F58" s="1195"/>
      <c r="G58" s="141">
        <f>G57*0.03</f>
        <v>16160.659999999998</v>
      </c>
    </row>
    <row r="59" spans="1:11">
      <c r="C59" s="1195" t="s">
        <v>172</v>
      </c>
      <c r="D59" s="1195"/>
      <c r="E59" s="1195"/>
      <c r="F59" s="1195"/>
      <c r="G59" s="141">
        <f>G57*0.16</f>
        <v>86190.186666666661</v>
      </c>
    </row>
    <row r="60" spans="1:11">
      <c r="C60" s="1195" t="s">
        <v>20</v>
      </c>
      <c r="D60" s="1195"/>
      <c r="E60" s="1195"/>
      <c r="F60" s="1195"/>
      <c r="G60" s="141">
        <f>G57+G58+G59</f>
        <v>641039.51333333331</v>
      </c>
    </row>
    <row r="61" spans="1:11">
      <c r="C61" s="1195" t="s">
        <v>173</v>
      </c>
      <c r="D61" s="1195"/>
      <c r="E61" s="1195"/>
      <c r="F61" s="1195"/>
      <c r="G61" s="141">
        <f>K23+K29+K35</f>
        <v>2060888.4915075214</v>
      </c>
    </row>
    <row r="62" spans="1:11">
      <c r="C62" s="1195" t="s">
        <v>174</v>
      </c>
      <c r="D62" s="1195"/>
      <c r="E62" s="1195"/>
      <c r="F62" s="1195"/>
      <c r="G62" s="141">
        <f>K54</f>
        <v>472000</v>
      </c>
    </row>
    <row r="63" spans="1:11">
      <c r="C63" s="1195" t="s">
        <v>20</v>
      </c>
      <c r="D63" s="1195"/>
      <c r="E63" s="1195"/>
      <c r="F63" s="1195"/>
      <c r="G63" s="141">
        <f>G61+G62</f>
        <v>2532888.4915075214</v>
      </c>
    </row>
    <row r="64" spans="1:11">
      <c r="C64" s="1246" t="s">
        <v>175</v>
      </c>
      <c r="D64" s="1246"/>
      <c r="E64" s="1246"/>
      <c r="F64" s="1246"/>
      <c r="G64" s="142">
        <f>G60+G63</f>
        <v>3173928.0048408546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16160.659999999998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3190088.6648408547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</customSheetView>
  </customSheetViews>
  <mergeCells count="42">
    <mergeCell ref="C64:F64"/>
    <mergeCell ref="C65:F65"/>
    <mergeCell ref="C66:F66"/>
    <mergeCell ref="C63:F63"/>
    <mergeCell ref="A36:E36"/>
    <mergeCell ref="C61:F61"/>
    <mergeCell ref="C62:F62"/>
    <mergeCell ref="C57:F57"/>
    <mergeCell ref="C58:F58"/>
    <mergeCell ref="C59:F59"/>
    <mergeCell ref="C60:F60"/>
    <mergeCell ref="A42:E42"/>
    <mergeCell ref="D47:E47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7:J47"/>
    <mergeCell ref="A48:B48"/>
    <mergeCell ref="D54:E54"/>
    <mergeCell ref="I54:J54"/>
    <mergeCell ref="A8:G8"/>
    <mergeCell ref="D29:E29"/>
    <mergeCell ref="I29:J29"/>
    <mergeCell ref="A30:E30"/>
    <mergeCell ref="D35:E35"/>
    <mergeCell ref="I35:J35"/>
    <mergeCell ref="D41:E41"/>
    <mergeCell ref="I41:J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06A5-03AD-438A-B7D4-FDFED0113D69}">
  <sheetPr codeName="Sheet22"/>
  <dimension ref="A1:XFD85"/>
  <sheetViews>
    <sheetView topLeftCell="A49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Брус'!D123</f>
        <v>67.78</v>
      </c>
      <c r="E13" s="41">
        <f>'Данные Брус'!E107</f>
        <v>6000</v>
      </c>
      <c r="F13" s="42">
        <f>D13*E13</f>
        <v>406680</v>
      </c>
      <c r="G13" s="161" t="s">
        <v>567</v>
      </c>
      <c r="H13" s="190" t="s">
        <v>63</v>
      </c>
      <c r="I13" s="233">
        <f>'Данные Брус'!E123</f>
        <v>70.45</v>
      </c>
      <c r="J13" s="84">
        <f>'Данные Брус'!F123</f>
        <v>27000</v>
      </c>
      <c r="K13" s="85">
        <f t="shared" ref="K13:K20" si="0">I13*J13</f>
        <v>1902150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Брус'!H232</f>
        <v>4646.4000000000005</v>
      </c>
      <c r="E14" s="163">
        <f>'Данные Брус'!E109</f>
        <v>5</v>
      </c>
      <c r="F14" s="42">
        <f>D14*E14</f>
        <v>23232.000000000004</v>
      </c>
      <c r="G14" s="161" t="s">
        <v>147</v>
      </c>
      <c r="H14" s="190" t="s">
        <v>148</v>
      </c>
      <c r="I14" s="453">
        <f>D14</f>
        <v>4646.4000000000005</v>
      </c>
      <c r="J14" s="84">
        <f>'Данные Брус'!G136</f>
        <v>12</v>
      </c>
      <c r="K14" s="85">
        <f t="shared" si="0"/>
        <v>55756.800000000003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Брус'!E202</f>
        <v>47</v>
      </c>
      <c r="J15" s="203">
        <f>'Данные Брус'!E88</f>
        <v>60</v>
      </c>
      <c r="K15" s="85">
        <f t="shared" si="0"/>
        <v>2820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Брус'!O232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Брус'!N232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450712</v>
      </c>
      <c r="G23" s="93"/>
      <c r="H23" s="94"/>
      <c r="I23" s="1238" t="s">
        <v>158</v>
      </c>
      <c r="J23" s="1238"/>
      <c r="K23" s="140">
        <f>SUM(K13:K22)</f>
        <v>2028506.5421404326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74.75333333333333</v>
      </c>
      <c r="E49" s="132">
        <f>'Данные Брус'!E113</f>
        <v>500</v>
      </c>
      <c r="F49" s="130">
        <f>D49*E49</f>
        <v>37376.666666666664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Брус'!E273</f>
        <v>1</v>
      </c>
      <c r="J52" s="130">
        <f>'Данные Брус'!G273</f>
        <v>130000</v>
      </c>
      <c r="K52" s="130">
        <f t="shared" si="5"/>
        <v>130000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Брус'!D273</f>
        <v>3</v>
      </c>
      <c r="J53" s="139">
        <f>'Данные Брус'!F273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40576.666666666664</v>
      </c>
      <c r="G54" s="125"/>
      <c r="H54" s="126"/>
      <c r="I54" s="1244" t="s">
        <v>169</v>
      </c>
      <c r="J54" s="1245"/>
      <c r="K54" s="138">
        <f>SUM(K49:K53)</f>
        <v>602000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538688.66666666663</v>
      </c>
    </row>
    <row r="58" spans="1:11">
      <c r="C58" s="1195" t="s">
        <v>171</v>
      </c>
      <c r="D58" s="1195"/>
      <c r="E58" s="1195"/>
      <c r="F58" s="1195"/>
      <c r="G58" s="141">
        <f>G57*0.03</f>
        <v>16160.659999999998</v>
      </c>
    </row>
    <row r="59" spans="1:11">
      <c r="C59" s="1195" t="s">
        <v>172</v>
      </c>
      <c r="D59" s="1195"/>
      <c r="E59" s="1195"/>
      <c r="F59" s="1195"/>
      <c r="G59" s="141">
        <f>G57*0.16</f>
        <v>86190.186666666661</v>
      </c>
    </row>
    <row r="60" spans="1:11">
      <c r="C60" s="1195" t="s">
        <v>20</v>
      </c>
      <c r="D60" s="1195"/>
      <c r="E60" s="1195"/>
      <c r="F60" s="1195"/>
      <c r="G60" s="141">
        <f>G57+G58+G59</f>
        <v>641039.51333333331</v>
      </c>
    </row>
    <row r="61" spans="1:11">
      <c r="C61" s="1195" t="s">
        <v>173</v>
      </c>
      <c r="D61" s="1195"/>
      <c r="E61" s="1195"/>
      <c r="F61" s="1195"/>
      <c r="G61" s="141">
        <f>K23+K29+K35</f>
        <v>2060888.4915075214</v>
      </c>
    </row>
    <row r="62" spans="1:11">
      <c r="C62" s="1195" t="s">
        <v>174</v>
      </c>
      <c r="D62" s="1195"/>
      <c r="E62" s="1195"/>
      <c r="F62" s="1195"/>
      <c r="G62" s="141">
        <f>K54</f>
        <v>602000</v>
      </c>
    </row>
    <row r="63" spans="1:11">
      <c r="C63" s="1195" t="s">
        <v>20</v>
      </c>
      <c r="D63" s="1195"/>
      <c r="E63" s="1195"/>
      <c r="F63" s="1195"/>
      <c r="G63" s="141">
        <f>G61+G62</f>
        <v>2662888.4915075214</v>
      </c>
    </row>
    <row r="64" spans="1:11">
      <c r="C64" s="1246" t="s">
        <v>175</v>
      </c>
      <c r="D64" s="1246"/>
      <c r="E64" s="1246"/>
      <c r="F64" s="1246"/>
      <c r="G64" s="142">
        <f>G60+G63</f>
        <v>3303928.0048408546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16160.659999999998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3320088.6648408547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9">
      <selection activeCell="I11" sqref="I11"/>
      <pageMargins left="0.7" right="0.7" top="0.75" bottom="0.75" header="0.3" footer="0.3"/>
    </customSheetView>
  </customSheetViews>
  <mergeCells count="42">
    <mergeCell ref="C64:F64"/>
    <mergeCell ref="C65:F65"/>
    <mergeCell ref="C66:F66"/>
    <mergeCell ref="C63:F63"/>
    <mergeCell ref="A36:E36"/>
    <mergeCell ref="C61:F61"/>
    <mergeCell ref="C62:F62"/>
    <mergeCell ref="C57:F57"/>
    <mergeCell ref="C58:F58"/>
    <mergeCell ref="C59:F59"/>
    <mergeCell ref="C60:F60"/>
    <mergeCell ref="A42:E42"/>
    <mergeCell ref="D47:E47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7:J47"/>
    <mergeCell ref="A48:B48"/>
    <mergeCell ref="D54:E54"/>
    <mergeCell ref="I54:J54"/>
    <mergeCell ref="A8:G8"/>
    <mergeCell ref="D29:E29"/>
    <mergeCell ref="I29:J29"/>
    <mergeCell ref="A30:E30"/>
    <mergeCell ref="D35:E35"/>
    <mergeCell ref="I35:J35"/>
    <mergeCell ref="D41:E41"/>
    <mergeCell ref="I41:J4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1F45-CE34-4B3B-ACD5-21F6A94885ED}">
  <sheetPr codeName="Sheet23"/>
  <dimension ref="A1:XFD85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Брус'!D125</f>
        <v>91.435495823516817</v>
      </c>
      <c r="E13" s="41">
        <f>'Данные Брус'!E107</f>
        <v>6000</v>
      </c>
      <c r="F13" s="42">
        <f>D13*E13</f>
        <v>548612.97494110093</v>
      </c>
      <c r="G13" s="161" t="s">
        <v>565</v>
      </c>
      <c r="H13" s="190" t="s">
        <v>63</v>
      </c>
      <c r="I13" s="233">
        <f>'Данные Брус'!E125</f>
        <v>95.037336688798462</v>
      </c>
      <c r="J13" s="84">
        <f>'Данные Брус'!F123</f>
        <v>27000</v>
      </c>
      <c r="K13" s="85">
        <f t="shared" ref="K13:K20" si="0">I13*J13</f>
        <v>2566008.0905975583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Брус'!H234</f>
        <v>3122.9</v>
      </c>
      <c r="E14" s="163">
        <f>'Данные Брус'!E109</f>
        <v>5</v>
      </c>
      <c r="F14" s="42">
        <f>D14*E14</f>
        <v>15614.5</v>
      </c>
      <c r="G14" s="161" t="s">
        <v>147</v>
      </c>
      <c r="H14" s="190" t="s">
        <v>148</v>
      </c>
      <c r="I14" s="453">
        <f>D14</f>
        <v>3122.9</v>
      </c>
      <c r="J14" s="84">
        <f>'Данные Брус'!G136</f>
        <v>12</v>
      </c>
      <c r="K14" s="85">
        <f t="shared" si="0"/>
        <v>37474.800000000003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Брус'!E204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Брус'!O232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Брус'!M234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Брус'!N234</f>
        <v>6.2477064108271358</v>
      </c>
      <c r="J18" s="88">
        <f>'Данные Брус'!E93</f>
        <v>380</v>
      </c>
      <c r="K18" s="160">
        <f t="shared" si="0"/>
        <v>2374.1284361143116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585027.47494110093</v>
      </c>
      <c r="G23" s="93"/>
      <c r="H23" s="94"/>
      <c r="I23" s="1238" t="s">
        <v>158</v>
      </c>
      <c r="J23" s="1238"/>
      <c r="K23" s="140">
        <f>SUM(K13:K22)</f>
        <v>2668685.7098728386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98.408829156850146</v>
      </c>
      <c r="E49" s="132">
        <f>'Данные Брус'!E113</f>
        <v>500</v>
      </c>
      <c r="F49" s="130">
        <f>D49*E49</f>
        <v>49204.414578425072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Брус'!E274</f>
        <v>1</v>
      </c>
      <c r="J52" s="130">
        <f>'Данные Брус'!G274</f>
        <v>130000</v>
      </c>
      <c r="K52" s="130">
        <f t="shared" si="5"/>
        <v>130000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Брус'!D274</f>
        <v>3</v>
      </c>
      <c r="J53" s="139">
        <f>'Данные Брус'!F274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52404.414578425072</v>
      </c>
      <c r="G54" s="125"/>
      <c r="H54" s="126"/>
      <c r="I54" s="1244" t="s">
        <v>169</v>
      </c>
      <c r="J54" s="1245"/>
      <c r="K54" s="138">
        <f>SUM(K49:K53)</f>
        <v>602000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684831.88951952604</v>
      </c>
    </row>
    <row r="58" spans="1:11">
      <c r="C58" s="1195" t="s">
        <v>171</v>
      </c>
      <c r="D58" s="1195"/>
      <c r="E58" s="1195"/>
      <c r="F58" s="1195"/>
      <c r="G58" s="141">
        <f>G57*0.03</f>
        <v>20544.956685585781</v>
      </c>
    </row>
    <row r="59" spans="1:11">
      <c r="C59" s="1195" t="s">
        <v>172</v>
      </c>
      <c r="D59" s="1195"/>
      <c r="E59" s="1195"/>
      <c r="F59" s="1195"/>
      <c r="G59" s="141">
        <f>G57*0.16</f>
        <v>109573.10232312417</v>
      </c>
    </row>
    <row r="60" spans="1:11">
      <c r="C60" s="1195" t="s">
        <v>20</v>
      </c>
      <c r="D60" s="1195"/>
      <c r="E60" s="1195"/>
      <c r="F60" s="1195"/>
      <c r="G60" s="141">
        <f>G57+G58+G59</f>
        <v>814949.94852823601</v>
      </c>
    </row>
    <row r="61" spans="1:11">
      <c r="C61" s="1195" t="s">
        <v>173</v>
      </c>
      <c r="D61" s="1195"/>
      <c r="E61" s="1195"/>
      <c r="F61" s="1195"/>
      <c r="G61" s="141">
        <f>K23+K29+K35</f>
        <v>2701067.6592399268</v>
      </c>
    </row>
    <row r="62" spans="1:11">
      <c r="C62" s="1195" t="s">
        <v>174</v>
      </c>
      <c r="D62" s="1195"/>
      <c r="E62" s="1195"/>
      <c r="F62" s="1195"/>
      <c r="G62" s="141">
        <f>K54</f>
        <v>602000</v>
      </c>
    </row>
    <row r="63" spans="1:11">
      <c r="C63" s="1195" t="s">
        <v>20</v>
      </c>
      <c r="D63" s="1195"/>
      <c r="E63" s="1195"/>
      <c r="F63" s="1195"/>
      <c r="G63" s="141">
        <f>G61+G62</f>
        <v>3303067.6592399268</v>
      </c>
    </row>
    <row r="64" spans="1:11">
      <c r="C64" s="1246" t="s">
        <v>175</v>
      </c>
      <c r="D64" s="1246"/>
      <c r="E64" s="1246"/>
      <c r="F64" s="1246"/>
      <c r="G64" s="142">
        <f>G60+G63</f>
        <v>4118017.6077681631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20544.956685585781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4138562.564453749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3426-8F31-4E1A-B234-5FFFAB769E4D}">
  <sheetPr codeName="Sheet24"/>
  <dimension ref="A1:XFD85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Брус'!D126</f>
        <v>67.78</v>
      </c>
      <c r="E13" s="41">
        <f>'Данные Брус'!E107</f>
        <v>6000</v>
      </c>
      <c r="F13" s="42">
        <f>D13*E13</f>
        <v>406680</v>
      </c>
      <c r="G13" s="161" t="s">
        <v>569</v>
      </c>
      <c r="H13" s="190" t="s">
        <v>63</v>
      </c>
      <c r="I13" s="233">
        <f>'Данные Брус'!E126</f>
        <v>70.45</v>
      </c>
      <c r="J13" s="84">
        <f>'Данные Брус'!F126</f>
        <v>27500</v>
      </c>
      <c r="K13" s="85">
        <f t="shared" ref="K13:K20" si="0">I13*J13</f>
        <v>1937375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Брус'!H235</f>
        <v>4224</v>
      </c>
      <c r="E14" s="163">
        <f>'Данные Брус'!E109</f>
        <v>5</v>
      </c>
      <c r="F14" s="42">
        <f>D14*E14</f>
        <v>21120</v>
      </c>
      <c r="G14" s="161" t="s">
        <v>147</v>
      </c>
      <c r="H14" s="190" t="s">
        <v>148</v>
      </c>
      <c r="I14" s="453">
        <f>D14</f>
        <v>4224</v>
      </c>
      <c r="J14" s="84">
        <f>'Данные Брус'!G136</f>
        <v>12</v>
      </c>
      <c r="K14" s="85">
        <f t="shared" si="0"/>
        <v>50688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Брус'!E205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Брус'!O235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Брус'!M235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Брус'!N235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448600</v>
      </c>
      <c r="G23" s="93"/>
      <c r="H23" s="94"/>
      <c r="I23" s="1238" t="s">
        <v>158</v>
      </c>
      <c r="J23" s="1238"/>
      <c r="K23" s="140">
        <f>SUM(K13:K22)</f>
        <v>2058422.7421404326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74.75333333333333</v>
      </c>
      <c r="E49" s="132">
        <f>'Данные Брус'!E113</f>
        <v>500</v>
      </c>
      <c r="F49" s="130">
        <f>D49*E49</f>
        <v>37376.666666666664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Брус'!E275</f>
        <v>1</v>
      </c>
      <c r="J52" s="130">
        <f>'Данные Брус'!G275</f>
        <v>130000</v>
      </c>
      <c r="K52" s="130">
        <f t="shared" si="5"/>
        <v>130000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Брус'!D275</f>
        <v>2</v>
      </c>
      <c r="J53" s="139">
        <f>'Данные Брус'!F275</f>
        <v>150000</v>
      </c>
      <c r="K53" s="130">
        <f t="shared" si="5"/>
        <v>300000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40576.666666666664</v>
      </c>
      <c r="G54" s="125"/>
      <c r="H54" s="126"/>
      <c r="I54" s="1244" t="s">
        <v>169</v>
      </c>
      <c r="J54" s="1245"/>
      <c r="K54" s="138">
        <f>SUM(K49:K53)</f>
        <v>452000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536576.66666666663</v>
      </c>
    </row>
    <row r="58" spans="1:11">
      <c r="C58" s="1195" t="s">
        <v>171</v>
      </c>
      <c r="D58" s="1195"/>
      <c r="E58" s="1195"/>
      <c r="F58" s="1195"/>
      <c r="G58" s="141">
        <f>G57*0.03</f>
        <v>16097.299999999997</v>
      </c>
    </row>
    <row r="59" spans="1:11">
      <c r="C59" s="1195" t="s">
        <v>172</v>
      </c>
      <c r="D59" s="1195"/>
      <c r="E59" s="1195"/>
      <c r="F59" s="1195"/>
      <c r="G59" s="141">
        <f>G57*0.16</f>
        <v>85852.266666666663</v>
      </c>
    </row>
    <row r="60" spans="1:11">
      <c r="C60" s="1195" t="s">
        <v>20</v>
      </c>
      <c r="D60" s="1195"/>
      <c r="E60" s="1195"/>
      <c r="F60" s="1195"/>
      <c r="G60" s="141">
        <f>G57+G58+G59</f>
        <v>638526.2333333334</v>
      </c>
    </row>
    <row r="61" spans="1:11">
      <c r="C61" s="1195" t="s">
        <v>173</v>
      </c>
      <c r="D61" s="1195"/>
      <c r="E61" s="1195"/>
      <c r="F61" s="1195"/>
      <c r="G61" s="141">
        <f>K23+K29+K35</f>
        <v>2090804.6915075213</v>
      </c>
    </row>
    <row r="62" spans="1:11">
      <c r="C62" s="1195" t="s">
        <v>174</v>
      </c>
      <c r="D62" s="1195"/>
      <c r="E62" s="1195"/>
      <c r="F62" s="1195"/>
      <c r="G62" s="141">
        <f>K54</f>
        <v>452000</v>
      </c>
    </row>
    <row r="63" spans="1:11">
      <c r="C63" s="1195" t="s">
        <v>20</v>
      </c>
      <c r="D63" s="1195"/>
      <c r="E63" s="1195"/>
      <c r="F63" s="1195"/>
      <c r="G63" s="141">
        <f>G61+G62</f>
        <v>2542804.6915075211</v>
      </c>
    </row>
    <row r="64" spans="1:11">
      <c r="C64" s="1246" t="s">
        <v>175</v>
      </c>
      <c r="D64" s="1246"/>
      <c r="E64" s="1246"/>
      <c r="F64" s="1246"/>
      <c r="G64" s="142">
        <f>G60+G63</f>
        <v>3181330.9248408545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16097.299999999997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3197428.2248408543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0266-6F12-469B-8731-11C8FB7F3C60}">
  <sheetPr codeName="Sheet25"/>
  <dimension ref="A1:XFD85"/>
  <sheetViews>
    <sheetView topLeftCell="B25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Брус'!D127</f>
        <v>91.987142857142842</v>
      </c>
      <c r="E13" s="41">
        <f>'Данные Брус'!E107</f>
        <v>6000</v>
      </c>
      <c r="F13" s="42">
        <f>D13*E13</f>
        <v>551922.85714285704</v>
      </c>
      <c r="G13" s="161" t="s">
        <v>570</v>
      </c>
      <c r="H13" s="190" t="s">
        <v>63</v>
      </c>
      <c r="I13" s="233">
        <f>'Данные Брус'!E127</f>
        <v>95.61071428571428</v>
      </c>
      <c r="J13" s="84">
        <f>'Данные Брус'!F126</f>
        <v>27500</v>
      </c>
      <c r="K13" s="85">
        <f t="shared" ref="K13:K20" si="0">I13*J13</f>
        <v>2629294.6428571427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Брус'!H236</f>
        <v>4222.9000000000005</v>
      </c>
      <c r="E14" s="163">
        <f>'Данные Брус'!E109</f>
        <v>5</v>
      </c>
      <c r="F14" s="42">
        <f>D14*E14</f>
        <v>21114.500000000004</v>
      </c>
      <c r="G14" s="161" t="s">
        <v>147</v>
      </c>
      <c r="H14" s="190" t="s">
        <v>148</v>
      </c>
      <c r="I14" s="453">
        <f>D14</f>
        <v>4222.9000000000005</v>
      </c>
      <c r="J14" s="84">
        <f>'Данные Брус'!G136</f>
        <v>12</v>
      </c>
      <c r="K14" s="85">
        <f t="shared" si="0"/>
        <v>50674.8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Брус'!E206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Брус'!O236</f>
        <v>563.32351366071418</v>
      </c>
      <c r="J16" s="88">
        <f>'Данные Брус'!E89</f>
        <v>21</v>
      </c>
      <c r="K16" s="160">
        <f t="shared" si="0"/>
        <v>11829.793786874998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Брус'!M236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Брус'!N236</f>
        <v>8.4511732007233267</v>
      </c>
      <c r="J18" s="88">
        <f>'Данные Брус'!E93</f>
        <v>380</v>
      </c>
      <c r="K18" s="160">
        <f t="shared" si="0"/>
        <v>3211.4458162748642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593837.35714285704</v>
      </c>
      <c r="G23" s="93"/>
      <c r="H23" s="94"/>
      <c r="I23" s="1238" t="s">
        <v>158</v>
      </c>
      <c r="J23" s="1238"/>
      <c r="K23" s="140">
        <f>SUM(K13:K22)</f>
        <v>2750326.3491269588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98.960476190476172</v>
      </c>
      <c r="E49" s="132">
        <f>'Данные Брус'!E113</f>
        <v>500</v>
      </c>
      <c r="F49" s="130">
        <f>D49*E49</f>
        <v>49480.238095238084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Брус'!E276</f>
        <v>0</v>
      </c>
      <c r="J52" s="130">
        <f>'Данные Брус'!G276</f>
        <v>130000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Брус'!D276</f>
        <v>3</v>
      </c>
      <c r="J53" s="139">
        <f>'Данные Брус'!F276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52680.238095238084</v>
      </c>
      <c r="G54" s="125"/>
      <c r="H54" s="126"/>
      <c r="I54" s="1244" t="s">
        <v>169</v>
      </c>
      <c r="J54" s="1245"/>
      <c r="K54" s="138">
        <f>SUM(K49:K53)</f>
        <v>472000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693917.59523809515</v>
      </c>
    </row>
    <row r="58" spans="1:11">
      <c r="C58" s="1195" t="s">
        <v>171</v>
      </c>
      <c r="D58" s="1195"/>
      <c r="E58" s="1195"/>
      <c r="F58" s="1195"/>
      <c r="G58" s="141">
        <f>G57*0.03</f>
        <v>20817.527857142853</v>
      </c>
    </row>
    <row r="59" spans="1:11">
      <c r="C59" s="1195" t="s">
        <v>172</v>
      </c>
      <c r="D59" s="1195"/>
      <c r="E59" s="1195"/>
      <c r="F59" s="1195"/>
      <c r="G59" s="141">
        <f>G57*0.16</f>
        <v>111026.81523809522</v>
      </c>
    </row>
    <row r="60" spans="1:11">
      <c r="C60" s="1195" t="s">
        <v>20</v>
      </c>
      <c r="D60" s="1195"/>
      <c r="E60" s="1195"/>
      <c r="F60" s="1195"/>
      <c r="G60" s="141">
        <f>G57+G58+G59</f>
        <v>825761.93833333324</v>
      </c>
    </row>
    <row r="61" spans="1:11">
      <c r="C61" s="1195" t="s">
        <v>173</v>
      </c>
      <c r="D61" s="1195"/>
      <c r="E61" s="1195"/>
      <c r="F61" s="1195"/>
      <c r="G61" s="141">
        <f>K23+K29+K35</f>
        <v>2782708.298494047</v>
      </c>
    </row>
    <row r="62" spans="1:11">
      <c r="C62" s="1195" t="s">
        <v>174</v>
      </c>
      <c r="D62" s="1195"/>
      <c r="E62" s="1195"/>
      <c r="F62" s="1195"/>
      <c r="G62" s="141">
        <f>K54</f>
        <v>472000</v>
      </c>
    </row>
    <row r="63" spans="1:11">
      <c r="C63" s="1195" t="s">
        <v>20</v>
      </c>
      <c r="D63" s="1195"/>
      <c r="E63" s="1195"/>
      <c r="F63" s="1195"/>
      <c r="G63" s="141">
        <f>G61+G62</f>
        <v>3254708.298494047</v>
      </c>
    </row>
    <row r="64" spans="1:11">
      <c r="C64" s="1246" t="s">
        <v>175</v>
      </c>
      <c r="D64" s="1246"/>
      <c r="E64" s="1246"/>
      <c r="F64" s="1246"/>
      <c r="G64" s="142">
        <f>G60+G63</f>
        <v>4080470.23682738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20817.527857142853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4101287.764684523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B25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5C22-D752-45C6-888A-43AAE2B3DBA6}">
  <sheetPr codeName="Sheet26"/>
  <dimension ref="A1:XFD85"/>
  <sheetViews>
    <sheetView topLeftCell="A34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Брус'!D128</f>
        <v>91.435495823516817</v>
      </c>
      <c r="E13" s="41">
        <f>'Данные Брус'!E107</f>
        <v>6000</v>
      </c>
      <c r="F13" s="42">
        <f>D13*E13</f>
        <v>548612.97494110093</v>
      </c>
      <c r="G13" s="161" t="s">
        <v>568</v>
      </c>
      <c r="H13" s="190" t="s">
        <v>63</v>
      </c>
      <c r="I13" s="233">
        <f>'Данные Брус'!E128</f>
        <v>95.037336688798462</v>
      </c>
      <c r="J13" s="84">
        <f>'Данные Брус'!F128</f>
        <v>27500</v>
      </c>
      <c r="K13" s="85">
        <f t="shared" ref="K13:K20" si="0">I13*J13</f>
        <v>2613526.7589419577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Брус'!H237</f>
        <v>3122.9</v>
      </c>
      <c r="E14" s="163">
        <f>'Данные Брус'!E109</f>
        <v>5</v>
      </c>
      <c r="F14" s="42">
        <f>D14*E14</f>
        <v>15614.5</v>
      </c>
      <c r="G14" s="161" t="s">
        <v>147</v>
      </c>
      <c r="H14" s="190" t="s">
        <v>148</v>
      </c>
      <c r="I14" s="453">
        <f>D14</f>
        <v>3122.9</v>
      </c>
      <c r="J14" s="84">
        <f>'Данные Брус'!G136</f>
        <v>12</v>
      </c>
      <c r="K14" s="85">
        <f t="shared" si="0"/>
        <v>37474.800000000003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Брус'!E207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Брус'!O237</f>
        <v>570.68893246399125</v>
      </c>
      <c r="J16" s="88">
        <f>'Данные Брус'!E89</f>
        <v>21</v>
      </c>
      <c r="K16" s="160">
        <f t="shared" si="0"/>
        <v>11984.467581743816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Брус'!M237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Брус'!N237</f>
        <v>6.2477064108271358</v>
      </c>
      <c r="J18" s="88">
        <f>'Данные Брус'!E93</f>
        <v>380</v>
      </c>
      <c r="K18" s="160">
        <f t="shared" si="0"/>
        <v>2374.1284361143116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585027.47494110093</v>
      </c>
      <c r="G23" s="93"/>
      <c r="H23" s="94"/>
      <c r="I23" s="1238" t="s">
        <v>158</v>
      </c>
      <c r="J23" s="1238"/>
      <c r="K23" s="140">
        <f>SUM(K13:K22)</f>
        <v>2716356.8216264821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98.408829156850146</v>
      </c>
      <c r="E49" s="132">
        <f>'Данные Брус'!E113</f>
        <v>500</v>
      </c>
      <c r="F49" s="130">
        <f>D49*E49</f>
        <v>49204.414578425072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Брус'!E277</f>
        <v>0</v>
      </c>
      <c r="J52" s="130">
        <f>'Данные Брус'!G277</f>
        <v>130000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Брус'!D277</f>
        <v>3</v>
      </c>
      <c r="J53" s="139">
        <f>'Данные Брус'!F277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52404.414578425072</v>
      </c>
      <c r="G54" s="125"/>
      <c r="H54" s="126"/>
      <c r="I54" s="1244" t="s">
        <v>169</v>
      </c>
      <c r="J54" s="1245"/>
      <c r="K54" s="138">
        <f>SUM(K49:K53)</f>
        <v>472000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684831.88951952604</v>
      </c>
    </row>
    <row r="58" spans="1:11">
      <c r="C58" s="1195" t="s">
        <v>171</v>
      </c>
      <c r="D58" s="1195"/>
      <c r="E58" s="1195"/>
      <c r="F58" s="1195"/>
      <c r="G58" s="141">
        <f>G57*0.03</f>
        <v>20544.956685585781</v>
      </c>
    </row>
    <row r="59" spans="1:11">
      <c r="C59" s="1195" t="s">
        <v>172</v>
      </c>
      <c r="D59" s="1195"/>
      <c r="E59" s="1195"/>
      <c r="F59" s="1195"/>
      <c r="G59" s="141">
        <f>G57*0.16</f>
        <v>109573.10232312417</v>
      </c>
    </row>
    <row r="60" spans="1:11">
      <c r="C60" s="1195" t="s">
        <v>20</v>
      </c>
      <c r="D60" s="1195"/>
      <c r="E60" s="1195"/>
      <c r="F60" s="1195"/>
      <c r="G60" s="141">
        <f>G57+G58+G59</f>
        <v>814949.94852823601</v>
      </c>
    </row>
    <row r="61" spans="1:11">
      <c r="C61" s="1195" t="s">
        <v>173</v>
      </c>
      <c r="D61" s="1195"/>
      <c r="E61" s="1195"/>
      <c r="F61" s="1195"/>
      <c r="G61" s="141">
        <f>K23+K29+K35</f>
        <v>2748738.7709935703</v>
      </c>
    </row>
    <row r="62" spans="1:11">
      <c r="C62" s="1195" t="s">
        <v>174</v>
      </c>
      <c r="D62" s="1195"/>
      <c r="E62" s="1195"/>
      <c r="F62" s="1195"/>
      <c r="G62" s="141">
        <f>K54</f>
        <v>472000</v>
      </c>
    </row>
    <row r="63" spans="1:11">
      <c r="C63" s="1195" t="s">
        <v>20</v>
      </c>
      <c r="D63" s="1195"/>
      <c r="E63" s="1195"/>
      <c r="F63" s="1195"/>
      <c r="G63" s="141">
        <f>G61+G62</f>
        <v>3220738.7709935703</v>
      </c>
    </row>
    <row r="64" spans="1:11">
      <c r="C64" s="1246" t="s">
        <v>175</v>
      </c>
      <c r="D64" s="1246"/>
      <c r="E64" s="1246"/>
      <c r="F64" s="1246"/>
      <c r="G64" s="142">
        <f>G60+G63</f>
        <v>4035688.7195218066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20544.956685585781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4056233.6762073925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34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9EBC-23B4-44E5-ACDC-391681094FD8}">
  <sheetPr codeName="Sheet27"/>
  <dimension ref="A1:XFD85"/>
  <sheetViews>
    <sheetView topLeftCell="A43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Брус'!E139</f>
        <v>79.812862328234388</v>
      </c>
      <c r="E13" s="41">
        <f>'Данные Брус'!E108</f>
        <v>5500</v>
      </c>
      <c r="F13" s="42">
        <f>D13*E13</f>
        <v>438970.74280528916</v>
      </c>
      <c r="G13" s="161" t="s">
        <v>571</v>
      </c>
      <c r="H13" s="190" t="s">
        <v>63</v>
      </c>
      <c r="I13" s="233">
        <f>D13</f>
        <v>79.812862328234388</v>
      </c>
      <c r="J13" s="84">
        <f>'Данные Брус'!F139</f>
        <v>47000</v>
      </c>
      <c r="K13" s="85">
        <f t="shared" ref="K13:K20" si="0">I13*J13</f>
        <v>3751204.5294270162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Брус'!H248</f>
        <v>4268</v>
      </c>
      <c r="E14" s="163">
        <f>'Данные Брус'!E109</f>
        <v>5</v>
      </c>
      <c r="F14" s="42">
        <f>D14*E14</f>
        <v>21340</v>
      </c>
      <c r="G14" s="161" t="s">
        <v>147</v>
      </c>
      <c r="H14" s="190" t="s">
        <v>148</v>
      </c>
      <c r="I14" s="453">
        <f>D14</f>
        <v>4268</v>
      </c>
      <c r="J14" s="84">
        <f>'Данные Брус'!G139</f>
        <v>12</v>
      </c>
      <c r="K14" s="85">
        <f t="shared" si="0"/>
        <v>51216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Брус'!E216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Брус'!O248</f>
        <v>569.27641308659599</v>
      </c>
      <c r="J16" s="88">
        <f>'Данные Брус'!E89</f>
        <v>21</v>
      </c>
      <c r="K16" s="160">
        <f t="shared" si="0"/>
        <v>11954.804674818515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Брус'!M248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Брус'!N248</f>
        <v>8.5404806463999385</v>
      </c>
      <c r="J18" s="88">
        <f>'Данные Брус'!E93</f>
        <v>380</v>
      </c>
      <c r="K18" s="160">
        <f t="shared" si="0"/>
        <v>3245.3826456319766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481110.74280528916</v>
      </c>
      <c r="G23" s="93"/>
      <c r="H23" s="94"/>
      <c r="I23" s="1238" t="s">
        <v>158</v>
      </c>
      <c r="J23" s="1238"/>
      <c r="K23" s="140">
        <f>SUM(K13:K22)</f>
        <v>3872936.3834141335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86.786195661567717</v>
      </c>
      <c r="E49" s="132">
        <f>'Данные Брус'!E113</f>
        <v>500</v>
      </c>
      <c r="F49" s="130">
        <f>D49*E49</f>
        <v>43393.09783078386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Брус'!E288</f>
        <v>1</v>
      </c>
      <c r="J52" s="130">
        <f>'Данные Брус'!G288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Брус'!D288</f>
        <v>2</v>
      </c>
      <c r="J53" s="139">
        <f>'Данные Брус'!F288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46593.09783078386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575103.84063607291</v>
      </c>
    </row>
    <row r="58" spans="1:11">
      <c r="C58" s="1195" t="s">
        <v>171</v>
      </c>
      <c r="D58" s="1195"/>
      <c r="E58" s="1195"/>
      <c r="F58" s="1195"/>
      <c r="G58" s="141">
        <f>G57*0.03</f>
        <v>17253.115219082189</v>
      </c>
    </row>
    <row r="59" spans="1:11">
      <c r="C59" s="1195" t="s">
        <v>172</v>
      </c>
      <c r="D59" s="1195"/>
      <c r="E59" s="1195"/>
      <c r="F59" s="1195"/>
      <c r="G59" s="141">
        <f>G57*0.16</f>
        <v>92016.614501771663</v>
      </c>
    </row>
    <row r="60" spans="1:11">
      <c r="C60" s="1195" t="s">
        <v>20</v>
      </c>
      <c r="D60" s="1195"/>
      <c r="E60" s="1195"/>
      <c r="F60" s="1195"/>
      <c r="G60" s="141">
        <f>G57+G58+G59</f>
        <v>684373.57035692676</v>
      </c>
    </row>
    <row r="61" spans="1:11">
      <c r="C61" s="1195" t="s">
        <v>173</v>
      </c>
      <c r="D61" s="1195"/>
      <c r="E61" s="1195"/>
      <c r="F61" s="1195"/>
      <c r="G61" s="141">
        <f>K23+K29+K35</f>
        <v>3915398.3327812217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4197398.3327812217</v>
      </c>
    </row>
    <row r="64" spans="1:11">
      <c r="C64" s="1246" t="s">
        <v>175</v>
      </c>
      <c r="D64" s="1246"/>
      <c r="E64" s="1246"/>
      <c r="F64" s="1246"/>
      <c r="G64" s="142">
        <f>G60+G63</f>
        <v>4881771.9031381486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17253.115219082189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4899025.0183572304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3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A10D-44F4-417D-8429-5292AD658AB6}">
  <sheetPr codeName="Sheet28"/>
  <dimension ref="A1:XFD85"/>
  <sheetViews>
    <sheetView topLeftCell="A3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Брус'!E140</f>
        <v>99.775037593984962</v>
      </c>
      <c r="E13" s="41">
        <f>'Данные Брус'!E108</f>
        <v>5500</v>
      </c>
      <c r="F13" s="42">
        <f>D13*E13</f>
        <v>548762.70676691725</v>
      </c>
      <c r="G13" s="161" t="s">
        <v>576</v>
      </c>
      <c r="H13" s="190" t="s">
        <v>63</v>
      </c>
      <c r="I13" s="233">
        <f>D13</f>
        <v>99.775037593984962</v>
      </c>
      <c r="J13" s="84">
        <f>'Данные Брус'!F140</f>
        <v>47000</v>
      </c>
      <c r="K13" s="85">
        <f t="shared" ref="K13:K20" si="0">I13*J13</f>
        <v>4689426.766917293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Брус'!H249</f>
        <v>4268</v>
      </c>
      <c r="E14" s="163">
        <f>'Данные Брус'!E109</f>
        <v>5</v>
      </c>
      <c r="F14" s="42">
        <f>D14*E14</f>
        <v>21340</v>
      </c>
      <c r="G14" s="161" t="s">
        <v>147</v>
      </c>
      <c r="H14" s="190" t="s">
        <v>148</v>
      </c>
      <c r="I14" s="453">
        <f>D14</f>
        <v>4268</v>
      </c>
      <c r="J14" s="84">
        <f>'Данные Брус'!G139</f>
        <v>12</v>
      </c>
      <c r="K14" s="85">
        <f t="shared" si="0"/>
        <v>51216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Брус'!E217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Брус'!O249</f>
        <v>569.32753804511276</v>
      </c>
      <c r="J16" s="88">
        <f>'Данные Брус'!E89</f>
        <v>21</v>
      </c>
      <c r="K16" s="160">
        <f t="shared" si="0"/>
        <v>11955.878298947368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Брус'!M249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Брус'!N249</f>
        <v>8.5412476406205382</v>
      </c>
      <c r="J18" s="88">
        <f>'Данные Брус'!E93</f>
        <v>380</v>
      </c>
      <c r="K18" s="160">
        <f t="shared" si="0"/>
        <v>3245.6741034358047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590902.70676691725</v>
      </c>
      <c r="G23" s="93"/>
      <c r="H23" s="94"/>
      <c r="I23" s="1238" t="s">
        <v>158</v>
      </c>
      <c r="J23" s="1238"/>
      <c r="K23" s="140">
        <f>SUM(K13:K22)</f>
        <v>4811159.9859863436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106.74837092731829</v>
      </c>
      <c r="E49" s="132">
        <f>'Данные Брус'!E113</f>
        <v>500</v>
      </c>
      <c r="F49" s="130">
        <f>D49*E49</f>
        <v>53374.185463659145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Брус'!E289</f>
        <v>0</v>
      </c>
      <c r="J52" s="130">
        <f>'Данные Брус'!G289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Брус'!D289</f>
        <v>3</v>
      </c>
      <c r="J53" s="139">
        <f>'Данные Брус'!F289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56574.185463659145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694876.89223057637</v>
      </c>
    </row>
    <row r="58" spans="1:11">
      <c r="C58" s="1195" t="s">
        <v>171</v>
      </c>
      <c r="D58" s="1195"/>
      <c r="E58" s="1195"/>
      <c r="F58" s="1195"/>
      <c r="G58" s="141">
        <f>G57*0.03</f>
        <v>20846.306766917289</v>
      </c>
    </row>
    <row r="59" spans="1:11">
      <c r="C59" s="1195" t="s">
        <v>172</v>
      </c>
      <c r="D59" s="1195"/>
      <c r="E59" s="1195"/>
      <c r="F59" s="1195"/>
      <c r="G59" s="141">
        <f>G57*0.16</f>
        <v>111180.30275689223</v>
      </c>
    </row>
    <row r="60" spans="1:11">
      <c r="C60" s="1195" t="s">
        <v>20</v>
      </c>
      <c r="D60" s="1195"/>
      <c r="E60" s="1195"/>
      <c r="F60" s="1195"/>
      <c r="G60" s="141">
        <f>G57+G58+G59</f>
        <v>826903.50175438588</v>
      </c>
    </row>
    <row r="61" spans="1:11">
      <c r="C61" s="1195" t="s">
        <v>173</v>
      </c>
      <c r="D61" s="1195"/>
      <c r="E61" s="1195"/>
      <c r="F61" s="1195"/>
      <c r="G61" s="141">
        <f>K23+K29+K35</f>
        <v>4853621.9353534319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5145621.9353534319</v>
      </c>
    </row>
    <row r="64" spans="1:11">
      <c r="C64" s="1246" t="s">
        <v>175</v>
      </c>
      <c r="D64" s="1246"/>
      <c r="E64" s="1246"/>
      <c r="F64" s="1246"/>
      <c r="G64" s="142">
        <f>G60+G63</f>
        <v>5972525.4371078182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20846.306766917289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5993371.7438747352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31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2809-CFBE-4C27-863E-41D3025878DC}">
  <sheetPr codeName="Sheet29"/>
  <dimension ref="A1:XFD85"/>
  <sheetViews>
    <sheetView topLeftCell="A4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Брус'!E141</f>
        <v>77.302982240082969</v>
      </c>
      <c r="E13" s="41">
        <f>'Данные Брус'!E108</f>
        <v>5500</v>
      </c>
      <c r="F13" s="42">
        <f>D13*E13</f>
        <v>425166.40232045634</v>
      </c>
      <c r="G13" s="161" t="s">
        <v>577</v>
      </c>
      <c r="H13" s="190" t="s">
        <v>63</v>
      </c>
      <c r="I13" s="233">
        <f>D13</f>
        <v>77.302982240082969</v>
      </c>
      <c r="J13" s="84">
        <f>'Данные Брус'!F141</f>
        <v>47000</v>
      </c>
      <c r="K13" s="85">
        <f t="shared" ref="K13:K20" si="0">I13*J13</f>
        <v>3633240.1652838998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Брус'!H250</f>
        <v>3154.8</v>
      </c>
      <c r="E14" s="163">
        <f>'Данные Брус'!E109</f>
        <v>5</v>
      </c>
      <c r="F14" s="42">
        <f>D14*E14</f>
        <v>15774</v>
      </c>
      <c r="G14" s="161" t="s">
        <v>147</v>
      </c>
      <c r="H14" s="190" t="s">
        <v>148</v>
      </c>
      <c r="I14" s="453">
        <f>D14</f>
        <v>3154.8</v>
      </c>
      <c r="J14" s="84">
        <f>'Данные Брус'!G139</f>
        <v>12</v>
      </c>
      <c r="K14" s="85">
        <f t="shared" si="0"/>
        <v>37857.600000000006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Брус'!E218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Брус'!O250</f>
        <v>561.01166616735816</v>
      </c>
      <c r="J16" s="88">
        <f>'Данные Брус'!E89</f>
        <v>21</v>
      </c>
      <c r="K16" s="160">
        <f t="shared" si="0"/>
        <v>11781.244989514522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Брус'!M250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Брус'!N250</f>
        <v>6.3123675518127484</v>
      </c>
      <c r="J18" s="88">
        <f>'Данные Брус'!E93</f>
        <v>380</v>
      </c>
      <c r="K18" s="160">
        <f t="shared" si="0"/>
        <v>2398.6996696888446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461740.40232045634</v>
      </c>
      <c r="G23" s="93"/>
      <c r="H23" s="94"/>
      <c r="I23" s="1238" t="s">
        <v>158</v>
      </c>
      <c r="J23" s="1238"/>
      <c r="K23" s="140">
        <f>SUM(K13:K22)</f>
        <v>3736934.3766097696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84.276315573416298</v>
      </c>
      <c r="E49" s="132">
        <f>'Данные Брус'!E113</f>
        <v>500</v>
      </c>
      <c r="F49" s="130">
        <f>D49*E49</f>
        <v>42138.157786708151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Брус'!E290</f>
        <v>1</v>
      </c>
      <c r="J52" s="130">
        <f>'Данные Брус'!G290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Брус'!D290</f>
        <v>2</v>
      </c>
      <c r="J53" s="139">
        <f>'Данные Брус'!F290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45338.157786708151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554478.56010716455</v>
      </c>
    </row>
    <row r="58" spans="1:11">
      <c r="C58" s="1195" t="s">
        <v>171</v>
      </c>
      <c r="D58" s="1195"/>
      <c r="E58" s="1195"/>
      <c r="F58" s="1195"/>
      <c r="G58" s="141">
        <f>G57*0.03</f>
        <v>16634.356803214934</v>
      </c>
    </row>
    <row r="59" spans="1:11">
      <c r="C59" s="1195" t="s">
        <v>172</v>
      </c>
      <c r="D59" s="1195"/>
      <c r="E59" s="1195"/>
      <c r="F59" s="1195"/>
      <c r="G59" s="141">
        <f>G57*0.16</f>
        <v>88716.569617146335</v>
      </c>
    </row>
    <row r="60" spans="1:11">
      <c r="C60" s="1195" t="s">
        <v>20</v>
      </c>
      <c r="D60" s="1195"/>
      <c r="E60" s="1195"/>
      <c r="F60" s="1195"/>
      <c r="G60" s="141">
        <f>G57+G58+G59</f>
        <v>659829.48652752582</v>
      </c>
    </row>
    <row r="61" spans="1:11">
      <c r="C61" s="1195" t="s">
        <v>173</v>
      </c>
      <c r="D61" s="1195"/>
      <c r="E61" s="1195"/>
      <c r="F61" s="1195"/>
      <c r="G61" s="141">
        <f>K23+K29+K35</f>
        <v>3779396.3259768579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4061396.3259768579</v>
      </c>
    </row>
    <row r="64" spans="1:11">
      <c r="C64" s="1246" t="s">
        <v>175</v>
      </c>
      <c r="D64" s="1246"/>
      <c r="E64" s="1246"/>
      <c r="F64" s="1246"/>
      <c r="G64" s="142">
        <f>G60+G63</f>
        <v>4721225.8125043837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16634.356803214934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4737860.1693075988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8022-5F15-4739-A006-391FE8AB1D78}">
  <sheetPr codeName="Sheet30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Брус'!E142</f>
        <v>96.633694581280793</v>
      </c>
      <c r="E13" s="41">
        <f>'Данные Брус'!E108</f>
        <v>5500</v>
      </c>
      <c r="F13" s="42">
        <f>D13*E13</f>
        <v>531485.32019704441</v>
      </c>
      <c r="G13" s="161" t="s">
        <v>578</v>
      </c>
      <c r="H13" s="190" t="s">
        <v>63</v>
      </c>
      <c r="I13" s="233">
        <f>D13</f>
        <v>96.633694581280793</v>
      </c>
      <c r="J13" s="84">
        <f>'Данные Брус'!F141</f>
        <v>47000</v>
      </c>
      <c r="K13" s="85">
        <f t="shared" ref="K13:K20" si="0">I13*J13</f>
        <v>4541783.6453201976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Брус'!H251</f>
        <v>3154.8</v>
      </c>
      <c r="E14" s="163">
        <f>'Данные Брус'!E109</f>
        <v>5</v>
      </c>
      <c r="F14" s="42">
        <f>D14*E14</f>
        <v>15774</v>
      </c>
      <c r="G14" s="161" t="s">
        <v>147</v>
      </c>
      <c r="H14" s="190" t="s">
        <v>148</v>
      </c>
      <c r="I14" s="453">
        <f>D14</f>
        <v>3154.8</v>
      </c>
      <c r="J14" s="84">
        <f>'Данные Брус'!G139</f>
        <v>12</v>
      </c>
      <c r="K14" s="85">
        <f t="shared" si="0"/>
        <v>37857.600000000006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Брус'!E219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Брус'!O251</f>
        <v>560.99785732276712</v>
      </c>
      <c r="J16" s="88">
        <f>'Данные Брус'!E89</f>
        <v>21</v>
      </c>
      <c r="K16" s="160">
        <f t="shared" si="0"/>
        <v>11780.95500377811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Брус'!M250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Брус'!N250</f>
        <v>6.3123675518127484</v>
      </c>
      <c r="J18" s="88">
        <f>'Данные Брус'!E93</f>
        <v>380</v>
      </c>
      <c r="K18" s="160">
        <f t="shared" si="0"/>
        <v>2398.6996696888446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568059.32019704441</v>
      </c>
      <c r="G23" s="93"/>
      <c r="H23" s="94"/>
      <c r="I23" s="1238" t="s">
        <v>158</v>
      </c>
      <c r="J23" s="1238"/>
      <c r="K23" s="140">
        <f>SUM(K13:K22)</f>
        <v>4644817.5666603316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103.60702791461412</v>
      </c>
      <c r="E49" s="132">
        <f>'Данные Брус'!E113</f>
        <v>500</v>
      </c>
      <c r="F49" s="130">
        <f>D49*E49</f>
        <v>51803.513957307063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Брус'!E291</f>
        <v>0</v>
      </c>
      <c r="J52" s="130">
        <f>'Данные Брус'!G291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Брус'!D291</f>
        <v>3</v>
      </c>
      <c r="J53" s="139">
        <f>'Данные Брус'!F291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55003.513957307063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670462.8341543515</v>
      </c>
    </row>
    <row r="58" spans="1:11">
      <c r="C58" s="1195" t="s">
        <v>171</v>
      </c>
      <c r="D58" s="1195"/>
      <c r="E58" s="1195"/>
      <c r="F58" s="1195"/>
      <c r="G58" s="141">
        <f>G57*0.03</f>
        <v>20113.885024630545</v>
      </c>
    </row>
    <row r="59" spans="1:11">
      <c r="C59" s="1195" t="s">
        <v>172</v>
      </c>
      <c r="D59" s="1195"/>
      <c r="E59" s="1195"/>
      <c r="F59" s="1195"/>
      <c r="G59" s="141">
        <f>G57*0.16</f>
        <v>107274.05346469625</v>
      </c>
    </row>
    <row r="60" spans="1:11">
      <c r="C60" s="1195" t="s">
        <v>20</v>
      </c>
      <c r="D60" s="1195"/>
      <c r="E60" s="1195"/>
      <c r="F60" s="1195"/>
      <c r="G60" s="141">
        <f>G57+G58+G59</f>
        <v>797850.77264367836</v>
      </c>
    </row>
    <row r="61" spans="1:11">
      <c r="C61" s="1195" t="s">
        <v>173</v>
      </c>
      <c r="D61" s="1195"/>
      <c r="E61" s="1195"/>
      <c r="F61" s="1195"/>
      <c r="G61" s="141">
        <f>K23+K29+K35</f>
        <v>4687279.5160274198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4979279.5160274198</v>
      </c>
    </row>
    <row r="64" spans="1:11">
      <c r="C64" s="1246" t="s">
        <v>175</v>
      </c>
      <c r="D64" s="1246"/>
      <c r="E64" s="1246"/>
      <c r="F64" s="1246"/>
      <c r="G64" s="142">
        <f>G60+G63</f>
        <v>5777130.2886710986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20113.885024630545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5797244.1736957291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E7C4-3AA5-4237-A00A-16E43B941FA5}">
  <sheetPr codeName="Sheet31"/>
  <dimension ref="A1:XFD85"/>
  <sheetViews>
    <sheetView topLeftCell="A43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Брус'!E143</f>
        <v>117.77660033704953</v>
      </c>
      <c r="E13" s="41">
        <f>'Данные Брус'!E108</f>
        <v>5500</v>
      </c>
      <c r="F13" s="42">
        <f>D13*E13</f>
        <v>647771.30185377237</v>
      </c>
      <c r="G13" s="161" t="s">
        <v>580</v>
      </c>
      <c r="H13" s="190" t="s">
        <v>63</v>
      </c>
      <c r="I13" s="233">
        <f>D13</f>
        <v>117.77660033704953</v>
      </c>
      <c r="J13" s="84">
        <f>'Данные Брус'!F143</f>
        <v>47000</v>
      </c>
      <c r="K13" s="85">
        <f t="shared" ref="K13:K20" si="0">I13*J13</f>
        <v>5535500.2158413278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Брус'!H252</f>
        <v>4198.7000000000007</v>
      </c>
      <c r="E14" s="163">
        <f>'Данные Брус'!E109</f>
        <v>5</v>
      </c>
      <c r="F14" s="42">
        <f>D14*E14</f>
        <v>20993.500000000004</v>
      </c>
      <c r="G14" s="161" t="s">
        <v>147</v>
      </c>
      <c r="H14" s="190" t="s">
        <v>148</v>
      </c>
      <c r="I14" s="453">
        <f>D14</f>
        <v>4198.7000000000007</v>
      </c>
      <c r="J14" s="84">
        <f>'Данные Брус'!G139</f>
        <v>12</v>
      </c>
      <c r="K14" s="85">
        <f t="shared" si="0"/>
        <v>50384.400000000009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Брус'!E220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Брус'!O252</f>
        <v>559.97375614594728</v>
      </c>
      <c r="J16" s="88">
        <f>'Данные Брус'!E89</f>
        <v>21</v>
      </c>
      <c r="K16" s="160">
        <f t="shared" si="0"/>
        <v>11759.448879064892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Брус'!N252</f>
        <v>8.400918985780736</v>
      </c>
      <c r="J18" s="88">
        <f>'Данные Брус'!E93</f>
        <v>380</v>
      </c>
      <c r="K18" s="160">
        <f t="shared" si="0"/>
        <v>3192.3492145966798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689564.80185377237</v>
      </c>
      <c r="G23" s="93"/>
      <c r="H23" s="94"/>
      <c r="I23" s="1238" t="s">
        <v>158</v>
      </c>
      <c r="J23" s="1238"/>
      <c r="K23" s="140">
        <f>SUM(K13:K22)</f>
        <v>5655492.0806016568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124.74993367038286</v>
      </c>
      <c r="E49" s="132">
        <f>'Данные Брус'!E113</f>
        <v>500</v>
      </c>
      <c r="F49" s="130">
        <f>D49*E49</f>
        <v>62374.96683519143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Брус'!E292</f>
        <v>1</v>
      </c>
      <c r="J52" s="130">
        <f>'Данные Брус'!G292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Брус'!D292</f>
        <v>3</v>
      </c>
      <c r="J53" s="139">
        <f>'Данные Брус'!F292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65574.96683519143</v>
      </c>
      <c r="G54" s="125"/>
      <c r="H54" s="126"/>
      <c r="I54" s="1244" t="s">
        <v>169</v>
      </c>
      <c r="J54" s="1245"/>
      <c r="K54" s="138">
        <f>SUM(K49:K53)</f>
        <v>372000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802539.76868896384</v>
      </c>
    </row>
    <row r="58" spans="1:11">
      <c r="C58" s="1195" t="s">
        <v>171</v>
      </c>
      <c r="D58" s="1195"/>
      <c r="E58" s="1195"/>
      <c r="F58" s="1195"/>
      <c r="G58" s="141">
        <f>G57*0.03</f>
        <v>24076.193060668913</v>
      </c>
    </row>
    <row r="59" spans="1:11">
      <c r="C59" s="1195" t="s">
        <v>172</v>
      </c>
      <c r="D59" s="1195"/>
      <c r="E59" s="1195"/>
      <c r="F59" s="1195"/>
      <c r="G59" s="141">
        <f>G57*0.16</f>
        <v>128406.36299023422</v>
      </c>
    </row>
    <row r="60" spans="1:11">
      <c r="C60" s="1195" t="s">
        <v>20</v>
      </c>
      <c r="D60" s="1195"/>
      <c r="E60" s="1195"/>
      <c r="F60" s="1195"/>
      <c r="G60" s="141">
        <f>G57+G58+G59</f>
        <v>955022.32473986689</v>
      </c>
    </row>
    <row r="61" spans="1:11">
      <c r="C61" s="1195" t="s">
        <v>173</v>
      </c>
      <c r="D61" s="1195"/>
      <c r="E61" s="1195"/>
      <c r="F61" s="1195"/>
      <c r="G61" s="141">
        <f>K23+K29+K35</f>
        <v>5697954.0299687451</v>
      </c>
    </row>
    <row r="62" spans="1:11">
      <c r="C62" s="1195" t="s">
        <v>174</v>
      </c>
      <c r="D62" s="1195"/>
      <c r="E62" s="1195"/>
      <c r="F62" s="1195"/>
      <c r="G62" s="141">
        <f>K54</f>
        <v>372000</v>
      </c>
    </row>
    <row r="63" spans="1:11">
      <c r="C63" s="1195" t="s">
        <v>20</v>
      </c>
      <c r="D63" s="1195"/>
      <c r="E63" s="1195"/>
      <c r="F63" s="1195"/>
      <c r="G63" s="141">
        <f>G61+G62</f>
        <v>6069954.0299687451</v>
      </c>
    </row>
    <row r="64" spans="1:11">
      <c r="C64" s="1246" t="s">
        <v>175</v>
      </c>
      <c r="D64" s="1246"/>
      <c r="E64" s="1246"/>
      <c r="F64" s="1246"/>
      <c r="G64" s="142">
        <f>G60+G63</f>
        <v>7024976.354708612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24076.193060668913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7049052.5477692811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3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AAA2-4EDC-4B0D-81A2-B1CB6053658C}">
  <sheetPr codeName="Sheet32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Брус'!E144</f>
        <v>115.95778454757584</v>
      </c>
      <c r="E13" s="41">
        <f>'Данные Брус'!E108</f>
        <v>5500</v>
      </c>
      <c r="F13" s="42">
        <f>D13*E13</f>
        <v>637767.81501166709</v>
      </c>
      <c r="G13" s="161" t="s">
        <v>579</v>
      </c>
      <c r="H13" s="190" t="s">
        <v>63</v>
      </c>
      <c r="I13" s="233">
        <f>D13</f>
        <v>115.95778454757584</v>
      </c>
      <c r="J13" s="84">
        <f>'Данные Брус'!F144</f>
        <v>47000</v>
      </c>
      <c r="K13" s="85">
        <f t="shared" ref="K13:K20" si="0">I13*J13</f>
        <v>5450015.8737360649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Брус'!H253</f>
        <v>3153.7000000000003</v>
      </c>
      <c r="E14" s="163">
        <f>'Данные Брус'!E109</f>
        <v>5</v>
      </c>
      <c r="F14" s="42">
        <f>D14*E14</f>
        <v>15768.500000000002</v>
      </c>
      <c r="G14" s="161" t="s">
        <v>147</v>
      </c>
      <c r="H14" s="190" t="s">
        <v>148</v>
      </c>
      <c r="I14" s="453">
        <f>D14</f>
        <v>3153.7000000000003</v>
      </c>
      <c r="J14" s="84">
        <f>'Данные Брус'!G139</f>
        <v>12</v>
      </c>
      <c r="K14" s="85">
        <f t="shared" si="0"/>
        <v>37844.400000000001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Брус'!E221</f>
        <v>42</v>
      </c>
      <c r="J15" s="203">
        <f>'Данные Брус'!E88</f>
        <v>60</v>
      </c>
      <c r="K15" s="85">
        <f t="shared" si="0"/>
        <v>2520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Брус'!O252</f>
        <v>559.97375614594728</v>
      </c>
      <c r="J16" s="88">
        <f>'Данные Брус'!E89</f>
        <v>21</v>
      </c>
      <c r="K16" s="160">
        <f t="shared" si="0"/>
        <v>11759.448879064892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Брус'!M253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Брус'!N253</f>
        <v>6.3106285164070677</v>
      </c>
      <c r="J18" s="88">
        <f>'Данные Брус'!E93</f>
        <v>380</v>
      </c>
      <c r="K18" s="160">
        <f t="shared" si="0"/>
        <v>2398.0388362346857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674336.31501166709</v>
      </c>
      <c r="G23" s="93"/>
      <c r="H23" s="94"/>
      <c r="I23" s="1238" t="s">
        <v>158</v>
      </c>
      <c r="J23" s="1238"/>
      <c r="K23" s="140">
        <f>SUM(K13:K22)</f>
        <v>5553614.4281180315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122.93111788090917</v>
      </c>
      <c r="E49" s="132">
        <f>'Данные Брус'!E113</f>
        <v>500</v>
      </c>
      <c r="F49" s="130">
        <f>D49*E49</f>
        <v>61465.558940454583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Брус'!E293</f>
        <v>1</v>
      </c>
      <c r="J52" s="130">
        <f>'Данные Брус'!G293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Брус'!D293</f>
        <v>3</v>
      </c>
      <c r="J53" s="139">
        <f>'Данные Брус'!F293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64665.558940454583</v>
      </c>
      <c r="G54" s="125"/>
      <c r="H54" s="126"/>
      <c r="I54" s="1244" t="s">
        <v>169</v>
      </c>
      <c r="J54" s="1245"/>
      <c r="K54" s="138">
        <f>SUM(K49:K53)</f>
        <v>372000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786401.87395212171</v>
      </c>
    </row>
    <row r="58" spans="1:11">
      <c r="C58" s="1195" t="s">
        <v>171</v>
      </c>
      <c r="D58" s="1195"/>
      <c r="E58" s="1195"/>
      <c r="F58" s="1195"/>
      <c r="G58" s="141">
        <f>G57*0.03</f>
        <v>23592.056218563652</v>
      </c>
    </row>
    <row r="59" spans="1:11">
      <c r="C59" s="1195" t="s">
        <v>172</v>
      </c>
      <c r="D59" s="1195"/>
      <c r="E59" s="1195"/>
      <c r="F59" s="1195"/>
      <c r="G59" s="141">
        <f>G57*0.16</f>
        <v>125824.29983233947</v>
      </c>
    </row>
    <row r="60" spans="1:11">
      <c r="C60" s="1195" t="s">
        <v>20</v>
      </c>
      <c r="D60" s="1195"/>
      <c r="E60" s="1195"/>
      <c r="F60" s="1195"/>
      <c r="G60" s="141">
        <f>G57+G58+G59</f>
        <v>935818.23000302492</v>
      </c>
    </row>
    <row r="61" spans="1:11">
      <c r="C61" s="1195" t="s">
        <v>173</v>
      </c>
      <c r="D61" s="1195"/>
      <c r="E61" s="1195"/>
      <c r="F61" s="1195"/>
      <c r="G61" s="141">
        <f>K23+K29+K35</f>
        <v>5596076.3774851197</v>
      </c>
    </row>
    <row r="62" spans="1:11">
      <c r="C62" s="1195" t="s">
        <v>174</v>
      </c>
      <c r="D62" s="1195"/>
      <c r="E62" s="1195"/>
      <c r="F62" s="1195"/>
      <c r="G62" s="141">
        <f>K54</f>
        <v>372000</v>
      </c>
    </row>
    <row r="63" spans="1:11">
      <c r="C63" s="1195" t="s">
        <v>20</v>
      </c>
      <c r="D63" s="1195"/>
      <c r="E63" s="1195"/>
      <c r="F63" s="1195"/>
      <c r="G63" s="141">
        <f>G61+G62</f>
        <v>5968076.3774851197</v>
      </c>
    </row>
    <row r="64" spans="1:11">
      <c r="C64" s="1246" t="s">
        <v>175</v>
      </c>
      <c r="D64" s="1246"/>
      <c r="E64" s="1246"/>
      <c r="F64" s="1246"/>
      <c r="G64" s="142">
        <f>G60+G63</f>
        <v>6903894.6074881442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23592.056218563652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6927486.6637067078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83A0-81C5-4DF0-AFB8-1F059062F2CF}">
  <sheetPr codeName="Sheet33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Брус'!E145</f>
        <v>77.066524500907434</v>
      </c>
      <c r="E13" s="41">
        <f>'Данные Брус'!E108</f>
        <v>5500</v>
      </c>
      <c r="F13" s="42">
        <f>D13*E13</f>
        <v>423865.88475499087</v>
      </c>
      <c r="G13" s="161" t="s">
        <v>581</v>
      </c>
      <c r="H13" s="190" t="s">
        <v>63</v>
      </c>
      <c r="I13" s="233">
        <f>D13</f>
        <v>77.066524500907434</v>
      </c>
      <c r="J13" s="84">
        <f>'Данные Брус'!F145</f>
        <v>47000</v>
      </c>
      <c r="K13" s="85">
        <f t="shared" ref="K13:K20" si="0">I13*J13</f>
        <v>3622126.6515426496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Брус'!H254</f>
        <v>2598.2000000000003</v>
      </c>
      <c r="E14" s="163">
        <f>'Данные Брус'!E109</f>
        <v>5</v>
      </c>
      <c r="F14" s="42">
        <f>D14*E14</f>
        <v>12991.000000000002</v>
      </c>
      <c r="G14" s="161" t="s">
        <v>147</v>
      </c>
      <c r="H14" s="190" t="s">
        <v>148</v>
      </c>
      <c r="I14" s="453">
        <f>D14</f>
        <v>2598.2000000000003</v>
      </c>
      <c r="J14" s="84">
        <f>'Данные Брус'!G139</f>
        <v>12</v>
      </c>
      <c r="K14" s="85">
        <f t="shared" si="0"/>
        <v>31178.400000000001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Брус'!E222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Брус'!O254</f>
        <v>564.69944158170927</v>
      </c>
      <c r="J16" s="88">
        <f>'Данные Брус'!E89</f>
        <v>21</v>
      </c>
      <c r="K16" s="160">
        <f t="shared" si="0"/>
        <v>11858.688273215894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Брус'!M254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Брус'!N254</f>
        <v>5.1986139616267817</v>
      </c>
      <c r="J18" s="88">
        <f>'Данные Брус'!E93</f>
        <v>380</v>
      </c>
      <c r="K18" s="160">
        <f t="shared" si="0"/>
        <v>1975.473305418177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457656.88475499087</v>
      </c>
      <c r="G23" s="93"/>
      <c r="H23" s="94"/>
      <c r="I23" s="1238" t="s">
        <v>158</v>
      </c>
      <c r="J23" s="1238"/>
      <c r="K23" s="140">
        <f>SUM(K13:K22)</f>
        <v>3718135.8797879498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84.039857834240763</v>
      </c>
      <c r="E49" s="132">
        <f>'Данные Брус'!E113</f>
        <v>500</v>
      </c>
      <c r="F49" s="130">
        <f>D49*E49</f>
        <v>42019.928917120378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Брус'!E294</f>
        <v>1</v>
      </c>
      <c r="J52" s="130">
        <f>'Данные Брус'!G294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Брус'!D294</f>
        <v>2</v>
      </c>
      <c r="J53" s="139">
        <f>'Данные Брус'!F294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45219.928917120378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550276.81367211125</v>
      </c>
    </row>
    <row r="58" spans="1:11">
      <c r="C58" s="1195" t="s">
        <v>171</v>
      </c>
      <c r="D58" s="1195"/>
      <c r="E58" s="1195"/>
      <c r="F58" s="1195"/>
      <c r="G58" s="141">
        <f>G57*0.03</f>
        <v>16508.304410163339</v>
      </c>
    </row>
    <row r="59" spans="1:11">
      <c r="C59" s="1195" t="s">
        <v>172</v>
      </c>
      <c r="D59" s="1195"/>
      <c r="E59" s="1195"/>
      <c r="F59" s="1195"/>
      <c r="G59" s="141">
        <f>G57*0.16</f>
        <v>88044.290187537801</v>
      </c>
    </row>
    <row r="60" spans="1:11">
      <c r="C60" s="1195" t="s">
        <v>20</v>
      </c>
      <c r="D60" s="1195"/>
      <c r="E60" s="1195"/>
      <c r="F60" s="1195"/>
      <c r="G60" s="141">
        <f>G57+G58+G59</f>
        <v>654829.40826981235</v>
      </c>
    </row>
    <row r="61" spans="1:11">
      <c r="C61" s="1195" t="s">
        <v>173</v>
      </c>
      <c r="D61" s="1195"/>
      <c r="E61" s="1195"/>
      <c r="F61" s="1195"/>
      <c r="G61" s="141">
        <f>K23+K29+K35</f>
        <v>3760597.8291550381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4042597.8291550381</v>
      </c>
    </row>
    <row r="64" spans="1:11">
      <c r="C64" s="1246" t="s">
        <v>175</v>
      </c>
      <c r="D64" s="1246"/>
      <c r="E64" s="1246"/>
      <c r="F64" s="1246"/>
      <c r="G64" s="142">
        <f>G60+G63</f>
        <v>4697427.2374248505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16508.304410163339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4713935.5418350138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A4D-4426-42D3-8022-58F2B584F37D}">
  <sheetPr codeName="Sheet34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Брус'!E146</f>
        <v>96.334519056261342</v>
      </c>
      <c r="E13" s="41">
        <f>'Данные Брус'!E108</f>
        <v>5500</v>
      </c>
      <c r="F13" s="42">
        <f>D13*E13</f>
        <v>529839.85480943741</v>
      </c>
      <c r="G13" s="161" t="s">
        <v>582</v>
      </c>
      <c r="H13" s="190" t="s">
        <v>63</v>
      </c>
      <c r="I13" s="233">
        <f>D13</f>
        <v>96.334519056261342</v>
      </c>
      <c r="J13" s="84">
        <f>'Данные Брус'!F146</f>
        <v>47000</v>
      </c>
      <c r="K13" s="85">
        <f t="shared" ref="K13:K20" si="0">I13*J13</f>
        <v>4527722.3956442829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Брус'!H255</f>
        <v>2597.1000000000004</v>
      </c>
      <c r="E14" s="163">
        <f>'Данные Брус'!E109</f>
        <v>5</v>
      </c>
      <c r="F14" s="42">
        <f>D14*E14</f>
        <v>12985.500000000002</v>
      </c>
      <c r="G14" s="161" t="s">
        <v>147</v>
      </c>
      <c r="H14" s="190" t="s">
        <v>148</v>
      </c>
      <c r="I14" s="453">
        <f>D14</f>
        <v>2597.1000000000004</v>
      </c>
      <c r="J14" s="84">
        <f>'Данные Брус'!G139</f>
        <v>12</v>
      </c>
      <c r="K14" s="85">
        <f t="shared" si="0"/>
        <v>31165.200000000004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Брус'!E223</f>
        <v>26</v>
      </c>
      <c r="J15" s="203">
        <f>'Данные Брус'!E88</f>
        <v>60</v>
      </c>
      <c r="K15" s="85">
        <f t="shared" si="0"/>
        <v>1560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Брус'!O255</f>
        <v>564.55155223230497</v>
      </c>
      <c r="J16" s="88">
        <f>'Данные Брус'!E89</f>
        <v>21</v>
      </c>
      <c r="K16" s="160">
        <f t="shared" si="0"/>
        <v>11855.582596878405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Брус'!M255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Брус'!N255</f>
        <v>5.1972524946587342</v>
      </c>
      <c r="J18" s="88">
        <f>'Данные Брус'!E93</f>
        <v>380</v>
      </c>
      <c r="K18" s="160">
        <f t="shared" si="0"/>
        <v>1974.9559479703189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563625.35480943741</v>
      </c>
      <c r="G23" s="93"/>
      <c r="H23" s="94"/>
      <c r="I23" s="1238" t="s">
        <v>158</v>
      </c>
      <c r="J23" s="1238"/>
      <c r="K23" s="140">
        <f>SUM(K13:K22)</f>
        <v>4623354.8008557986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103.30785238959467</v>
      </c>
      <c r="E49" s="132">
        <f>'Данные Брус'!E113</f>
        <v>500</v>
      </c>
      <c r="F49" s="130">
        <f>D49*E49</f>
        <v>51653.926194797335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Брус'!E295</f>
        <v>0</v>
      </c>
      <c r="J52" s="130">
        <f>'Данные Брус'!G295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Брус'!D295</f>
        <v>3</v>
      </c>
      <c r="J53" s="139">
        <f>'Данные Брус'!F295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54853.926194797335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665879.2810042348</v>
      </c>
    </row>
    <row r="58" spans="1:11">
      <c r="C58" s="1195" t="s">
        <v>171</v>
      </c>
      <c r="D58" s="1195"/>
      <c r="E58" s="1195"/>
      <c r="F58" s="1195"/>
      <c r="G58" s="141">
        <f>G57*0.03</f>
        <v>19976.378430127043</v>
      </c>
    </row>
    <row r="59" spans="1:11">
      <c r="C59" s="1195" t="s">
        <v>172</v>
      </c>
      <c r="D59" s="1195"/>
      <c r="E59" s="1195"/>
      <c r="F59" s="1195"/>
      <c r="G59" s="141">
        <f>G57*0.16</f>
        <v>106540.68496067756</v>
      </c>
    </row>
    <row r="60" spans="1:11">
      <c r="C60" s="1195" t="s">
        <v>20</v>
      </c>
      <c r="D60" s="1195"/>
      <c r="E60" s="1195"/>
      <c r="F60" s="1195"/>
      <c r="G60" s="141">
        <f>G57+G58+G59</f>
        <v>792396.34439503937</v>
      </c>
    </row>
    <row r="61" spans="1:11">
      <c r="C61" s="1195" t="s">
        <v>173</v>
      </c>
      <c r="D61" s="1195"/>
      <c r="E61" s="1195"/>
      <c r="F61" s="1195"/>
      <c r="G61" s="141">
        <f>K23+K29+K35</f>
        <v>4665816.7502228869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4957816.7502228869</v>
      </c>
    </row>
    <row r="64" spans="1:11">
      <c r="C64" s="1246" t="s">
        <v>175</v>
      </c>
      <c r="D64" s="1246"/>
      <c r="E64" s="1246"/>
      <c r="F64" s="1246"/>
      <c r="G64" s="142">
        <f>G60+G63</f>
        <v>5750213.0946179265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19976.378430127043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5770189.4730480537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F46-9676-46D8-A04A-67AC6A3FA701}">
  <sheetPr codeName="Sheet35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Брус'!E147</f>
        <v>115.59705989110709</v>
      </c>
      <c r="E13" s="41">
        <f>'Данные Брус'!E108</f>
        <v>5500</v>
      </c>
      <c r="F13" s="42">
        <f>D13*E13</f>
        <v>635783.82940108899</v>
      </c>
      <c r="G13" s="161" t="s">
        <v>583</v>
      </c>
      <c r="H13" s="190" t="s">
        <v>63</v>
      </c>
      <c r="I13" s="233">
        <f>D13</f>
        <v>115.59705989110709</v>
      </c>
      <c r="J13" s="84">
        <f>'Данные Брус'!F146</f>
        <v>47000</v>
      </c>
      <c r="K13" s="85">
        <f t="shared" ref="K13:K20" si="0">I13*J13</f>
        <v>5433061.8148820335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Брус'!H256</f>
        <v>2597.1000000000004</v>
      </c>
      <c r="E14" s="163">
        <f>'Данные Брус'!E109</f>
        <v>5</v>
      </c>
      <c r="F14" s="42">
        <f>D14*E14</f>
        <v>12985.500000000002</v>
      </c>
      <c r="G14" s="161" t="s">
        <v>147</v>
      </c>
      <c r="H14" s="190" t="s">
        <v>148</v>
      </c>
      <c r="I14" s="453">
        <f>D14</f>
        <v>2597.1000000000004</v>
      </c>
      <c r="J14" s="84">
        <f>'Данные Брус'!G139</f>
        <v>12</v>
      </c>
      <c r="K14" s="85">
        <f t="shared" si="0"/>
        <v>31165.200000000004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Брус'!E224</f>
        <v>26</v>
      </c>
      <c r="J15" s="203">
        <f>'Данные Брус'!E88</f>
        <v>60</v>
      </c>
      <c r="K15" s="85">
        <f t="shared" si="0"/>
        <v>1560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Брус'!O256</f>
        <v>564.58220378915803</v>
      </c>
      <c r="J16" s="88">
        <f>'Данные Брус'!E89</f>
        <v>21</v>
      </c>
      <c r="K16" s="160">
        <f t="shared" si="0"/>
        <v>11856.226279572318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Брус'!M256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Брус'!N256</f>
        <v>5.197534672397313</v>
      </c>
      <c r="J18" s="88">
        <f>'Данные Брус'!E93</f>
        <v>380</v>
      </c>
      <c r="K18" s="160">
        <f t="shared" si="0"/>
        <v>1975.0631755109789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669569.32940108899</v>
      </c>
      <c r="G23" s="93"/>
      <c r="H23" s="94"/>
      <c r="I23" s="1238" t="s">
        <v>158</v>
      </c>
      <c r="J23" s="1238"/>
      <c r="K23" s="140">
        <f>SUM(K13:K22)</f>
        <v>5528694.9710037839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122.57039322444042</v>
      </c>
      <c r="E49" s="132">
        <f>'Данные Брус'!E113</f>
        <v>500</v>
      </c>
      <c r="F49" s="130">
        <f>D49*E49</f>
        <v>61285.196612220214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Брус'!E296</f>
        <v>1</v>
      </c>
      <c r="J52" s="130">
        <f>'Данные Брус'!G296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Брус'!D296</f>
        <v>3</v>
      </c>
      <c r="J53" s="139">
        <f>'Данные Брус'!F296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64485.196612220214</v>
      </c>
      <c r="G54" s="125"/>
      <c r="H54" s="126"/>
      <c r="I54" s="1244" t="s">
        <v>169</v>
      </c>
      <c r="J54" s="1245"/>
      <c r="K54" s="138">
        <f>SUM(K49:K53)</f>
        <v>372000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781454.52601330925</v>
      </c>
    </row>
    <row r="58" spans="1:11">
      <c r="C58" s="1195" t="s">
        <v>171</v>
      </c>
      <c r="D58" s="1195"/>
      <c r="E58" s="1195"/>
      <c r="F58" s="1195"/>
      <c r="G58" s="141">
        <f>G57*0.03</f>
        <v>23443.635780399276</v>
      </c>
    </row>
    <row r="59" spans="1:11">
      <c r="C59" s="1195" t="s">
        <v>172</v>
      </c>
      <c r="D59" s="1195"/>
      <c r="E59" s="1195"/>
      <c r="F59" s="1195"/>
      <c r="G59" s="141">
        <f>G57*0.16</f>
        <v>125032.72416212948</v>
      </c>
    </row>
    <row r="60" spans="1:11">
      <c r="C60" s="1195" t="s">
        <v>20</v>
      </c>
      <c r="D60" s="1195"/>
      <c r="E60" s="1195"/>
      <c r="F60" s="1195"/>
      <c r="G60" s="141">
        <f>G57+G58+G59</f>
        <v>929930.88595583802</v>
      </c>
    </row>
    <row r="61" spans="1:11">
      <c r="C61" s="1195" t="s">
        <v>173</v>
      </c>
      <c r="D61" s="1195"/>
      <c r="E61" s="1195"/>
      <c r="F61" s="1195"/>
      <c r="G61" s="141">
        <f>K23+K29+K35</f>
        <v>5571156.9203708721</v>
      </c>
    </row>
    <row r="62" spans="1:11">
      <c r="C62" s="1195" t="s">
        <v>174</v>
      </c>
      <c r="D62" s="1195"/>
      <c r="E62" s="1195"/>
      <c r="F62" s="1195"/>
      <c r="G62" s="141">
        <f>K54</f>
        <v>372000</v>
      </c>
    </row>
    <row r="63" spans="1:11">
      <c r="C63" s="1195" t="s">
        <v>20</v>
      </c>
      <c r="D63" s="1195"/>
      <c r="E63" s="1195"/>
      <c r="F63" s="1195"/>
      <c r="G63" s="141">
        <f>G61+G62</f>
        <v>5943156.9203708721</v>
      </c>
    </row>
    <row r="64" spans="1:11">
      <c r="C64" s="1246" t="s">
        <v>175</v>
      </c>
      <c r="D64" s="1246"/>
      <c r="E64" s="1246"/>
      <c r="F64" s="1246"/>
      <c r="G64" s="142">
        <f>G60+G63</f>
        <v>6873087.8063267097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23443.635780399276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6896531.4421071094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A6CD-34E5-40FF-8437-E103CC4639C1}">
  <sheetPr codeName="Sheet36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Брус'!E148</f>
        <v>77.785636505055749</v>
      </c>
      <c r="E13" s="41">
        <f>'Данные Брус'!E108</f>
        <v>5500</v>
      </c>
      <c r="F13" s="42">
        <f>D13*E13</f>
        <v>427821.00077780662</v>
      </c>
      <c r="G13" s="161" t="s">
        <v>584</v>
      </c>
      <c r="H13" s="190" t="s">
        <v>63</v>
      </c>
      <c r="I13" s="233">
        <f>D13</f>
        <v>77.785636505055749</v>
      </c>
      <c r="J13" s="84">
        <f>'Данные Брус'!F146</f>
        <v>47000</v>
      </c>
      <c r="K13" s="85">
        <f t="shared" ref="K13:K20" si="0">I13*J13</f>
        <v>3655924.9157376201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Брус'!H257</f>
        <v>2413.4</v>
      </c>
      <c r="E14" s="163">
        <f>'Данные Брус'!E109</f>
        <v>5</v>
      </c>
      <c r="F14" s="42">
        <f>D14*E14</f>
        <v>12067</v>
      </c>
      <c r="G14" s="161" t="s">
        <v>147</v>
      </c>
      <c r="H14" s="190" t="s">
        <v>148</v>
      </c>
      <c r="I14" s="453">
        <f>D14</f>
        <v>2413.4</v>
      </c>
      <c r="J14" s="84">
        <f>'Данные Брус'!G139</f>
        <v>12</v>
      </c>
      <c r="K14" s="85">
        <f t="shared" si="0"/>
        <v>28960.800000000003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Брус'!E225</f>
        <v>26</v>
      </c>
      <c r="J15" s="203">
        <f>'Данные Брус'!E88</f>
        <v>60</v>
      </c>
      <c r="K15" s="85">
        <f t="shared" si="0"/>
        <v>1560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Брус'!O257</f>
        <v>572.12368251964244</v>
      </c>
      <c r="J16" s="88">
        <f>'Данные Брус'!E89</f>
        <v>21</v>
      </c>
      <c r="K16" s="160">
        <f t="shared" si="0"/>
        <v>12014.597332912492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Брус'!M257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Брус'!N257</f>
        <v>4.8280479537522565</v>
      </c>
      <c r="J18" s="88">
        <f>'Данные Брус'!E93</f>
        <v>380</v>
      </c>
      <c r="K18" s="160">
        <f t="shared" si="0"/>
        <v>1834.6582224258575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460688.00077780662</v>
      </c>
      <c r="G23" s="93"/>
      <c r="H23" s="94"/>
      <c r="I23" s="1238" t="s">
        <v>158</v>
      </c>
      <c r="J23" s="1238"/>
      <c r="K23" s="140">
        <f>SUM(K13:K22)</f>
        <v>3749371.6379596246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84.758969838389078</v>
      </c>
      <c r="E49" s="132">
        <f>'Данные Брус'!E113</f>
        <v>500</v>
      </c>
      <c r="F49" s="130">
        <f>D49*E49</f>
        <v>42379.48491919454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Брус'!E297</f>
        <v>1</v>
      </c>
      <c r="J52" s="130">
        <f>'Данные Брус'!G297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Брус'!D297</f>
        <v>2</v>
      </c>
      <c r="J53" s="139">
        <f>'Данные Брус'!F297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45579.48491919454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553667.48569700122</v>
      </c>
    </row>
    <row r="58" spans="1:11">
      <c r="C58" s="1195" t="s">
        <v>171</v>
      </c>
      <c r="D58" s="1195"/>
      <c r="E58" s="1195"/>
      <c r="F58" s="1195"/>
      <c r="G58" s="141">
        <f>G57*0.03</f>
        <v>16610.024570910035</v>
      </c>
    </row>
    <row r="59" spans="1:11">
      <c r="C59" s="1195" t="s">
        <v>172</v>
      </c>
      <c r="D59" s="1195"/>
      <c r="E59" s="1195"/>
      <c r="F59" s="1195"/>
      <c r="G59" s="141">
        <f>G57*0.16</f>
        <v>88586.797711520194</v>
      </c>
    </row>
    <row r="60" spans="1:11">
      <c r="C60" s="1195" t="s">
        <v>20</v>
      </c>
      <c r="D60" s="1195"/>
      <c r="E60" s="1195"/>
      <c r="F60" s="1195"/>
      <c r="G60" s="141">
        <f>G57+G58+G59</f>
        <v>658864.30797943147</v>
      </c>
    </row>
    <row r="61" spans="1:11">
      <c r="C61" s="1195" t="s">
        <v>173</v>
      </c>
      <c r="D61" s="1195"/>
      <c r="E61" s="1195"/>
      <c r="F61" s="1195"/>
      <c r="G61" s="141">
        <f>K23+K29+K35</f>
        <v>3791833.5873267129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4073833.5873267129</v>
      </c>
    </row>
    <row r="64" spans="1:11">
      <c r="C64" s="1246" t="s">
        <v>175</v>
      </c>
      <c r="D64" s="1246"/>
      <c r="E64" s="1246"/>
      <c r="F64" s="1246"/>
      <c r="G64" s="142">
        <f>G60+G63</f>
        <v>4732697.8953061439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16610.024570910035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4749307.9198770542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DE23-ED0F-409F-B686-96547104F0A7}">
  <sheetPr codeName="Sheet37"/>
  <dimension ref="A1:XFD85"/>
  <sheetViews>
    <sheetView topLeftCell="A13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Брус'!E149</f>
        <v>97.232045631319693</v>
      </c>
      <c r="E13" s="41">
        <f>'Данные Брус'!E108</f>
        <v>5500</v>
      </c>
      <c r="F13" s="42">
        <f>D13*E13</f>
        <v>534776.25097225828</v>
      </c>
      <c r="G13" s="161" t="s">
        <v>585</v>
      </c>
      <c r="H13" s="190" t="s">
        <v>63</v>
      </c>
      <c r="I13" s="233">
        <f>D13</f>
        <v>97.232045631319693</v>
      </c>
      <c r="J13" s="84">
        <f>'Данные Брус'!F146</f>
        <v>47000</v>
      </c>
      <c r="K13" s="85">
        <f t="shared" ref="K13:K20" si="0">I13*J13</f>
        <v>4569906.1446720259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Брус'!H258</f>
        <v>2413.4</v>
      </c>
      <c r="E14" s="163">
        <f>'Данные Брус'!E109</f>
        <v>5</v>
      </c>
      <c r="F14" s="42">
        <f>D14*E14</f>
        <v>12067</v>
      </c>
      <c r="G14" s="161" t="s">
        <v>147</v>
      </c>
      <c r="H14" s="190" t="s">
        <v>148</v>
      </c>
      <c r="I14" s="453">
        <f>D14</f>
        <v>2413.4</v>
      </c>
      <c r="J14" s="84">
        <f>'Данные Брус'!G139</f>
        <v>12</v>
      </c>
      <c r="K14" s="85">
        <f t="shared" si="0"/>
        <v>28960.800000000003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Брус'!E226</f>
        <v>25</v>
      </c>
      <c r="J15" s="203">
        <f>'Данные Брус'!E88</f>
        <v>60</v>
      </c>
      <c r="K15" s="85">
        <f t="shared" si="0"/>
        <v>1500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Брус'!O258</f>
        <v>572.12368251964244</v>
      </c>
      <c r="J16" s="88">
        <f>'Данные Брус'!E89</f>
        <v>21</v>
      </c>
      <c r="K16" s="160">
        <f t="shared" si="0"/>
        <v>12014.597332912492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Брус'!M258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Брус'!N258</f>
        <v>4.8280479537522574</v>
      </c>
      <c r="J18" s="88">
        <f>'Данные Брус'!E93</f>
        <v>380</v>
      </c>
      <c r="K18" s="160">
        <f t="shared" si="0"/>
        <v>1834.6582224258577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567643.25097225828</v>
      </c>
      <c r="G23" s="93"/>
      <c r="H23" s="94"/>
      <c r="I23" s="1238" t="s">
        <v>158</v>
      </c>
      <c r="J23" s="1238"/>
      <c r="K23" s="140">
        <f>SUM(K13:K22)</f>
        <v>4663292.8668940309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104.20537896465302</v>
      </c>
      <c r="E49" s="132">
        <f>'Данные Брус'!E113</f>
        <v>500</v>
      </c>
      <c r="F49" s="130">
        <f>D49*E49</f>
        <v>52102.68948232651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Брус'!E298</f>
        <v>0</v>
      </c>
      <c r="J52" s="130">
        <f>'Данные Брус'!G298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Брус'!D298</f>
        <v>3</v>
      </c>
      <c r="J53" s="139">
        <f>'Данные Брус'!F298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55302.68948232651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670345.94045458478</v>
      </c>
    </row>
    <row r="58" spans="1:11">
      <c r="C58" s="1195" t="s">
        <v>171</v>
      </c>
      <c r="D58" s="1195"/>
      <c r="E58" s="1195"/>
      <c r="F58" s="1195"/>
      <c r="G58" s="141">
        <f>G57*0.03</f>
        <v>20110.378213637541</v>
      </c>
    </row>
    <row r="59" spans="1:11">
      <c r="C59" s="1195" t="s">
        <v>172</v>
      </c>
      <c r="D59" s="1195"/>
      <c r="E59" s="1195"/>
      <c r="F59" s="1195"/>
      <c r="G59" s="141">
        <f>G57*0.16</f>
        <v>107255.35047273357</v>
      </c>
    </row>
    <row r="60" spans="1:11">
      <c r="C60" s="1195" t="s">
        <v>20</v>
      </c>
      <c r="D60" s="1195"/>
      <c r="E60" s="1195"/>
      <c r="F60" s="1195"/>
      <c r="G60" s="141">
        <f>G57+G58+G59</f>
        <v>797711.6691409559</v>
      </c>
    </row>
    <row r="61" spans="1:11">
      <c r="C61" s="1195" t="s">
        <v>173</v>
      </c>
      <c r="D61" s="1195"/>
      <c r="E61" s="1195"/>
      <c r="F61" s="1195"/>
      <c r="G61" s="141">
        <f>K23+K29+K35</f>
        <v>4705754.8162611192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4997754.8162611192</v>
      </c>
    </row>
    <row r="64" spans="1:11">
      <c r="C64" s="1246" t="s">
        <v>175</v>
      </c>
      <c r="D64" s="1246"/>
      <c r="E64" s="1246"/>
      <c r="F64" s="1246"/>
      <c r="G64" s="142">
        <f>G60+G63</f>
        <v>5795466.4854020756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20110.378213637541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5815576.8636157131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13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4BD1-6A85-4EBD-9398-7B8D45CCCDEC}">
  <sheetPr codeName="Sheet38"/>
  <dimension ref="A1:XFD85"/>
  <sheetViews>
    <sheetView topLeftCell="A4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Брус'!E150</f>
        <v>100.52297640653359</v>
      </c>
      <c r="E13" s="41">
        <f>'Данные Брус'!E108</f>
        <v>5500</v>
      </c>
      <c r="F13" s="42">
        <f>D13*E13</f>
        <v>552876.37023593474</v>
      </c>
      <c r="G13" s="161" t="s">
        <v>586</v>
      </c>
      <c r="H13" s="190" t="s">
        <v>63</v>
      </c>
      <c r="I13" s="233">
        <f>D13</f>
        <v>100.52297640653359</v>
      </c>
      <c r="J13" s="84">
        <f>'Данные Брус'!F150</f>
        <v>47000</v>
      </c>
      <c r="K13" s="85">
        <f t="shared" ref="K13:K20" si="0">I13*J13</f>
        <v>4724579.8911070786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Брус'!H259</f>
        <v>2226.4</v>
      </c>
      <c r="E14" s="163">
        <f>'Данные Брус'!E109</f>
        <v>5</v>
      </c>
      <c r="F14" s="42">
        <f>D14*E14</f>
        <v>11132</v>
      </c>
      <c r="G14" s="161" t="s">
        <v>147</v>
      </c>
      <c r="H14" s="190" t="s">
        <v>148</v>
      </c>
      <c r="I14" s="453">
        <f>D14</f>
        <v>2226.4</v>
      </c>
      <c r="J14" s="84">
        <f>'Данные Брус'!G139</f>
        <v>12</v>
      </c>
      <c r="K14" s="85">
        <f t="shared" si="0"/>
        <v>26716.800000000003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Брус'!E227</f>
        <v>25</v>
      </c>
      <c r="J15" s="203">
        <f>'Данные Брус'!E88</f>
        <v>60</v>
      </c>
      <c r="K15" s="85">
        <f t="shared" si="0"/>
        <v>1500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Брус'!O259</f>
        <v>593.89078816381289</v>
      </c>
      <c r="J16" s="88">
        <f>'Данные Брус'!E89</f>
        <v>21</v>
      </c>
      <c r="K16" s="160">
        <f t="shared" si="0"/>
        <v>12471.706551440071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Брус'!M259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Брус'!N259</f>
        <v>4.4548769857576209</v>
      </c>
      <c r="J18" s="88">
        <f>'Данные Брус'!E93</f>
        <v>380</v>
      </c>
      <c r="K18" s="160">
        <f t="shared" si="0"/>
        <v>1692.8532545878959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584808.37023593474</v>
      </c>
      <c r="G23" s="93"/>
      <c r="H23" s="94"/>
      <c r="I23" s="1238" t="s">
        <v>158</v>
      </c>
      <c r="J23" s="1238"/>
      <c r="K23" s="140">
        <f>SUM(K13:K22)</f>
        <v>4816037.9175797738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107.49630973986692</v>
      </c>
      <c r="E49" s="132">
        <f>'Данные Брус'!E113</f>
        <v>500</v>
      </c>
      <c r="F49" s="130">
        <f>D49*E49</f>
        <v>53748.15486993346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Брус'!E299</f>
        <v>0</v>
      </c>
      <c r="J52" s="130">
        <f>'Данные Брус'!G299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Брус'!D299</f>
        <v>3</v>
      </c>
      <c r="J53" s="139">
        <f>'Данные Брус'!F299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56948.15486993346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689156.52510586823</v>
      </c>
    </row>
    <row r="58" spans="1:11">
      <c r="C58" s="1195" t="s">
        <v>171</v>
      </c>
      <c r="D58" s="1195"/>
      <c r="E58" s="1195"/>
      <c r="F58" s="1195"/>
      <c r="G58" s="141">
        <f>G57*0.03</f>
        <v>20674.695753176045</v>
      </c>
    </row>
    <row r="59" spans="1:11">
      <c r="C59" s="1195" t="s">
        <v>172</v>
      </c>
      <c r="D59" s="1195"/>
      <c r="E59" s="1195"/>
      <c r="F59" s="1195"/>
      <c r="G59" s="141">
        <f>G57*0.16</f>
        <v>110265.04401693892</v>
      </c>
    </row>
    <row r="60" spans="1:11">
      <c r="C60" s="1195" t="s">
        <v>20</v>
      </c>
      <c r="D60" s="1195"/>
      <c r="E60" s="1195"/>
      <c r="F60" s="1195"/>
      <c r="G60" s="141">
        <f>G57+G58+G59</f>
        <v>820096.26487598312</v>
      </c>
    </row>
    <row r="61" spans="1:11">
      <c r="C61" s="1195" t="s">
        <v>173</v>
      </c>
      <c r="D61" s="1195"/>
      <c r="E61" s="1195"/>
      <c r="F61" s="1195"/>
      <c r="G61" s="141">
        <f>K23+K29+K35</f>
        <v>4858499.8669468621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5150499.8669468621</v>
      </c>
    </row>
    <row r="64" spans="1:11">
      <c r="C64" s="1246" t="s">
        <v>175</v>
      </c>
      <c r="D64" s="1246"/>
      <c r="E64" s="1246"/>
      <c r="F64" s="1246"/>
      <c r="G64" s="142">
        <f>G60+G63</f>
        <v>5970596.131822845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20674.695753176045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5991270.8275760207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DEF9-232B-4225-96AD-DFF9A02AF74F}">
  <sheetPr codeName="Sheet39"/>
  <dimension ref="A1:XFD84"/>
  <sheetViews>
    <sheetView topLeftCell="A37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5.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'Расчёт-Бревно ОЦБ'!D253</f>
        <v>75.223713137193116</v>
      </c>
      <c r="E13" s="41">
        <f>'Данные ОЦБ'!E37</f>
        <v>5000</v>
      </c>
      <c r="F13" s="42">
        <f>D13*E13</f>
        <v>376118.56568596559</v>
      </c>
      <c r="G13" s="161" t="s">
        <v>587</v>
      </c>
      <c r="H13" s="190" t="s">
        <v>63</v>
      </c>
      <c r="I13" s="233">
        <f>'Расчёт-Бревно ОЦБ'!E253</f>
        <v>78.702582195111731</v>
      </c>
      <c r="J13" s="84">
        <f>'Данные ОЦБ'!J273</f>
        <v>16000</v>
      </c>
      <c r="K13" s="85">
        <f t="shared" ref="K13:K18" si="0">I13*J13</f>
        <v>1259241.3151217876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ОЦБ'!H253</f>
        <v>3251.9211189208586</v>
      </c>
      <c r="E14" s="163">
        <f>'Данные Брус'!E109</f>
        <v>5</v>
      </c>
      <c r="F14" s="42">
        <f>D14*E14</f>
        <v>16259.605594604292</v>
      </c>
      <c r="G14" s="161" t="s">
        <v>147</v>
      </c>
      <c r="H14" s="190" t="s">
        <v>148</v>
      </c>
      <c r="I14" s="453">
        <f>D14</f>
        <v>3251.9211189208586</v>
      </c>
      <c r="J14" s="84">
        <f>'Данные ОЦБ'!E17</f>
        <v>9</v>
      </c>
      <c r="K14" s="85">
        <f t="shared" si="0"/>
        <v>29267.290070287727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ОЦБ'!M253</f>
        <v>30</v>
      </c>
      <c r="J15" s="203">
        <f>'Данные ОЦБ'!E25</f>
        <v>60</v>
      </c>
      <c r="K15" s="85">
        <f t="shared" si="0"/>
        <v>1800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ОЦБ'!O253</f>
        <v>555</v>
      </c>
      <c r="J16" s="88">
        <f>'Данные ОЦБ'!E26</f>
        <v>21</v>
      </c>
      <c r="K16" s="160">
        <f t="shared" si="0"/>
        <v>11655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413178.17128056986</v>
      </c>
      <c r="G21" s="93"/>
      <c r="H21" s="94"/>
      <c r="I21" s="1238" t="s">
        <v>158</v>
      </c>
      <c r="J21" s="1238"/>
      <c r="K21" s="140">
        <f>SUM(K13:K20)</f>
        <v>1343722.271858742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влахность'!E42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82.197046470526445</v>
      </c>
      <c r="E47" s="132">
        <f>'Данные Брус'!E113</f>
        <v>500</v>
      </c>
      <c r="F47" s="130">
        <f>D47*E47</f>
        <v>41098.523235263223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1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ОЦБ'!E273</f>
        <v>1</v>
      </c>
      <c r="J50" s="130">
        <f>'Данные ОЦБ'!H273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ОЦБ'!D273</f>
        <v>2</v>
      </c>
      <c r="J51" s="139">
        <f>'Данные ОЦБ'!F273</f>
        <v>80000</v>
      </c>
      <c r="K51" s="130">
        <f t="shared" si="5"/>
        <v>160000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'Данные Брус'!D300</f>
        <v>0</v>
      </c>
      <c r="J52" s="139">
        <f>'Данные Брус'!F300</f>
        <v>0</v>
      </c>
      <c r="K52" s="130">
        <f t="shared" ref="K52" si="6">I52*J52</f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44298.523235263223</v>
      </c>
      <c r="G53" s="125"/>
      <c r="H53" s="126"/>
      <c r="I53" s="1285" t="s">
        <v>169</v>
      </c>
      <c r="J53" s="1286"/>
      <c r="K53" s="124">
        <f>SUM(K47:K52)</f>
        <v>252000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504876.69451583311</v>
      </c>
    </row>
    <row r="57" spans="1:11">
      <c r="C57" s="1195" t="s">
        <v>171</v>
      </c>
      <c r="D57" s="1195"/>
      <c r="E57" s="1195"/>
      <c r="F57" s="1195"/>
      <c r="G57" s="450">
        <f>G56*0.03</f>
        <v>15146.300835474993</v>
      </c>
    </row>
    <row r="58" spans="1:11">
      <c r="C58" s="1195" t="s">
        <v>172</v>
      </c>
      <c r="D58" s="1195"/>
      <c r="E58" s="1195"/>
      <c r="F58" s="1195"/>
      <c r="G58" s="450">
        <f>G56*0.16</f>
        <v>80780.271122533304</v>
      </c>
    </row>
    <row r="59" spans="1:11">
      <c r="C59" s="1195" t="s">
        <v>20</v>
      </c>
      <c r="D59" s="1195"/>
      <c r="E59" s="1195"/>
      <c r="F59" s="1195"/>
      <c r="G59" s="450">
        <f>G56+G57+G58</f>
        <v>600803.26647384139</v>
      </c>
    </row>
    <row r="60" spans="1:11">
      <c r="C60" s="1195" t="s">
        <v>173</v>
      </c>
      <c r="D60" s="1195"/>
      <c r="E60" s="1195"/>
      <c r="F60" s="1195"/>
      <c r="G60" s="450">
        <f>K21+K27+K33</f>
        <v>1376104.2212258307</v>
      </c>
    </row>
    <row r="61" spans="1:11">
      <c r="C61" s="1195" t="s">
        <v>174</v>
      </c>
      <c r="D61" s="1195"/>
      <c r="E61" s="1195"/>
      <c r="F61" s="1195"/>
      <c r="G61" s="450">
        <f>K53</f>
        <v>252000</v>
      </c>
    </row>
    <row r="62" spans="1:11">
      <c r="C62" s="1195" t="s">
        <v>20</v>
      </c>
      <c r="D62" s="1195"/>
      <c r="E62" s="1195"/>
      <c r="F62" s="1195"/>
      <c r="G62" s="450">
        <f>G60+G61</f>
        <v>1628104.2212258307</v>
      </c>
    </row>
    <row r="63" spans="1:11">
      <c r="C63" s="1246" t="s">
        <v>175</v>
      </c>
      <c r="D63" s="1246"/>
      <c r="E63" s="1246"/>
      <c r="F63" s="1246"/>
      <c r="G63" s="451">
        <f>G59+G62</f>
        <v>2228907.4876996721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15146.300835474993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2244053.788535147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scale="90" topLeftCell="A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BD83-6E0C-4C5A-B194-3B318B91B45D}">
  <sheetPr codeName="Sheet40"/>
  <dimension ref="A1:XFD84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ОЦБ'!D254</f>
        <v>82.6</v>
      </c>
      <c r="E13" s="41">
        <f>'Данные ОЦБ'!E38</f>
        <v>5000</v>
      </c>
      <c r="F13" s="42">
        <f>D13*E13</f>
        <v>413000</v>
      </c>
      <c r="G13" s="161" t="s">
        <v>617</v>
      </c>
      <c r="H13" s="190" t="s">
        <v>63</v>
      </c>
      <c r="I13" s="83">
        <f>'Расчёт-Бревно ОЦБ'!E254</f>
        <v>86.42</v>
      </c>
      <c r="J13" s="84">
        <f>'Данные ОЦБ'!J274</f>
        <v>16000</v>
      </c>
      <c r="K13" s="85">
        <f t="shared" ref="K13:K18" si="0">I13*J13</f>
        <v>1382720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ОЦБ'!H254</f>
        <v>2907.52</v>
      </c>
      <c r="E14" s="163">
        <f>'Данные Брус'!E109</f>
        <v>5</v>
      </c>
      <c r="F14" s="42">
        <f>D14*E14</f>
        <v>14537.6</v>
      </c>
      <c r="G14" s="161" t="s">
        <v>147</v>
      </c>
      <c r="H14" s="190" t="s">
        <v>148</v>
      </c>
      <c r="I14" s="453">
        <f>D14</f>
        <v>2907.52</v>
      </c>
      <c r="J14" s="84">
        <f>'Данные ОЦБ'!E18</f>
        <v>10</v>
      </c>
      <c r="K14" s="85">
        <f t="shared" si="0"/>
        <v>29075.200000000001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ОЦБ'!M254</f>
        <v>27</v>
      </c>
      <c r="J15" s="203">
        <f>'Данные ОЦБ'!E25</f>
        <v>60</v>
      </c>
      <c r="K15" s="85">
        <f t="shared" si="0"/>
        <v>1620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ОЦБ'!O254</f>
        <v>551</v>
      </c>
      <c r="J16" s="88">
        <f>'Данные ОЦБ'!E26</f>
        <v>21</v>
      </c>
      <c r="K16" s="160">
        <f t="shared" si="0"/>
        <v>11571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448337.6</v>
      </c>
      <c r="G21" s="93"/>
      <c r="H21" s="94"/>
      <c r="I21" s="1238" t="s">
        <v>158</v>
      </c>
      <c r="J21" s="1238"/>
      <c r="K21" s="140">
        <f>SUM(K13:K20)</f>
        <v>1466744.8666666667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89.573333333333323</v>
      </c>
      <c r="E47" s="132">
        <f>'Данные Брус'!E113</f>
        <v>500</v>
      </c>
      <c r="F47" s="130">
        <f>D47*E47</f>
        <v>44786.666666666664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ОЦБ'!E274</f>
        <v>1</v>
      </c>
      <c r="J50" s="130">
        <f>'Данные ОЦБ'!H274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ОЦБ'!D274</f>
        <v>2</v>
      </c>
      <c r="J51" s="139">
        <f>'Данные ОЦБ'!F274</f>
        <v>80000</v>
      </c>
      <c r="K51" s="130">
        <f t="shared" si="5"/>
        <v>160000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47986.666666666664</v>
      </c>
      <c r="G53" s="125"/>
      <c r="H53" s="126"/>
      <c r="I53" s="1285" t="s">
        <v>169</v>
      </c>
      <c r="J53" s="1286"/>
      <c r="K53" s="124">
        <f>SUM(K47:K52)</f>
        <v>252000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543724.2666666666</v>
      </c>
    </row>
    <row r="57" spans="1:11">
      <c r="C57" s="1195" t="s">
        <v>171</v>
      </c>
      <c r="D57" s="1195"/>
      <c r="E57" s="1195"/>
      <c r="F57" s="1195"/>
      <c r="G57" s="450">
        <f>G56*0.03</f>
        <v>16311.727999999997</v>
      </c>
    </row>
    <row r="58" spans="1:11">
      <c r="C58" s="1195" t="s">
        <v>172</v>
      </c>
      <c r="D58" s="1195"/>
      <c r="E58" s="1195"/>
      <c r="F58" s="1195"/>
      <c r="G58" s="450">
        <f>G56*0.16</f>
        <v>86995.882666666657</v>
      </c>
    </row>
    <row r="59" spans="1:11">
      <c r="C59" s="1195" t="s">
        <v>20</v>
      </c>
      <c r="D59" s="1195"/>
      <c r="E59" s="1195"/>
      <c r="F59" s="1195"/>
      <c r="G59" s="450">
        <f>G56+G57+G58</f>
        <v>647031.87733333325</v>
      </c>
    </row>
    <row r="60" spans="1:11">
      <c r="C60" s="1195" t="s">
        <v>173</v>
      </c>
      <c r="D60" s="1195"/>
      <c r="E60" s="1195"/>
      <c r="F60" s="1195"/>
      <c r="G60" s="450">
        <f>K21+K27+K33</f>
        <v>1499126.8160337554</v>
      </c>
    </row>
    <row r="61" spans="1:11">
      <c r="C61" s="1195" t="s">
        <v>174</v>
      </c>
      <c r="D61" s="1195"/>
      <c r="E61" s="1195"/>
      <c r="F61" s="1195"/>
      <c r="G61" s="450">
        <f>K53</f>
        <v>252000</v>
      </c>
    </row>
    <row r="62" spans="1:11">
      <c r="C62" s="1195" t="s">
        <v>20</v>
      </c>
      <c r="D62" s="1195"/>
      <c r="E62" s="1195"/>
      <c r="F62" s="1195"/>
      <c r="G62" s="450">
        <f>G60+G61</f>
        <v>1751126.8160337554</v>
      </c>
    </row>
    <row r="63" spans="1:11">
      <c r="C63" s="1246" t="s">
        <v>175</v>
      </c>
      <c r="D63" s="1246"/>
      <c r="E63" s="1246"/>
      <c r="F63" s="1246"/>
      <c r="G63" s="451">
        <f>G59+G62</f>
        <v>2398158.6933670887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16311.727999999997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2414470.4213670888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6AC5-1E63-4C58-8693-400C7D8453F6}">
  <sheetPr codeName="Sheet41"/>
  <dimension ref="A1:XFD84"/>
  <sheetViews>
    <sheetView topLeftCell="B4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ОЦБ'!D255</f>
        <v>90.699590799999996</v>
      </c>
      <c r="E13" s="41">
        <f>'Данные ОЦБ'!E39</f>
        <v>5000</v>
      </c>
      <c r="F13" s="42">
        <f>D13*E13</f>
        <v>453497.95399999997</v>
      </c>
      <c r="G13" s="161" t="s">
        <v>618</v>
      </c>
      <c r="H13" s="190" t="s">
        <v>63</v>
      </c>
      <c r="I13" s="83">
        <f>'Расчёт-Бревно ОЦБ'!E255</f>
        <v>94.894172359999999</v>
      </c>
      <c r="J13" s="84">
        <f>'Данные ОЦБ'!J275</f>
        <v>16000</v>
      </c>
      <c r="K13" s="85">
        <f t="shared" ref="K13:K18" si="0">I13*J13</f>
        <v>1518306.7577599999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ОЦБ'!H255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si="0"/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ОЦБ'!M255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ОЦБ'!O255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1599231.8160451066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влахность'!J42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ОЦБ'!E275</f>
        <v>0</v>
      </c>
      <c r="J50" s="130">
        <f>'Данные ОЦБ'!H275</f>
        <v>70000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ОЦБ'!D275</f>
        <v>3</v>
      </c>
      <c r="J51" s="139">
        <f>'Данные ОЦБ'!F275</f>
        <v>80000</v>
      </c>
      <c r="K51" s="130">
        <f t="shared" si="5"/>
        <v>240000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ОЦБ'!F33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262000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1631613.7654121954</v>
      </c>
    </row>
    <row r="61" spans="1:11">
      <c r="C61" s="1195" t="s">
        <v>174</v>
      </c>
      <c r="D61" s="1195"/>
      <c r="E61" s="1195"/>
      <c r="F61" s="1195"/>
      <c r="G61" s="450">
        <f>K53</f>
        <v>262000</v>
      </c>
    </row>
    <row r="62" spans="1:11">
      <c r="C62" s="1195" t="s">
        <v>20</v>
      </c>
      <c r="D62" s="1195"/>
      <c r="E62" s="1195"/>
      <c r="F62" s="1195"/>
      <c r="G62" s="450">
        <f>G60+G61</f>
        <v>1893613.7654121954</v>
      </c>
    </row>
    <row r="63" spans="1:11">
      <c r="C63" s="1246" t="s">
        <v>175</v>
      </c>
      <c r="D63" s="1246"/>
      <c r="E63" s="1246"/>
      <c r="F63" s="1246"/>
      <c r="G63" s="451">
        <f>G59+G62</f>
        <v>2591970.1585445004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2609575.781900777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40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B4B5-9B9E-4A92-820E-23667E66AE38}">
  <sheetPr codeName="Sheet42"/>
  <dimension ref="A1:XFD84"/>
  <sheetViews>
    <sheetView topLeftCell="A37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ОЦБ'!D256</f>
        <v>102.29634978009719</v>
      </c>
      <c r="E13" s="41">
        <f>'Данные ОЦБ'!E40</f>
        <v>5000</v>
      </c>
      <c r="F13" s="42">
        <f>D13*E13</f>
        <v>511481.74890048592</v>
      </c>
      <c r="G13" s="161" t="s">
        <v>620</v>
      </c>
      <c r="H13" s="190" t="s">
        <v>63</v>
      </c>
      <c r="I13" s="83">
        <f>'Расчёт-Бревно ОЦБ'!E256</f>
        <v>107.02724634377724</v>
      </c>
      <c r="J13" s="84">
        <f>'Данные ОЦБ'!J276</f>
        <v>16000</v>
      </c>
      <c r="K13" s="85">
        <f t="shared" ref="K13:K18" si="0">I13*J13</f>
        <v>1712435.9415004358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ОЦБ'!H256</f>
        <v>2486.824263154163</v>
      </c>
      <c r="E14" s="163">
        <f>'Данные Брус'!E109</f>
        <v>5</v>
      </c>
      <c r="F14" s="42">
        <f>D14*E14</f>
        <v>12434.121315770815</v>
      </c>
      <c r="G14" s="161" t="s">
        <v>147</v>
      </c>
      <c r="H14" s="190" t="s">
        <v>148</v>
      </c>
      <c r="I14" s="453">
        <f>D14</f>
        <v>2486.824263154163</v>
      </c>
      <c r="J14" s="84">
        <f>'Данные ОЦБ'!E19</f>
        <v>10</v>
      </c>
      <c r="K14" s="85">
        <f t="shared" si="0"/>
        <v>24868.242631541631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ОЦБ'!M256</f>
        <v>23</v>
      </c>
      <c r="J15" s="203">
        <f>'Данные ОЦБ'!E25</f>
        <v>60</v>
      </c>
      <c r="K15" s="85">
        <f t="shared" si="0"/>
        <v>1380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ОЦБ'!O256</f>
        <v>566</v>
      </c>
      <c r="J16" s="88">
        <f>'Данные ОЦБ'!E26</f>
        <v>21</v>
      </c>
      <c r="K16" s="160">
        <f t="shared" si="0"/>
        <v>11886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544715.87021625671</v>
      </c>
      <c r="G21" s="93"/>
      <c r="H21" s="94"/>
      <c r="I21" s="1238" t="s">
        <v>158</v>
      </c>
      <c r="J21" s="1238"/>
      <c r="K21" s="140">
        <f>SUM(K13:K20)</f>
        <v>1792328.8507986441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влахность'!J42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109.26968311343052</v>
      </c>
      <c r="E47" s="132">
        <f>'Данные Брус'!E113</f>
        <v>500</v>
      </c>
      <c r="F47" s="130">
        <f>D47*E47</f>
        <v>54634.841556715255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ОЦБ'!E276</f>
        <v>1</v>
      </c>
      <c r="J50" s="130">
        <f>'Данные ОЦБ'!H276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ОЦБ'!D276</f>
        <v>3</v>
      </c>
      <c r="J51" s="139">
        <f>'Данные ОЦБ'!F276</f>
        <v>80000</v>
      </c>
      <c r="K51" s="130">
        <f t="shared" si="5"/>
        <v>240000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ОЦБ'!F34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57834.841556715255</v>
      </c>
      <c r="G53" s="125"/>
      <c r="H53" s="126"/>
      <c r="I53" s="1285" t="s">
        <v>169</v>
      </c>
      <c r="J53" s="1286"/>
      <c r="K53" s="124">
        <f>SUM(K47:K52)</f>
        <v>442000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649950.71177297202</v>
      </c>
    </row>
    <row r="57" spans="1:11">
      <c r="C57" s="1195" t="s">
        <v>171</v>
      </c>
      <c r="D57" s="1195"/>
      <c r="E57" s="1195"/>
      <c r="F57" s="1195"/>
      <c r="G57" s="450">
        <f>G56*0.03</f>
        <v>19498.52135318916</v>
      </c>
    </row>
    <row r="58" spans="1:11">
      <c r="C58" s="1195" t="s">
        <v>172</v>
      </c>
      <c r="D58" s="1195"/>
      <c r="E58" s="1195"/>
      <c r="F58" s="1195"/>
      <c r="G58" s="450">
        <f>G56*0.16</f>
        <v>103992.11388367553</v>
      </c>
    </row>
    <row r="59" spans="1:11">
      <c r="C59" s="1195" t="s">
        <v>20</v>
      </c>
      <c r="D59" s="1195"/>
      <c r="E59" s="1195"/>
      <c r="F59" s="1195"/>
      <c r="G59" s="450">
        <f>G56+G57+G58</f>
        <v>773441.3470098367</v>
      </c>
    </row>
    <row r="60" spans="1:11">
      <c r="C60" s="1195" t="s">
        <v>173</v>
      </c>
      <c r="D60" s="1195"/>
      <c r="E60" s="1195"/>
      <c r="F60" s="1195"/>
      <c r="G60" s="450">
        <f>K21+K27+K33</f>
        <v>1824710.8001657329</v>
      </c>
    </row>
    <row r="61" spans="1:11">
      <c r="C61" s="1195" t="s">
        <v>174</v>
      </c>
      <c r="D61" s="1195"/>
      <c r="E61" s="1195"/>
      <c r="F61" s="1195"/>
      <c r="G61" s="450">
        <f>K53</f>
        <v>442000</v>
      </c>
    </row>
    <row r="62" spans="1:11">
      <c r="C62" s="1195" t="s">
        <v>20</v>
      </c>
      <c r="D62" s="1195"/>
      <c r="E62" s="1195"/>
      <c r="F62" s="1195"/>
      <c r="G62" s="450">
        <f>G60+G61</f>
        <v>2266710.8001657329</v>
      </c>
    </row>
    <row r="63" spans="1:11">
      <c r="C63" s="1246" t="s">
        <v>175</v>
      </c>
      <c r="D63" s="1246"/>
      <c r="E63" s="1246"/>
      <c r="F63" s="1246"/>
      <c r="G63" s="451">
        <f>G59+G62</f>
        <v>3040152.1471755696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19498.52135318916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3059650.6685287589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scale="90" topLeftCell="A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AE1E-DAEB-48E8-9248-13855E1804C7}">
  <sheetPr codeName="Sheet43"/>
  <dimension ref="A1:XFD84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ОЦБ'!D257</f>
        <v>113.23786505622661</v>
      </c>
      <c r="E13" s="41">
        <f>'Данные ОЦБ'!E41</f>
        <v>5000</v>
      </c>
      <c r="F13" s="42">
        <f>D13*E13</f>
        <v>566189.32528113306</v>
      </c>
      <c r="G13" s="161" t="s">
        <v>621</v>
      </c>
      <c r="H13" s="190" t="s">
        <v>63</v>
      </c>
      <c r="I13" s="83">
        <f>'Расчёт-Бревно ОЦБ'!E257</f>
        <v>118.47477358546131</v>
      </c>
      <c r="J13" s="84">
        <f>'Данные ОЦБ'!J277</f>
        <v>16500</v>
      </c>
      <c r="K13" s="85">
        <f t="shared" ref="K13:K18" si="0">I13*J13</f>
        <v>1954833.7641601115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ОЦБ'!H257</f>
        <v>2354.2152145189511</v>
      </c>
      <c r="E14" s="163">
        <f>'Данные Брус'!E109</f>
        <v>5</v>
      </c>
      <c r="F14" s="42">
        <f>D14*E14</f>
        <v>11771.076072594755</v>
      </c>
      <c r="G14" s="161" t="s">
        <v>147</v>
      </c>
      <c r="H14" s="190" t="s">
        <v>148</v>
      </c>
      <c r="I14" s="453">
        <f>D14</f>
        <v>2354.2152145189511</v>
      </c>
      <c r="J14" s="84">
        <f>'Данные ОЦБ'!E19</f>
        <v>10</v>
      </c>
      <c r="K14" s="85">
        <f t="shared" si="0"/>
        <v>23542.15214518951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ОЦБ'!M257</f>
        <v>22</v>
      </c>
      <c r="J15" s="203">
        <f>'Данные ОЦБ'!E25</f>
        <v>60</v>
      </c>
      <c r="K15" s="85">
        <f t="shared" si="0"/>
        <v>1320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ОЦБ'!O257</f>
        <v>580</v>
      </c>
      <c r="J16" s="88">
        <f>'Данные ОЦБ'!E26</f>
        <v>21</v>
      </c>
      <c r="K16" s="160">
        <f t="shared" si="0"/>
        <v>12180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598760.40135372779</v>
      </c>
      <c r="G21" s="93"/>
      <c r="H21" s="94"/>
      <c r="I21" s="1238" t="s">
        <v>158</v>
      </c>
      <c r="J21" s="1238"/>
      <c r="K21" s="140">
        <f>SUM(K13:K20)</f>
        <v>2033634.5829719678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КС и ПБКЛ'!E37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'Балки - КС и ПБКЛ'!E37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'Балки - КС и ПБКЛ'!E43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'Балки - КС и ПБКЛ'!E49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120.21119838955994</v>
      </c>
      <c r="E47" s="132">
        <f>'Данные Брус'!E113</f>
        <v>500</v>
      </c>
      <c r="F47" s="130">
        <f>D47*E47</f>
        <v>60105.59919477997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ОЦБ'!E277</f>
        <v>1</v>
      </c>
      <c r="J50" s="130">
        <f>'Данные ОЦБ'!H277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ОЦБ'!D277</f>
        <v>3</v>
      </c>
      <c r="J51" s="139">
        <f>'Данные ОЦБ'!F277</f>
        <v>80000</v>
      </c>
      <c r="K51" s="130">
        <f t="shared" si="5"/>
        <v>240000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ОЦБ'!F35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63305.59919477997</v>
      </c>
      <c r="G53" s="125"/>
      <c r="H53" s="126"/>
      <c r="I53" s="1285" t="s">
        <v>169</v>
      </c>
      <c r="J53" s="1286"/>
      <c r="K53" s="124">
        <f>SUM(K47:K52)</f>
        <v>442000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709466.00054850779</v>
      </c>
    </row>
    <row r="57" spans="1:11">
      <c r="C57" s="1195" t="s">
        <v>171</v>
      </c>
      <c r="D57" s="1195"/>
      <c r="E57" s="1195"/>
      <c r="F57" s="1195"/>
      <c r="G57" s="450">
        <f>G56*0.03</f>
        <v>21283.980016455233</v>
      </c>
    </row>
    <row r="58" spans="1:11">
      <c r="C58" s="1195" t="s">
        <v>172</v>
      </c>
      <c r="D58" s="1195"/>
      <c r="E58" s="1195"/>
      <c r="F58" s="1195"/>
      <c r="G58" s="450">
        <f>G56*0.16</f>
        <v>113514.56008776125</v>
      </c>
    </row>
    <row r="59" spans="1:11">
      <c r="C59" s="1195" t="s">
        <v>20</v>
      </c>
      <c r="D59" s="1195"/>
      <c r="E59" s="1195"/>
      <c r="F59" s="1195"/>
      <c r="G59" s="450">
        <f>G56+G57+G58</f>
        <v>844264.54065272433</v>
      </c>
    </row>
    <row r="60" spans="1:11">
      <c r="C60" s="1195" t="s">
        <v>173</v>
      </c>
      <c r="D60" s="1195"/>
      <c r="E60" s="1195"/>
      <c r="F60" s="1195"/>
      <c r="G60" s="450">
        <f>K21+K27+K33</f>
        <v>2066016.5323390565</v>
      </c>
    </row>
    <row r="61" spans="1:11">
      <c r="C61" s="1195" t="s">
        <v>174</v>
      </c>
      <c r="D61" s="1195"/>
      <c r="E61" s="1195"/>
      <c r="F61" s="1195"/>
      <c r="G61" s="450">
        <f>K53</f>
        <v>442000</v>
      </c>
    </row>
    <row r="62" spans="1:11">
      <c r="C62" s="1195" t="s">
        <v>20</v>
      </c>
      <c r="D62" s="1195"/>
      <c r="E62" s="1195"/>
      <c r="F62" s="1195"/>
      <c r="G62" s="450">
        <f>G60+G61</f>
        <v>2508016.5323390565</v>
      </c>
    </row>
    <row r="63" spans="1:11">
      <c r="C63" s="1246" t="s">
        <v>175</v>
      </c>
      <c r="D63" s="1246"/>
      <c r="E63" s="1246"/>
      <c r="F63" s="1246"/>
      <c r="G63" s="451">
        <f>G59+G62</f>
        <v>3352281.0729917809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21283.980016455233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3373565.053008236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63EE-ACC3-4157-8107-AA5EE1C83655}">
  <sheetPr codeName="Sheet44"/>
  <dimension ref="A1:XFD84"/>
  <sheetViews>
    <sheetView topLeftCell="B3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ОЦБ'!D258</f>
        <v>123.56255387845819</v>
      </c>
      <c r="E13" s="41">
        <f>'Данные ОЦБ'!E42</f>
        <v>5000</v>
      </c>
      <c r="F13" s="42">
        <f>D13*E13</f>
        <v>617812.76939229097</v>
      </c>
      <c r="G13" s="161" t="s">
        <v>622</v>
      </c>
      <c r="H13" s="190" t="s">
        <v>63</v>
      </c>
      <c r="I13" s="83">
        <f>'Расчёт-Бревно ОЦБ'!E258</f>
        <v>129.27694801666291</v>
      </c>
      <c r="J13" s="84">
        <f>'Данные ОЦБ'!J278</f>
        <v>16500</v>
      </c>
      <c r="K13" s="85">
        <f t="shared" ref="K13:K18" si="0">I13*J13</f>
        <v>2133069.6422749381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ОЦБ'!H258</f>
        <v>2014.0696282188685</v>
      </c>
      <c r="E14" s="163">
        <f>'Данные Брус'!E109</f>
        <v>5</v>
      </c>
      <c r="F14" s="42">
        <f>D14*E14</f>
        <v>10070.348141094342</v>
      </c>
      <c r="G14" s="161" t="s">
        <v>147</v>
      </c>
      <c r="H14" s="190" t="s">
        <v>148</v>
      </c>
      <c r="I14" s="453">
        <f>D14</f>
        <v>2014.0696282188685</v>
      </c>
      <c r="J14" s="84">
        <f>'Данные ОЦБ'!E19</f>
        <v>10</v>
      </c>
      <c r="K14" s="85">
        <f t="shared" si="0"/>
        <v>20140.696282188685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ОЦБ'!M258</f>
        <v>21</v>
      </c>
      <c r="J15" s="203">
        <f>'Данные ОЦБ'!E25</f>
        <v>60</v>
      </c>
      <c r="K15" s="85">
        <f t="shared" si="0"/>
        <v>1260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ОЦБ'!O258</f>
        <v>588</v>
      </c>
      <c r="J16" s="88">
        <f>'Данные ОЦБ'!E26</f>
        <v>21</v>
      </c>
      <c r="K16" s="160">
        <f t="shared" si="0"/>
        <v>12348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648683.11753338529</v>
      </c>
      <c r="G21" s="93"/>
      <c r="H21" s="94"/>
      <c r="I21" s="1238" t="s">
        <v>158</v>
      </c>
      <c r="J21" s="1238"/>
      <c r="K21" s="140">
        <f>SUM(K13:K20)</f>
        <v>2208577.0052237934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КС и ПБКЛ'!E37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'Балки - КС и ПБКЛ'!E37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'Балки - КС и ПБКЛ'!E43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'Балки - КС и ПБКЛ'!E49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130.53588721179153</v>
      </c>
      <c r="E47" s="132">
        <f>'Данные Брус'!E113</f>
        <v>500</v>
      </c>
      <c r="F47" s="130">
        <f>D47*E47</f>
        <v>65267.943605895765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ОЦБ'!E278</f>
        <v>0</v>
      </c>
      <c r="J50" s="130">
        <f>'Данные ОЦБ'!H278</f>
        <v>70000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ОЦБ'!D278</f>
        <v>4</v>
      </c>
      <c r="J51" s="139">
        <f>'Данные ОЦБ'!F278</f>
        <v>80000</v>
      </c>
      <c r="K51" s="130">
        <f t="shared" si="5"/>
        <v>320000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ОЦБ'!F36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68467.943605895765</v>
      </c>
      <c r="G53" s="125"/>
      <c r="H53" s="126"/>
      <c r="I53" s="1285" t="s">
        <v>169</v>
      </c>
      <c r="J53" s="1286"/>
      <c r="K53" s="124">
        <f>SUM(K47:K52)</f>
        <v>474000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764551.06113928102</v>
      </c>
    </row>
    <row r="57" spans="1:11">
      <c r="C57" s="1195" t="s">
        <v>171</v>
      </c>
      <c r="D57" s="1195"/>
      <c r="E57" s="1195"/>
      <c r="F57" s="1195"/>
      <c r="G57" s="450">
        <f>G56*0.03</f>
        <v>22936.53183417843</v>
      </c>
    </row>
    <row r="58" spans="1:11">
      <c r="C58" s="1195" t="s">
        <v>172</v>
      </c>
      <c r="D58" s="1195"/>
      <c r="E58" s="1195"/>
      <c r="F58" s="1195"/>
      <c r="G58" s="450">
        <f>G56*0.16</f>
        <v>122328.16978228497</v>
      </c>
    </row>
    <row r="59" spans="1:11">
      <c r="C59" s="1195" t="s">
        <v>20</v>
      </c>
      <c r="D59" s="1195"/>
      <c r="E59" s="1195"/>
      <c r="F59" s="1195"/>
      <c r="G59" s="450">
        <f>G56+G57+G58</f>
        <v>909815.76275574451</v>
      </c>
    </row>
    <row r="60" spans="1:11">
      <c r="C60" s="1195" t="s">
        <v>173</v>
      </c>
      <c r="D60" s="1195"/>
      <c r="E60" s="1195"/>
      <c r="F60" s="1195"/>
      <c r="G60" s="450">
        <f>K21+K27+K33</f>
        <v>2240958.9545908817</v>
      </c>
    </row>
    <row r="61" spans="1:11">
      <c r="C61" s="1195" t="s">
        <v>174</v>
      </c>
      <c r="D61" s="1195"/>
      <c r="E61" s="1195"/>
      <c r="F61" s="1195"/>
      <c r="G61" s="450">
        <f>K53</f>
        <v>474000</v>
      </c>
    </row>
    <row r="62" spans="1:11">
      <c r="C62" s="1195" t="s">
        <v>20</v>
      </c>
      <c r="D62" s="1195"/>
      <c r="E62" s="1195"/>
      <c r="F62" s="1195"/>
      <c r="G62" s="450">
        <f>G60+G61</f>
        <v>2714958.9545908817</v>
      </c>
    </row>
    <row r="63" spans="1:11">
      <c r="C63" s="1246" t="s">
        <v>175</v>
      </c>
      <c r="D63" s="1246"/>
      <c r="E63" s="1246"/>
      <c r="F63" s="1246"/>
      <c r="G63" s="451">
        <f>G59+G62</f>
        <v>3624774.7173466263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22936.53183417843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3647711.2491808049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3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71DF-7B1B-4442-9F00-4F6F32212F62}">
  <sheetPr codeName="Sheet45"/>
  <dimension ref="A1:XFD84"/>
  <sheetViews>
    <sheetView topLeftCell="B49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ОЦБ'!D259</f>
        <v>133.67899085214921</v>
      </c>
      <c r="E13" s="41">
        <f>'Данные ОЦБ'!E43</f>
        <v>5000</v>
      </c>
      <c r="F13" s="42">
        <f>D13*E13</f>
        <v>668394.95426074602</v>
      </c>
      <c r="G13" s="161" t="s">
        <v>623</v>
      </c>
      <c r="H13" s="190" t="s">
        <v>63</v>
      </c>
      <c r="I13" s="83">
        <f>'Расчёт-Бревно ОЦБ'!E259</f>
        <v>139.86123958163117</v>
      </c>
      <c r="J13" s="84">
        <f>'Данные ОЦБ'!J279</f>
        <v>17000</v>
      </c>
      <c r="K13" s="85">
        <f t="shared" ref="K13:K18" si="0">I13*J13</f>
        <v>2377641.0728877299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ОЦБ'!H259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ОЦБ'!E19</f>
        <v>10</v>
      </c>
      <c r="K14" s="85">
        <f t="shared" si="0"/>
        <v>20792.43023714329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ОЦБ'!M259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ОЦБ'!O259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2453743.1697915397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ОЦБ'!E278</f>
        <v>0</v>
      </c>
      <c r="J50" s="130">
        <f>'Данные ОЦБ'!H279</f>
        <v>70000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ОЦБ'!D278</f>
        <v>4</v>
      </c>
      <c r="J51" s="139">
        <f>'Данные ОЦБ'!F279</f>
        <v>80000</v>
      </c>
      <c r="K51" s="130">
        <f t="shared" si="5"/>
        <v>320000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ОЦБ'!F36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474000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2486125.1191586279</v>
      </c>
    </row>
    <row r="61" spans="1:11">
      <c r="C61" s="1195" t="s">
        <v>174</v>
      </c>
      <c r="D61" s="1195"/>
      <c r="E61" s="1195"/>
      <c r="F61" s="1195"/>
      <c r="G61" s="450">
        <f>K53</f>
        <v>474000</v>
      </c>
    </row>
    <row r="62" spans="1:11">
      <c r="C62" s="1195" t="s">
        <v>20</v>
      </c>
      <c r="D62" s="1195"/>
      <c r="E62" s="1195"/>
      <c r="F62" s="1195"/>
      <c r="G62" s="450">
        <f>G60+G61</f>
        <v>2960125.1191586279</v>
      </c>
    </row>
    <row r="63" spans="1:11">
      <c r="C63" s="1246" t="s">
        <v>175</v>
      </c>
      <c r="D63" s="1246"/>
      <c r="E63" s="1246"/>
      <c r="F63" s="1246"/>
      <c r="G63" s="451">
        <f>G59+G62</f>
        <v>3936540.7436103779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3961156.2635545395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49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B1D-1B10-4543-8B95-26D2A8558D1B}">
  <sheetPr codeName="Sheet46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ОЦБ'!D261</f>
        <v>82.6</v>
      </c>
      <c r="E13" s="41">
        <f>'Данные ОЦБ'!E45</f>
        <v>5000</v>
      </c>
      <c r="F13" s="42">
        <f>D13*E13</f>
        <v>413000</v>
      </c>
      <c r="G13" s="161" t="s">
        <v>625</v>
      </c>
      <c r="H13" s="190" t="s">
        <v>63</v>
      </c>
      <c r="I13" s="83">
        <f>'Расчёт-Бревно ОЦБ'!E261</f>
        <v>86.42</v>
      </c>
      <c r="J13" s="84">
        <f>'Данные ОЦБ'!J281</f>
        <v>23000</v>
      </c>
      <c r="K13" s="85">
        <f>I13*J13</f>
        <v>1987660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ОЦБ'!H261</f>
        <v>2907.52</v>
      </c>
      <c r="E14" s="163">
        <f>'Данные Брус'!E109</f>
        <v>5</v>
      </c>
      <c r="F14" s="42">
        <f>D14*E14</f>
        <v>14537.6</v>
      </c>
      <c r="G14" s="161" t="s">
        <v>147</v>
      </c>
      <c r="H14" s="190" t="s">
        <v>148</v>
      </c>
      <c r="I14" s="453">
        <f>D14</f>
        <v>2907.52</v>
      </c>
      <c r="J14" s="84">
        <f>'Данные ОЦБ'!E19</f>
        <v>10</v>
      </c>
      <c r="K14" s="85">
        <f t="shared" ref="K14:K18" si="0">I14*J14</f>
        <v>29075.200000000001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ОЦБ'!M261</f>
        <v>27</v>
      </c>
      <c r="J15" s="203">
        <f>'Данные ОЦБ'!E25</f>
        <v>60</v>
      </c>
      <c r="K15" s="85">
        <f t="shared" si="0"/>
        <v>1620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ОЦБ'!O261</f>
        <v>551</v>
      </c>
      <c r="J16" s="88">
        <f>'Данные ОЦБ'!E26</f>
        <v>21</v>
      </c>
      <c r="K16" s="160">
        <f t="shared" si="0"/>
        <v>11571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448337.6</v>
      </c>
      <c r="G21" s="93"/>
      <c r="H21" s="94"/>
      <c r="I21" s="1238" t="s">
        <v>158</v>
      </c>
      <c r="J21" s="1238"/>
      <c r="K21" s="140">
        <f>SUM(K13:K20)</f>
        <v>2071684.8666666667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89.573333333333323</v>
      </c>
      <c r="E47" s="132">
        <f>'Данные Брус'!E113</f>
        <v>500</v>
      </c>
      <c r="F47" s="130">
        <f>D47*E47</f>
        <v>44786.666666666664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ОЦБ'!E281</f>
        <v>1</v>
      </c>
      <c r="J50" s="130">
        <f>'Данные ОЦБ'!H281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ОЦБ'!D281</f>
        <v>3</v>
      </c>
      <c r="J51" s="139">
        <f>'Данные ОЦБ'!F281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ОЦБ'!F39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47986.666666666664</v>
      </c>
      <c r="G53" s="125"/>
      <c r="H53" s="126"/>
      <c r="I53" s="1285" t="s">
        <v>169</v>
      </c>
      <c r="J53" s="1286"/>
      <c r="K53" s="124">
        <f>SUM(K47:K52)</f>
        <v>602000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543724.2666666666</v>
      </c>
    </row>
    <row r="57" spans="1:11">
      <c r="C57" s="1195" t="s">
        <v>171</v>
      </c>
      <c r="D57" s="1195"/>
      <c r="E57" s="1195"/>
      <c r="F57" s="1195"/>
      <c r="G57" s="450">
        <f>G56*0.03</f>
        <v>16311.727999999997</v>
      </c>
    </row>
    <row r="58" spans="1:11">
      <c r="C58" s="1195" t="s">
        <v>172</v>
      </c>
      <c r="D58" s="1195"/>
      <c r="E58" s="1195"/>
      <c r="F58" s="1195"/>
      <c r="G58" s="450">
        <f>G56*0.16</f>
        <v>86995.882666666657</v>
      </c>
    </row>
    <row r="59" spans="1:11">
      <c r="C59" s="1195" t="s">
        <v>20</v>
      </c>
      <c r="D59" s="1195"/>
      <c r="E59" s="1195"/>
      <c r="F59" s="1195"/>
      <c r="G59" s="450">
        <f>G56+G57+G58</f>
        <v>647031.87733333325</v>
      </c>
    </row>
    <row r="60" spans="1:11">
      <c r="C60" s="1195" t="s">
        <v>173</v>
      </c>
      <c r="D60" s="1195"/>
      <c r="E60" s="1195"/>
      <c r="F60" s="1195"/>
      <c r="G60" s="450">
        <f>K21+K27+K33</f>
        <v>2104066.8160337554</v>
      </c>
    </row>
    <row r="61" spans="1:11">
      <c r="C61" s="1195" t="s">
        <v>174</v>
      </c>
      <c r="D61" s="1195"/>
      <c r="E61" s="1195"/>
      <c r="F61" s="1195"/>
      <c r="G61" s="450">
        <f>K53</f>
        <v>602000</v>
      </c>
    </row>
    <row r="62" spans="1:11">
      <c r="C62" s="1195" t="s">
        <v>20</v>
      </c>
      <c r="D62" s="1195"/>
      <c r="E62" s="1195"/>
      <c r="F62" s="1195"/>
      <c r="G62" s="450">
        <f>G60+G61</f>
        <v>2706066.8160337554</v>
      </c>
    </row>
    <row r="63" spans="1:11">
      <c r="C63" s="1246" t="s">
        <v>175</v>
      </c>
      <c r="D63" s="1246"/>
      <c r="E63" s="1246"/>
      <c r="F63" s="1246"/>
      <c r="G63" s="451">
        <f>G59+G62</f>
        <v>3353098.6933670887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16311.727999999997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3369410.4213670888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2D45-AAE5-4EA3-953F-70E03E836EBF}">
  <sheetPr codeName="Sheet47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ОЦБ'!D262</f>
        <v>90.699590799999996</v>
      </c>
      <c r="E13" s="41">
        <f>'Данные ОЦБ'!E46</f>
        <v>5000</v>
      </c>
      <c r="F13" s="42">
        <f>D13*E13</f>
        <v>453497.95399999997</v>
      </c>
      <c r="G13" s="161" t="s">
        <v>626</v>
      </c>
      <c r="H13" s="190" t="s">
        <v>63</v>
      </c>
      <c r="I13" s="83">
        <f>'Расчёт-Бревно ОЦБ'!E262</f>
        <v>94.894172359999999</v>
      </c>
      <c r="J13" s="84">
        <f>'Данные ОЦБ'!J282</f>
        <v>23000</v>
      </c>
      <c r="K13" s="85">
        <f>I13*J13</f>
        <v>2182565.96428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ОЦБ'!H262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ref="K14:K18" si="0">I14*J14</f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ОЦБ'!M262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ОЦБ'!O262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2263491.0225651064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ОЦБ'!E282</f>
        <v>1</v>
      </c>
      <c r="J50" s="130">
        <f>'Данные ОЦБ'!H282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ОЦБ'!D282</f>
        <v>3</v>
      </c>
      <c r="J51" s="139">
        <f>'Данные ОЦБ'!F282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ОЦБ'!F40</f>
        <v>4</v>
      </c>
      <c r="J52" s="139">
        <f>'Данные ОЦБ'!E33</f>
        <v>22000</v>
      </c>
      <c r="K52" s="130">
        <f t="shared" si="5"/>
        <v>88000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690000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2295872.9719321947</v>
      </c>
    </row>
    <row r="61" spans="1:11">
      <c r="C61" s="1195" t="s">
        <v>174</v>
      </c>
      <c r="D61" s="1195"/>
      <c r="E61" s="1195"/>
      <c r="F61" s="1195"/>
      <c r="G61" s="450">
        <f>K53</f>
        <v>690000</v>
      </c>
    </row>
    <row r="62" spans="1:11">
      <c r="C62" s="1195" t="s">
        <v>20</v>
      </c>
      <c r="D62" s="1195"/>
      <c r="E62" s="1195"/>
      <c r="F62" s="1195"/>
      <c r="G62" s="450">
        <f>G60+G61</f>
        <v>2985872.9719321947</v>
      </c>
    </row>
    <row r="63" spans="1:11">
      <c r="C63" s="1246" t="s">
        <v>175</v>
      </c>
      <c r="D63" s="1246"/>
      <c r="E63" s="1246"/>
      <c r="F63" s="1246"/>
      <c r="G63" s="451">
        <f>G59+G62</f>
        <v>3684229.3650644999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3701834.9884207766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5F74-DA47-4663-9E16-E0BCFE89247E}">
  <sheetPr codeName="Sheet48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ОЦБ'!D263</f>
        <v>102.29634978009719</v>
      </c>
      <c r="E13" s="41">
        <f>'Данные ОЦБ'!E47</f>
        <v>5000</v>
      </c>
      <c r="F13" s="42">
        <f>D13*E13</f>
        <v>511481.74890048592</v>
      </c>
      <c r="G13" s="161" t="s">
        <v>627</v>
      </c>
      <c r="H13" s="190" t="s">
        <v>63</v>
      </c>
      <c r="I13" s="83">
        <f>'Расчёт-Бревно ОЦБ'!E263</f>
        <v>107.02724634377724</v>
      </c>
      <c r="J13" s="84">
        <f>'Данные ОЦБ'!J283</f>
        <v>23000</v>
      </c>
      <c r="K13" s="85">
        <f>I13*J13</f>
        <v>2461626.6659068763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ОЦБ'!H263</f>
        <v>2486.824263154163</v>
      </c>
      <c r="E14" s="163">
        <f>'Данные Брус'!E109</f>
        <v>5</v>
      </c>
      <c r="F14" s="42">
        <f>D14*E14</f>
        <v>12434.121315770815</v>
      </c>
      <c r="G14" s="161" t="s">
        <v>147</v>
      </c>
      <c r="H14" s="190" t="s">
        <v>148</v>
      </c>
      <c r="I14" s="453">
        <f>D14</f>
        <v>2486.824263154163</v>
      </c>
      <c r="J14" s="84">
        <f>'Данные ОЦБ'!E20</f>
        <v>11</v>
      </c>
      <c r="K14" s="85">
        <f t="shared" ref="K14:K18" si="0">I14*J14</f>
        <v>27355.066894695792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ОЦБ'!M263</f>
        <v>23</v>
      </c>
      <c r="J15" s="203">
        <f>'Данные ОЦБ'!E25</f>
        <v>60</v>
      </c>
      <c r="K15" s="85">
        <f t="shared" si="0"/>
        <v>1380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ОЦБ'!O263</f>
        <v>566</v>
      </c>
      <c r="J16" s="88">
        <f>'Данные ОЦБ'!E26</f>
        <v>21</v>
      </c>
      <c r="K16" s="160">
        <f t="shared" si="0"/>
        <v>11886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544715.87021625671</v>
      </c>
      <c r="G21" s="93"/>
      <c r="H21" s="94"/>
      <c r="I21" s="1238" t="s">
        <v>158</v>
      </c>
      <c r="J21" s="1238"/>
      <c r="K21" s="140">
        <f>SUM(K13:K20)</f>
        <v>2544006.3994682385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109.26968311343052</v>
      </c>
      <c r="E47" s="132">
        <f>'Данные Брус'!E113</f>
        <v>500</v>
      </c>
      <c r="F47" s="130">
        <f>D47*E47</f>
        <v>54634.841556715255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ОЦБ'!E283</f>
        <v>0</v>
      </c>
      <c r="J50" s="130">
        <f>'Данные ОЦБ'!H283</f>
        <v>130000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ОЦБ'!D283</f>
        <v>4</v>
      </c>
      <c r="J51" s="139">
        <f>'Данные ОЦБ'!F283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ОЦБ'!F41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57834.841556715255</v>
      </c>
      <c r="G53" s="125"/>
      <c r="H53" s="126"/>
      <c r="I53" s="1285" t="s">
        <v>169</v>
      </c>
      <c r="J53" s="1286"/>
      <c r="K53" s="124">
        <f>SUM(K47:K52)</f>
        <v>732000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649950.71177297202</v>
      </c>
    </row>
    <row r="57" spans="1:11">
      <c r="C57" s="1195" t="s">
        <v>171</v>
      </c>
      <c r="D57" s="1195"/>
      <c r="E57" s="1195"/>
      <c r="F57" s="1195"/>
      <c r="G57" s="450">
        <f>G56*0.03</f>
        <v>19498.52135318916</v>
      </c>
    </row>
    <row r="58" spans="1:11">
      <c r="C58" s="1195" t="s">
        <v>172</v>
      </c>
      <c r="D58" s="1195"/>
      <c r="E58" s="1195"/>
      <c r="F58" s="1195"/>
      <c r="G58" s="450">
        <f>G56*0.16</f>
        <v>103992.11388367553</v>
      </c>
    </row>
    <row r="59" spans="1:11">
      <c r="C59" s="1195" t="s">
        <v>20</v>
      </c>
      <c r="D59" s="1195"/>
      <c r="E59" s="1195"/>
      <c r="F59" s="1195"/>
      <c r="G59" s="450">
        <f>G56+G57+G58</f>
        <v>773441.3470098367</v>
      </c>
    </row>
    <row r="60" spans="1:11">
      <c r="C60" s="1195" t="s">
        <v>173</v>
      </c>
      <c r="D60" s="1195"/>
      <c r="E60" s="1195"/>
      <c r="F60" s="1195"/>
      <c r="G60" s="450">
        <f>K21+K27+K33</f>
        <v>2576388.3488353267</v>
      </c>
    </row>
    <row r="61" spans="1:11">
      <c r="C61" s="1195" t="s">
        <v>174</v>
      </c>
      <c r="D61" s="1195"/>
      <c r="E61" s="1195"/>
      <c r="F61" s="1195"/>
      <c r="G61" s="450">
        <f>K53</f>
        <v>732000</v>
      </c>
    </row>
    <row r="62" spans="1:11">
      <c r="C62" s="1195" t="s">
        <v>20</v>
      </c>
      <c r="D62" s="1195"/>
      <c r="E62" s="1195"/>
      <c r="F62" s="1195"/>
      <c r="G62" s="450">
        <f>G60+G61</f>
        <v>3308388.3488353267</v>
      </c>
    </row>
    <row r="63" spans="1:11">
      <c r="C63" s="1246" t="s">
        <v>175</v>
      </c>
      <c r="D63" s="1246"/>
      <c r="E63" s="1246"/>
      <c r="F63" s="1246"/>
      <c r="G63" s="451">
        <f>G59+G62</f>
        <v>4081829.6958451634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19498.52135318916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4101328.2171983528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F690-3BE8-4375-ADA0-DDDEF25C30B0}">
  <sheetPr codeName="Sheet49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ОЦБ'!D264</f>
        <v>113.23786505622661</v>
      </c>
      <c r="E13" s="41">
        <f>'Данные ОЦБ'!E48</f>
        <v>5000</v>
      </c>
      <c r="F13" s="42">
        <f>D13*E13</f>
        <v>566189.32528113306</v>
      </c>
      <c r="G13" s="161" t="s">
        <v>628</v>
      </c>
      <c r="H13" s="190" t="s">
        <v>63</v>
      </c>
      <c r="I13" s="83">
        <f>'Расчёт-Бревно ОЦБ'!E264</f>
        <v>118.47477358546131</v>
      </c>
      <c r="J13" s="84">
        <f>'Данные ОЦБ'!J284</f>
        <v>23500</v>
      </c>
      <c r="K13" s="85">
        <f>I13*J13</f>
        <v>2784157.1792583405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ОЦБ'!H264</f>
        <v>2354.2152145189511</v>
      </c>
      <c r="E14" s="163">
        <f>'Данные Брус'!E109</f>
        <v>5</v>
      </c>
      <c r="F14" s="42">
        <f>D14*E14</f>
        <v>11771.076072594755</v>
      </c>
      <c r="G14" s="161" t="s">
        <v>147</v>
      </c>
      <c r="H14" s="190" t="s">
        <v>148</v>
      </c>
      <c r="I14" s="453">
        <f>D14</f>
        <v>2354.2152145189511</v>
      </c>
      <c r="J14" s="84">
        <f>'Данные ОЦБ'!E20</f>
        <v>11</v>
      </c>
      <c r="K14" s="85">
        <f t="shared" ref="K14:K18" si="0">I14*J14</f>
        <v>25896.367359708463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ОЦБ'!M264</f>
        <v>22</v>
      </c>
      <c r="J15" s="203">
        <f>'Данные ОЦБ'!E25</f>
        <v>60</v>
      </c>
      <c r="K15" s="85">
        <f t="shared" si="0"/>
        <v>1320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ОЦБ'!O264</f>
        <v>580</v>
      </c>
      <c r="J16" s="88">
        <f>'Данные ОЦБ'!E26</f>
        <v>21</v>
      </c>
      <c r="K16" s="160">
        <f t="shared" si="0"/>
        <v>12180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598760.40135372779</v>
      </c>
      <c r="G21" s="93"/>
      <c r="H21" s="94"/>
      <c r="I21" s="1238" t="s">
        <v>158</v>
      </c>
      <c r="J21" s="1238"/>
      <c r="K21" s="140">
        <f>SUM(K13:K20)</f>
        <v>2865312.2132847155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120.21119838955994</v>
      </c>
      <c r="E47" s="132">
        <f>'Данные Брус'!E113</f>
        <v>500</v>
      </c>
      <c r="F47" s="130">
        <f>D47*E47</f>
        <v>60105.59919477997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ОЦБ'!E284</f>
        <v>1</v>
      </c>
      <c r="J50" s="130">
        <f>'Данные ОЦБ'!H284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ОЦБ'!D284</f>
        <v>4</v>
      </c>
      <c r="J51" s="139">
        <f>'Данные ОЦБ'!F284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ОЦБ'!F42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63305.59919477997</v>
      </c>
      <c r="G53" s="125"/>
      <c r="H53" s="126"/>
      <c r="I53" s="1285" t="s">
        <v>169</v>
      </c>
      <c r="J53" s="1286"/>
      <c r="K53" s="124">
        <f>SUM(K47:K52)</f>
        <v>862000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709466.00054850779</v>
      </c>
    </row>
    <row r="57" spans="1:11">
      <c r="C57" s="1195" t="s">
        <v>171</v>
      </c>
      <c r="D57" s="1195"/>
      <c r="E57" s="1195"/>
      <c r="F57" s="1195"/>
      <c r="G57" s="450">
        <f>G56*0.03</f>
        <v>21283.980016455233</v>
      </c>
    </row>
    <row r="58" spans="1:11">
      <c r="C58" s="1195" t="s">
        <v>172</v>
      </c>
      <c r="D58" s="1195"/>
      <c r="E58" s="1195"/>
      <c r="F58" s="1195"/>
      <c r="G58" s="450">
        <f>G56*0.16</f>
        <v>113514.56008776125</v>
      </c>
    </row>
    <row r="59" spans="1:11">
      <c r="C59" s="1195" t="s">
        <v>20</v>
      </c>
      <c r="D59" s="1195"/>
      <c r="E59" s="1195"/>
      <c r="F59" s="1195"/>
      <c r="G59" s="450">
        <f>G56+G57+G58</f>
        <v>844264.54065272433</v>
      </c>
    </row>
    <row r="60" spans="1:11">
      <c r="C60" s="1195" t="s">
        <v>173</v>
      </c>
      <c r="D60" s="1195"/>
      <c r="E60" s="1195"/>
      <c r="F60" s="1195"/>
      <c r="G60" s="450">
        <f>K21+K27+K33</f>
        <v>2897694.1626518038</v>
      </c>
    </row>
    <row r="61" spans="1:11">
      <c r="C61" s="1195" t="s">
        <v>174</v>
      </c>
      <c r="D61" s="1195"/>
      <c r="E61" s="1195"/>
      <c r="F61" s="1195"/>
      <c r="G61" s="450">
        <f>K53</f>
        <v>862000</v>
      </c>
    </row>
    <row r="62" spans="1:11">
      <c r="C62" s="1195" t="s">
        <v>20</v>
      </c>
      <c r="D62" s="1195"/>
      <c r="E62" s="1195"/>
      <c r="F62" s="1195"/>
      <c r="G62" s="450">
        <f>G60+G61</f>
        <v>3759694.1626518038</v>
      </c>
    </row>
    <row r="63" spans="1:11">
      <c r="C63" s="1246" t="s">
        <v>175</v>
      </c>
      <c r="D63" s="1246"/>
      <c r="E63" s="1246"/>
      <c r="F63" s="1246"/>
      <c r="G63" s="451">
        <f>G59+G62</f>
        <v>4603958.7033045283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21283.980016455233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4625242.6833209833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F0AD-CC95-4372-B681-9455AD1F0D73}">
  <sheetPr codeName="Sheet50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ОЦБ'!D265</f>
        <v>123.56255387845819</v>
      </c>
      <c r="E13" s="41">
        <f>'Данные ОЦБ'!E49</f>
        <v>5000</v>
      </c>
      <c r="F13" s="42">
        <f>D13*E13</f>
        <v>617812.76939229097</v>
      </c>
      <c r="G13" s="161" t="s">
        <v>628</v>
      </c>
      <c r="H13" s="190" t="s">
        <v>63</v>
      </c>
      <c r="I13" s="83">
        <f>'Расчёт-Бревно ОЦБ'!E265</f>
        <v>129.27694801666291</v>
      </c>
      <c r="J13" s="84">
        <f>'Данные ОЦБ'!J285</f>
        <v>23500</v>
      </c>
      <c r="K13" s="85">
        <f>I13*J13</f>
        <v>3038008.2783915787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ОЦБ'!H265</f>
        <v>2215.4765910407555</v>
      </c>
      <c r="E14" s="163">
        <f>'Данные Брус'!E109</f>
        <v>5</v>
      </c>
      <c r="F14" s="42">
        <f>D14*E14</f>
        <v>11077.382955203777</v>
      </c>
      <c r="G14" s="161" t="s">
        <v>147</v>
      </c>
      <c r="H14" s="190" t="s">
        <v>148</v>
      </c>
      <c r="I14" s="453">
        <f>D14</f>
        <v>2215.4765910407555</v>
      </c>
      <c r="J14" s="84">
        <f>'Данные ОЦБ'!E20</f>
        <v>11</v>
      </c>
      <c r="K14" s="85">
        <f t="shared" ref="K14:K18" si="0">I14*J14</f>
        <v>24370.242501448309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ОЦБ'!M265</f>
        <v>21</v>
      </c>
      <c r="J15" s="203">
        <f>'Данные ОЦБ'!E25</f>
        <v>60</v>
      </c>
      <c r="K15" s="85">
        <f t="shared" si="0"/>
        <v>1260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ОЦБ'!O265</f>
        <v>588</v>
      </c>
      <c r="J16" s="88">
        <f>'Данные ОЦБ'!E26</f>
        <v>21</v>
      </c>
      <c r="K16" s="160">
        <f t="shared" si="0"/>
        <v>12348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649690.15234749473</v>
      </c>
      <c r="G21" s="93"/>
      <c r="H21" s="94"/>
      <c r="I21" s="1238" t="s">
        <v>158</v>
      </c>
      <c r="J21" s="1238"/>
      <c r="K21" s="140">
        <f>SUM(K13:K20)</f>
        <v>3117745.1875596936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130.53588721179153</v>
      </c>
      <c r="E47" s="132">
        <f>'Данные Брус'!E113</f>
        <v>500</v>
      </c>
      <c r="F47" s="130">
        <f>D47*E47</f>
        <v>65267.943605895765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ОЦБ'!E285</f>
        <v>1</v>
      </c>
      <c r="J50" s="130">
        <f>'Данные ОЦБ'!H285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ОЦБ'!D285</f>
        <v>4</v>
      </c>
      <c r="J51" s="139">
        <f>'Данные ОЦБ'!F285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ОЦБ'!F43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68467.943605895765</v>
      </c>
      <c r="G53" s="125"/>
      <c r="H53" s="126"/>
      <c r="I53" s="1285" t="s">
        <v>169</v>
      </c>
      <c r="J53" s="1286"/>
      <c r="K53" s="124">
        <f>SUM(K47:K52)</f>
        <v>884000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765558.09595339047</v>
      </c>
    </row>
    <row r="57" spans="1:11">
      <c r="C57" s="1195" t="s">
        <v>171</v>
      </c>
      <c r="D57" s="1195"/>
      <c r="E57" s="1195"/>
      <c r="F57" s="1195"/>
      <c r="G57" s="450">
        <f>G56*0.03</f>
        <v>22966.742878601712</v>
      </c>
    </row>
    <row r="58" spans="1:11">
      <c r="C58" s="1195" t="s">
        <v>172</v>
      </c>
      <c r="D58" s="1195"/>
      <c r="E58" s="1195"/>
      <c r="F58" s="1195"/>
      <c r="G58" s="450">
        <f>G56*0.16</f>
        <v>122489.29535254248</v>
      </c>
    </row>
    <row r="59" spans="1:11">
      <c r="C59" s="1195" t="s">
        <v>20</v>
      </c>
      <c r="D59" s="1195"/>
      <c r="E59" s="1195"/>
      <c r="F59" s="1195"/>
      <c r="G59" s="450">
        <f>G56+G57+G58</f>
        <v>911014.13418453466</v>
      </c>
    </row>
    <row r="60" spans="1:11">
      <c r="C60" s="1195" t="s">
        <v>173</v>
      </c>
      <c r="D60" s="1195"/>
      <c r="E60" s="1195"/>
      <c r="F60" s="1195"/>
      <c r="G60" s="450">
        <f>K21+K27+K33</f>
        <v>3150127.1369267819</v>
      </c>
    </row>
    <row r="61" spans="1:11">
      <c r="C61" s="1195" t="s">
        <v>174</v>
      </c>
      <c r="D61" s="1195"/>
      <c r="E61" s="1195"/>
      <c r="F61" s="1195"/>
      <c r="G61" s="450">
        <f>K53</f>
        <v>884000</v>
      </c>
    </row>
    <row r="62" spans="1:11">
      <c r="C62" s="1195" t="s">
        <v>20</v>
      </c>
      <c r="D62" s="1195"/>
      <c r="E62" s="1195"/>
      <c r="F62" s="1195"/>
      <c r="G62" s="450">
        <f>G60+G61</f>
        <v>4034127.1369267819</v>
      </c>
    </row>
    <row r="63" spans="1:11">
      <c r="C63" s="1246" t="s">
        <v>175</v>
      </c>
      <c r="D63" s="1246"/>
      <c r="E63" s="1246"/>
      <c r="F63" s="1246"/>
      <c r="G63" s="451">
        <f>G59+G62</f>
        <v>4945141.271111317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22966.742878601712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4968108.0139899189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D791-84A0-4D81-AF96-3F08E2A190C2}">
  <sheetPr codeName="Sheet51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ОЦБ'!D266</f>
        <v>133.67899085214921</v>
      </c>
      <c r="E13" s="41">
        <f>'Данные ОЦБ'!E50</f>
        <v>5000</v>
      </c>
      <c r="F13" s="42">
        <f>D13*E13</f>
        <v>668394.95426074602</v>
      </c>
      <c r="G13" s="161" t="s">
        <v>624</v>
      </c>
      <c r="H13" s="190" t="s">
        <v>63</v>
      </c>
      <c r="I13" s="83">
        <f>'Расчёт-Бревно ОЦБ'!E266</f>
        <v>139.86123958163117</v>
      </c>
      <c r="J13" s="84">
        <f>'Данные ОЦБ'!J286</f>
        <v>24000</v>
      </c>
      <c r="K13" s="85">
        <f>I13*J13</f>
        <v>3356669.749959148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ОЦБ'!H266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ОЦБ'!E20</f>
        <v>11</v>
      </c>
      <c r="K14" s="85">
        <f t="shared" ref="K14:K18" si="0">I14*J14</f>
        <v>22871.67326085762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ОЦБ'!M266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ОЦБ'!O266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3434851.0898866723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ОЦБ'!E286</f>
        <v>1</v>
      </c>
      <c r="J50" s="130">
        <f>'Данные ОЦБ'!H286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ОЦБ'!D286</f>
        <v>5</v>
      </c>
      <c r="J51" s="139">
        <f>'Данные ОЦБ'!F286</f>
        <v>150000</v>
      </c>
      <c r="K51" s="130">
        <f t="shared" si="5"/>
        <v>750000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ОЦБ'!F44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1034000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3467233.0392537606</v>
      </c>
    </row>
    <row r="61" spans="1:11">
      <c r="C61" s="1195" t="s">
        <v>174</v>
      </c>
      <c r="D61" s="1195"/>
      <c r="E61" s="1195"/>
      <c r="F61" s="1195"/>
      <c r="G61" s="450">
        <f>K53</f>
        <v>1034000</v>
      </c>
    </row>
    <row r="62" spans="1:11">
      <c r="C62" s="1195" t="s">
        <v>20</v>
      </c>
      <c r="D62" s="1195"/>
      <c r="E62" s="1195"/>
      <c r="F62" s="1195"/>
      <c r="G62" s="450">
        <f>G60+G61</f>
        <v>4501233.0392537601</v>
      </c>
    </row>
    <row r="63" spans="1:11">
      <c r="C63" s="1246" t="s">
        <v>175</v>
      </c>
      <c r="D63" s="1246"/>
      <c r="E63" s="1246"/>
      <c r="F63" s="1246"/>
      <c r="G63" s="451">
        <f>G59+G62</f>
        <v>5477648.6637055101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5502264.1836496722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12A0-E2E9-4569-A79B-DE46FF6BE951}">
  <sheetPr codeName="Sheet52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ОЦБ'!D268</f>
        <v>82.6</v>
      </c>
      <c r="E13" s="41">
        <f>'Данные ОЦБ'!E52</f>
        <v>5000</v>
      </c>
      <c r="F13" s="42">
        <f>D13*E13</f>
        <v>413000</v>
      </c>
      <c r="G13" s="161" t="s">
        <v>629</v>
      </c>
      <c r="H13" s="190" t="s">
        <v>63</v>
      </c>
      <c r="I13" s="83">
        <f>'Расчёт-Бревно ОЦБ'!E268</f>
        <v>86.42</v>
      </c>
      <c r="J13" s="84">
        <f>'Данные ОЦБ'!J288</f>
        <v>23000</v>
      </c>
      <c r="K13" s="85">
        <f>I13*J13</f>
        <v>1987660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ОЦБ'!H268</f>
        <v>2907.52</v>
      </c>
      <c r="E14" s="163">
        <f>'Данные Брус'!E109</f>
        <v>5</v>
      </c>
      <c r="F14" s="42">
        <f>D14*E14</f>
        <v>14537.6</v>
      </c>
      <c r="G14" s="161" t="s">
        <v>147</v>
      </c>
      <c r="H14" s="190" t="s">
        <v>148</v>
      </c>
      <c r="I14" s="453">
        <f>D14</f>
        <v>2907.52</v>
      </c>
      <c r="J14" s="84">
        <f>'Данные ОЦБ'!E18</f>
        <v>10</v>
      </c>
      <c r="K14" s="85">
        <f t="shared" ref="K14:K18" si="0">I14*J14</f>
        <v>29075.200000000001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ОЦБ'!M268</f>
        <v>27</v>
      </c>
      <c r="J15" s="203">
        <f>'Данные ОЦБ'!E25</f>
        <v>60</v>
      </c>
      <c r="K15" s="85">
        <f t="shared" si="0"/>
        <v>1620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ОЦБ'!O268</f>
        <v>551</v>
      </c>
      <c r="J16" s="88">
        <f>'Данные ОЦБ'!E26</f>
        <v>21</v>
      </c>
      <c r="K16" s="160">
        <f t="shared" si="0"/>
        <v>11571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448337.6</v>
      </c>
      <c r="G21" s="93"/>
      <c r="H21" s="94"/>
      <c r="I21" s="1238" t="s">
        <v>158</v>
      </c>
      <c r="J21" s="1238"/>
      <c r="K21" s="140">
        <f>SUM(K13:K20)</f>
        <v>2071684.8666666667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89.573333333333323</v>
      </c>
      <c r="E47" s="132">
        <f>'Данные Брус'!E113</f>
        <v>500</v>
      </c>
      <c r="F47" s="130">
        <f>D47*E47</f>
        <v>44786.666666666664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ОЦБ'!E288</f>
        <v>1</v>
      </c>
      <c r="J50" s="130">
        <f>'Данные ОЦБ'!H288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ОЦБ'!D288</f>
        <v>2</v>
      </c>
      <c r="J51" s="139">
        <f>'Данные ОЦБ'!F288</f>
        <v>150000</v>
      </c>
      <c r="K51" s="130">
        <f t="shared" si="5"/>
        <v>300000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ОЦБ'!F46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47986.666666666664</v>
      </c>
      <c r="G53" s="125"/>
      <c r="H53" s="126"/>
      <c r="I53" s="1285" t="s">
        <v>169</v>
      </c>
      <c r="J53" s="1286"/>
      <c r="K53" s="124">
        <f>SUM(K47:K52)</f>
        <v>452000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543724.2666666666</v>
      </c>
    </row>
    <row r="57" spans="1:11">
      <c r="C57" s="1195" t="s">
        <v>171</v>
      </c>
      <c r="D57" s="1195"/>
      <c r="E57" s="1195"/>
      <c r="F57" s="1195"/>
      <c r="G57" s="450">
        <f>G56*0.03</f>
        <v>16311.727999999997</v>
      </c>
    </row>
    <row r="58" spans="1:11">
      <c r="C58" s="1195" t="s">
        <v>172</v>
      </c>
      <c r="D58" s="1195"/>
      <c r="E58" s="1195"/>
      <c r="F58" s="1195"/>
      <c r="G58" s="450">
        <f>G56*0.16</f>
        <v>86995.882666666657</v>
      </c>
    </row>
    <row r="59" spans="1:11">
      <c r="C59" s="1195" t="s">
        <v>20</v>
      </c>
      <c r="D59" s="1195"/>
      <c r="E59" s="1195"/>
      <c r="F59" s="1195"/>
      <c r="G59" s="450">
        <f>G56+G57+G58</f>
        <v>647031.87733333325</v>
      </c>
    </row>
    <row r="60" spans="1:11">
      <c r="C60" s="1195" t="s">
        <v>173</v>
      </c>
      <c r="D60" s="1195"/>
      <c r="E60" s="1195"/>
      <c r="F60" s="1195"/>
      <c r="G60" s="450">
        <f>K21+K27+K33</f>
        <v>2104066.8160337554</v>
      </c>
    </row>
    <row r="61" spans="1:11">
      <c r="C61" s="1195" t="s">
        <v>174</v>
      </c>
      <c r="D61" s="1195"/>
      <c r="E61" s="1195"/>
      <c r="F61" s="1195"/>
      <c r="G61" s="450">
        <f>K53</f>
        <v>452000</v>
      </c>
    </row>
    <row r="62" spans="1:11">
      <c r="C62" s="1195" t="s">
        <v>20</v>
      </c>
      <c r="D62" s="1195"/>
      <c r="E62" s="1195"/>
      <c r="F62" s="1195"/>
      <c r="G62" s="450">
        <f>G60+G61</f>
        <v>2556066.8160337554</v>
      </c>
    </row>
    <row r="63" spans="1:11">
      <c r="C63" s="1246" t="s">
        <v>175</v>
      </c>
      <c r="D63" s="1246"/>
      <c r="E63" s="1246"/>
      <c r="F63" s="1246"/>
      <c r="G63" s="451">
        <f>G59+G62</f>
        <v>3203098.6933670887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16311.727999999997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3219410.4213670888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291-D4E7-4278-9325-C5A24193A074}">
  <sheetPr codeName="Sheet53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ОЦБ'!D269</f>
        <v>90.699590799999996</v>
      </c>
      <c r="E13" s="41">
        <f>'Данные ОЦБ'!E52</f>
        <v>5000</v>
      </c>
      <c r="F13" s="42">
        <f>D13*E13</f>
        <v>453497.95399999997</v>
      </c>
      <c r="G13" s="161" t="s">
        <v>630</v>
      </c>
      <c r="H13" s="190" t="s">
        <v>63</v>
      </c>
      <c r="I13" s="83">
        <f>'Расчёт-Бревно ОЦБ'!E269</f>
        <v>94.894172359999999</v>
      </c>
      <c r="J13" s="84">
        <f>'Данные ОЦБ'!J289</f>
        <v>23000</v>
      </c>
      <c r="K13" s="85">
        <f>I13*J13</f>
        <v>2182565.96428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ОЦБ'!H269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ref="K14:K18" si="0">I14*J14</f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ОЦБ'!M269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ОЦБ'!O269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2263491.0225651064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ОЦБ'!E289</f>
        <v>0</v>
      </c>
      <c r="J50" s="130">
        <f>'Данные ОЦБ'!H289</f>
        <v>130000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ОЦБ'!D289</f>
        <v>3</v>
      </c>
      <c r="J51" s="139">
        <f>'Данные ОЦБ'!F289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ОЦБ'!F47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472000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2295872.9719321947</v>
      </c>
    </row>
    <row r="61" spans="1:11">
      <c r="C61" s="1195" t="s">
        <v>174</v>
      </c>
      <c r="D61" s="1195"/>
      <c r="E61" s="1195"/>
      <c r="F61" s="1195"/>
      <c r="G61" s="450">
        <f>K53</f>
        <v>472000</v>
      </c>
    </row>
    <row r="62" spans="1:11">
      <c r="C62" s="1195" t="s">
        <v>20</v>
      </c>
      <c r="D62" s="1195"/>
      <c r="E62" s="1195"/>
      <c r="F62" s="1195"/>
      <c r="G62" s="450">
        <f>G60+G61</f>
        <v>2767872.9719321947</v>
      </c>
    </row>
    <row r="63" spans="1:11">
      <c r="C63" s="1246" t="s">
        <v>175</v>
      </c>
      <c r="D63" s="1246"/>
      <c r="E63" s="1246"/>
      <c r="F63" s="1246"/>
      <c r="G63" s="451">
        <f>G59+G62</f>
        <v>3466229.3650644999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3483834.9884207766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B8CF-EE54-4228-A6C3-66A7884B31CC}">
  <sheetPr codeName="Sheet54"/>
  <dimension ref="A1:XFD84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ОЦБ'!D269</f>
        <v>90.699590799999996</v>
      </c>
      <c r="E13" s="41">
        <f>'Данные ОЦБ'!E54</f>
        <v>5000</v>
      </c>
      <c r="F13" s="42">
        <f>D13*E13</f>
        <v>453497.95399999997</v>
      </c>
      <c r="G13" s="161" t="s">
        <v>631</v>
      </c>
      <c r="H13" s="190" t="s">
        <v>63</v>
      </c>
      <c r="I13" s="83">
        <f>'Расчёт-Бревно ОЦБ'!E269</f>
        <v>94.894172359999999</v>
      </c>
      <c r="J13" s="84">
        <f>'Данные ОЦБ'!J289</f>
        <v>23000</v>
      </c>
      <c r="K13" s="85">
        <f>I13*J13</f>
        <v>2182565.96428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ОЦБ'!H269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ref="K14:K18" si="0">I14*J14</f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ОЦБ'!M269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ОЦБ'!O269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2263491.0225651064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ОЦБ'!E290</f>
        <v>1</v>
      </c>
      <c r="J50" s="130">
        <f>'Данные ОЦБ'!H290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ОЦБ'!D290</f>
        <v>3</v>
      </c>
      <c r="J51" s="139">
        <f>'Данные ОЦБ'!F290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ОЦБ'!F48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712000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2295872.9719321947</v>
      </c>
    </row>
    <row r="61" spans="1:11">
      <c r="C61" s="1195" t="s">
        <v>174</v>
      </c>
      <c r="D61" s="1195"/>
      <c r="E61" s="1195"/>
      <c r="F61" s="1195"/>
      <c r="G61" s="450">
        <f>K53</f>
        <v>712000</v>
      </c>
    </row>
    <row r="62" spans="1:11">
      <c r="C62" s="1195" t="s">
        <v>20</v>
      </c>
      <c r="D62" s="1195"/>
      <c r="E62" s="1195"/>
      <c r="F62" s="1195"/>
      <c r="G62" s="450">
        <f>G60+G61</f>
        <v>3007872.9719321947</v>
      </c>
    </row>
    <row r="63" spans="1:11">
      <c r="C63" s="1246" t="s">
        <v>175</v>
      </c>
      <c r="D63" s="1246"/>
      <c r="E63" s="1246"/>
      <c r="F63" s="1246"/>
      <c r="G63" s="451">
        <f>G59+G62</f>
        <v>3706229.3650644999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3723834.9884207766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EB72-952F-4996-8E5E-D6F744857864}">
  <sheetPr codeName="Sheet55"/>
  <dimension ref="A1:XFD84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ОЦБ'!D271</f>
        <v>113.23786505622661</v>
      </c>
      <c r="E13" s="41">
        <f>'Данные ОЦБ'!E54</f>
        <v>5000</v>
      </c>
      <c r="F13" s="42">
        <f>D13*E13</f>
        <v>566189.32528113306</v>
      </c>
      <c r="G13" s="161" t="s">
        <v>632</v>
      </c>
      <c r="H13" s="190" t="s">
        <v>63</v>
      </c>
      <c r="I13" s="83">
        <f>'Расчёт-Бревно ОЦБ'!E271</f>
        <v>118.47477358546131</v>
      </c>
      <c r="J13" s="84">
        <f>'Данные ОЦБ'!J289</f>
        <v>23000</v>
      </c>
      <c r="K13" s="85">
        <f>I13*J13</f>
        <v>2724919.79246561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ОЦБ'!H271</f>
        <v>2354.2152145189511</v>
      </c>
      <c r="E14" s="163">
        <f>'Данные Брус'!E109</f>
        <v>5</v>
      </c>
      <c r="F14" s="42">
        <f>D14*E14</f>
        <v>11771.076072594755</v>
      </c>
      <c r="G14" s="161" t="s">
        <v>147</v>
      </c>
      <c r="H14" s="190" t="s">
        <v>148</v>
      </c>
      <c r="I14" s="453">
        <f>D14</f>
        <v>2354.2152145189511</v>
      </c>
      <c r="J14" s="84">
        <f>'Данные ОЦБ'!E19</f>
        <v>10</v>
      </c>
      <c r="K14" s="85">
        <f t="shared" ref="K14:K18" si="0">I14*J14</f>
        <v>23542.15214518951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ОЦБ'!M271</f>
        <v>22</v>
      </c>
      <c r="J15" s="203">
        <f>'Данные ОЦБ'!E25</f>
        <v>60</v>
      </c>
      <c r="K15" s="85">
        <f t="shared" si="0"/>
        <v>1320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ОЦБ'!O271</f>
        <v>580</v>
      </c>
      <c r="J16" s="88">
        <f>'Данные ОЦБ'!E26</f>
        <v>21</v>
      </c>
      <c r="K16" s="160">
        <f t="shared" si="0"/>
        <v>12180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598760.40135372779</v>
      </c>
      <c r="G21" s="93"/>
      <c r="H21" s="94"/>
      <c r="I21" s="1238" t="s">
        <v>158</v>
      </c>
      <c r="J21" s="1238"/>
      <c r="K21" s="140">
        <f>SUM(K13:K20)</f>
        <v>2803720.6112774662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120.21119838955994</v>
      </c>
      <c r="E47" s="132">
        <f>'Данные Брус'!E113</f>
        <v>500</v>
      </c>
      <c r="F47" s="130">
        <f>D47*E47</f>
        <v>60105.59919477997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ОЦБ'!E291</f>
        <v>1</v>
      </c>
      <c r="J50" s="130">
        <f>'Данные ОЦБ'!H291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ОЦБ'!D291</f>
        <v>3</v>
      </c>
      <c r="J51" s="139">
        <f>'Данные ОЦБ'!F291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ОЦБ'!F49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63305.59919477997</v>
      </c>
      <c r="G53" s="125"/>
      <c r="H53" s="126"/>
      <c r="I53" s="1285" t="s">
        <v>169</v>
      </c>
      <c r="J53" s="1286"/>
      <c r="K53" s="124">
        <f>SUM(K47:K52)</f>
        <v>712000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709466.00054850779</v>
      </c>
    </row>
    <row r="57" spans="1:11">
      <c r="C57" s="1195" t="s">
        <v>171</v>
      </c>
      <c r="D57" s="1195"/>
      <c r="E57" s="1195"/>
      <c r="F57" s="1195"/>
      <c r="G57" s="450">
        <f>G56*0.03</f>
        <v>21283.980016455233</v>
      </c>
    </row>
    <row r="58" spans="1:11">
      <c r="C58" s="1195" t="s">
        <v>172</v>
      </c>
      <c r="D58" s="1195"/>
      <c r="E58" s="1195"/>
      <c r="F58" s="1195"/>
      <c r="G58" s="450">
        <f>G56*0.16</f>
        <v>113514.56008776125</v>
      </c>
    </row>
    <row r="59" spans="1:11">
      <c r="C59" s="1195" t="s">
        <v>20</v>
      </c>
      <c r="D59" s="1195"/>
      <c r="E59" s="1195"/>
      <c r="F59" s="1195"/>
      <c r="G59" s="450">
        <f>G56+G57+G58</f>
        <v>844264.54065272433</v>
      </c>
    </row>
    <row r="60" spans="1:11">
      <c r="C60" s="1195" t="s">
        <v>173</v>
      </c>
      <c r="D60" s="1195"/>
      <c r="E60" s="1195"/>
      <c r="F60" s="1195"/>
      <c r="G60" s="450">
        <f>K21+K27+K33</f>
        <v>2836102.5606445544</v>
      </c>
    </row>
    <row r="61" spans="1:11">
      <c r="C61" s="1195" t="s">
        <v>174</v>
      </c>
      <c r="D61" s="1195"/>
      <c r="E61" s="1195"/>
      <c r="F61" s="1195"/>
      <c r="G61" s="450">
        <f>K53</f>
        <v>712000</v>
      </c>
    </row>
    <row r="62" spans="1:11">
      <c r="C62" s="1195" t="s">
        <v>20</v>
      </c>
      <c r="D62" s="1195"/>
      <c r="E62" s="1195"/>
      <c r="F62" s="1195"/>
      <c r="G62" s="450">
        <f>G60+G61</f>
        <v>3548102.5606445544</v>
      </c>
    </row>
    <row r="63" spans="1:11">
      <c r="C63" s="1246" t="s">
        <v>175</v>
      </c>
      <c r="D63" s="1246"/>
      <c r="E63" s="1246"/>
      <c r="F63" s="1246"/>
      <c r="G63" s="451">
        <f>G59+G62</f>
        <v>4392367.1012972789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21283.980016455233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4413651.0813137339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E7E-3C82-4280-855D-482163A286DA}">
  <sheetPr codeName="Sheet56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ОЦБ'!D272</f>
        <v>123.56255387845819</v>
      </c>
      <c r="E13" s="41">
        <f>'Данные ОЦБ'!E56</f>
        <v>5000</v>
      </c>
      <c r="F13" s="42">
        <f>D13*E13</f>
        <v>617812.76939229097</v>
      </c>
      <c r="G13" s="161" t="s">
        <v>633</v>
      </c>
      <c r="H13" s="190" t="s">
        <v>63</v>
      </c>
      <c r="I13" s="83">
        <f>'Расчёт-Бревно ОЦБ'!E272</f>
        <v>129.27694801666291</v>
      </c>
      <c r="J13" s="84">
        <f>'Данные ОЦБ'!J292</f>
        <v>23500</v>
      </c>
      <c r="K13" s="85">
        <f>I13*J13</f>
        <v>3038008.2783915787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ОЦБ'!H272</f>
        <v>2215.4765910407555</v>
      </c>
      <c r="E14" s="163">
        <f>'Данные Брус'!E109</f>
        <v>5</v>
      </c>
      <c r="F14" s="42">
        <f>D14*E14</f>
        <v>11077.382955203777</v>
      </c>
      <c r="G14" s="161" t="s">
        <v>147</v>
      </c>
      <c r="H14" s="190" t="s">
        <v>148</v>
      </c>
      <c r="I14" s="453">
        <f>D14</f>
        <v>2215.4765910407555</v>
      </c>
      <c r="J14" s="84">
        <f>'Данные ОЦБ'!E19</f>
        <v>10</v>
      </c>
      <c r="K14" s="85">
        <f t="shared" ref="K14:K18" si="0">I14*J14</f>
        <v>22154.765910407554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ОЦБ'!M272</f>
        <v>21</v>
      </c>
      <c r="J15" s="203">
        <f>'Данные ОЦБ'!E25</f>
        <v>60</v>
      </c>
      <c r="K15" s="85">
        <f t="shared" si="0"/>
        <v>1260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ОЦБ'!O272</f>
        <v>588</v>
      </c>
      <c r="J16" s="88">
        <f>'Данные ОЦБ'!E26</f>
        <v>21</v>
      </c>
      <c r="K16" s="160">
        <f t="shared" si="0"/>
        <v>12348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649690.15234749473</v>
      </c>
      <c r="G21" s="93"/>
      <c r="H21" s="94"/>
      <c r="I21" s="1238" t="s">
        <v>158</v>
      </c>
      <c r="J21" s="1238"/>
      <c r="K21" s="140">
        <f>SUM(K13:K20)</f>
        <v>3115529.7109686527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130.53588721179153</v>
      </c>
      <c r="E47" s="132">
        <f>'Данные Брус'!E113</f>
        <v>500</v>
      </c>
      <c r="F47" s="130">
        <f>D47*E47</f>
        <v>65267.943605895765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ОЦБ'!E292</f>
        <v>0</v>
      </c>
      <c r="J50" s="130">
        <f>'Данные ОЦБ'!H292</f>
        <v>130000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ОЦБ'!D292</f>
        <v>4</v>
      </c>
      <c r="J51" s="139">
        <f>'Данные ОЦБ'!F292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ОЦБ'!F49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68467.943605895765</v>
      </c>
      <c r="G53" s="125"/>
      <c r="H53" s="126"/>
      <c r="I53" s="1285" t="s">
        <v>169</v>
      </c>
      <c r="J53" s="1286"/>
      <c r="K53" s="124">
        <f>SUM(K47:K52)</f>
        <v>732000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765558.09595339047</v>
      </c>
    </row>
    <row r="57" spans="1:11">
      <c r="C57" s="1195" t="s">
        <v>171</v>
      </c>
      <c r="D57" s="1195"/>
      <c r="E57" s="1195"/>
      <c r="F57" s="1195"/>
      <c r="G57" s="450">
        <f>G56*0.03</f>
        <v>22966.742878601712</v>
      </c>
    </row>
    <row r="58" spans="1:11">
      <c r="C58" s="1195" t="s">
        <v>172</v>
      </c>
      <c r="D58" s="1195"/>
      <c r="E58" s="1195"/>
      <c r="F58" s="1195"/>
      <c r="G58" s="450">
        <f>G56*0.16</f>
        <v>122489.29535254248</v>
      </c>
    </row>
    <row r="59" spans="1:11">
      <c r="C59" s="1195" t="s">
        <v>20</v>
      </c>
      <c r="D59" s="1195"/>
      <c r="E59" s="1195"/>
      <c r="F59" s="1195"/>
      <c r="G59" s="450">
        <f>G56+G57+G58</f>
        <v>911014.13418453466</v>
      </c>
    </row>
    <row r="60" spans="1:11">
      <c r="C60" s="1195" t="s">
        <v>173</v>
      </c>
      <c r="D60" s="1195"/>
      <c r="E60" s="1195"/>
      <c r="F60" s="1195"/>
      <c r="G60" s="450">
        <f>K21+K27+K33</f>
        <v>3147911.660335741</v>
      </c>
    </row>
    <row r="61" spans="1:11">
      <c r="C61" s="1195" t="s">
        <v>174</v>
      </c>
      <c r="D61" s="1195"/>
      <c r="E61" s="1195"/>
      <c r="F61" s="1195"/>
      <c r="G61" s="450">
        <f>K53</f>
        <v>732000</v>
      </c>
    </row>
    <row r="62" spans="1:11">
      <c r="C62" s="1195" t="s">
        <v>20</v>
      </c>
      <c r="D62" s="1195"/>
      <c r="E62" s="1195"/>
      <c r="F62" s="1195"/>
      <c r="G62" s="450">
        <f>G60+G61</f>
        <v>3879911.660335741</v>
      </c>
    </row>
    <row r="63" spans="1:11">
      <c r="C63" s="1246" t="s">
        <v>175</v>
      </c>
      <c r="D63" s="1246"/>
      <c r="E63" s="1246"/>
      <c r="F63" s="1246"/>
      <c r="G63" s="451">
        <f>G59+G62</f>
        <v>4790925.7945202757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22966.742878601712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4813892.5373988776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3876-E496-491C-938A-5E89E5C78BEC}">
  <sheetPr codeName="Sheet57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ОЦБ'!D273</f>
        <v>133.67899085214921</v>
      </c>
      <c r="E13" s="41">
        <f>'Данные ОЦБ'!E56</f>
        <v>5000</v>
      </c>
      <c r="F13" s="42">
        <f>D13*E13</f>
        <v>668394.95426074602</v>
      </c>
      <c r="G13" s="161" t="s">
        <v>634</v>
      </c>
      <c r="H13" s="190" t="s">
        <v>63</v>
      </c>
      <c r="I13" s="83">
        <f>'Расчёт-Бревно ОЦБ'!E273</f>
        <v>139.86123958163117</v>
      </c>
      <c r="J13" s="84">
        <f>'Данные ОЦБ'!J293</f>
        <v>24000</v>
      </c>
      <c r="K13" s="85">
        <f>I13*J13</f>
        <v>3356669.749959148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ОЦБ'!H273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ОЦБ'!E23</f>
        <v>14</v>
      </c>
      <c r="K14" s="85">
        <f t="shared" ref="K14:K18" si="0">I14*J14</f>
        <v>29109.402332000605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ОЦБ'!M273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ОЦБ'!O273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3441088.8189578149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ОЦБ'!E293</f>
        <v>1</v>
      </c>
      <c r="J50" s="130">
        <f>'Данные ОЦБ'!H293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ОЦБ'!D293</f>
        <v>4</v>
      </c>
      <c r="J51" s="139">
        <f>'Данные ОЦБ'!F293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ОЦБ'!F51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884000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3473470.7683249032</v>
      </c>
    </row>
    <row r="61" spans="1:11">
      <c r="C61" s="1195" t="s">
        <v>174</v>
      </c>
      <c r="D61" s="1195"/>
      <c r="E61" s="1195"/>
      <c r="F61" s="1195"/>
      <c r="G61" s="450">
        <f>K53</f>
        <v>884000</v>
      </c>
    </row>
    <row r="62" spans="1:11">
      <c r="C62" s="1195" t="s">
        <v>20</v>
      </c>
      <c r="D62" s="1195"/>
      <c r="E62" s="1195"/>
      <c r="F62" s="1195"/>
      <c r="G62" s="450">
        <f>G60+G61</f>
        <v>4357470.7683249032</v>
      </c>
    </row>
    <row r="63" spans="1:11">
      <c r="C63" s="1246" t="s">
        <v>175</v>
      </c>
      <c r="D63" s="1246"/>
      <c r="E63" s="1246"/>
      <c r="F63" s="1246"/>
      <c r="G63" s="451">
        <f>G59+G62</f>
        <v>5333886.3927766532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5358501.9127208153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AABE-B7FA-44C9-903A-314144AE1481}">
  <sheetPr codeName="Sheet58"/>
  <dimension ref="A1:XFD84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ОЦБ'!D273</f>
        <v>133.67899085214921</v>
      </c>
      <c r="E13" s="41">
        <f>'Данные ОЦБ'!E56</f>
        <v>5000</v>
      </c>
      <c r="F13" s="42">
        <f>D13*E13</f>
        <v>668394.95426074602</v>
      </c>
      <c r="G13" s="161" t="s">
        <v>634</v>
      </c>
      <c r="H13" s="190" t="s">
        <v>63</v>
      </c>
      <c r="I13" s="83">
        <f>'Расчёт-Бревно ОЦБ'!E273</f>
        <v>139.86123958163117</v>
      </c>
      <c r="J13" s="84">
        <f>'Данные ОЦБ'!J293</f>
        <v>24000</v>
      </c>
      <c r="K13" s="85">
        <f>I13*J13</f>
        <v>3356669.749959148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ОЦБ'!H273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ОЦБ'!E23</f>
        <v>14</v>
      </c>
      <c r="K14" s="85">
        <f t="shared" ref="K14:K18" si="0">I14*J14</f>
        <v>29109.402332000605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ОЦБ'!M273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ОЦБ'!O273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3441088.8189578149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ОЦБ'!E293</f>
        <v>1</v>
      </c>
      <c r="J50" s="130">
        <f>'Данные ОЦБ'!H293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ОЦБ'!D293</f>
        <v>4</v>
      </c>
      <c r="J51" s="139">
        <f>'Данные ОЦБ'!F293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ОЦБ'!F51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884000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3473470.7683249032</v>
      </c>
    </row>
    <row r="61" spans="1:11">
      <c r="C61" s="1195" t="s">
        <v>174</v>
      </c>
      <c r="D61" s="1195"/>
      <c r="E61" s="1195"/>
      <c r="F61" s="1195"/>
      <c r="G61" s="450">
        <f>K53</f>
        <v>884000</v>
      </c>
    </row>
    <row r="62" spans="1:11">
      <c r="C62" s="1195" t="s">
        <v>20</v>
      </c>
      <c r="D62" s="1195"/>
      <c r="E62" s="1195"/>
      <c r="F62" s="1195"/>
      <c r="G62" s="450">
        <f>G60+G61</f>
        <v>4357470.7683249032</v>
      </c>
    </row>
    <row r="63" spans="1:11">
      <c r="C63" s="1246" t="s">
        <v>175</v>
      </c>
      <c r="D63" s="1246"/>
      <c r="E63" s="1246"/>
      <c r="F63" s="1246"/>
      <c r="G63" s="451">
        <f>G59+G62</f>
        <v>5333886.3927766532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5358501.9127208153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B3C8-A394-4B7B-9AA8-E37EE9645A34}">
  <sheetPr codeName="Sheet59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B85-0334-4C63-BA0C-C6D618591534}">
  <sheetPr codeName="Sheet6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590-9B84-4C40-9331-916D213A8998}">
  <sheetPr codeName="Sheet61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E52-871B-477F-B39A-470DE649A0D0}">
  <sheetPr codeName="Sheet62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FD8-0F32-47F5-9582-D34BB2452413}">
  <sheetPr codeName="Sheet63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54D1-BBEA-4E76-BFEE-F20811FA6A09}">
  <sheetPr codeName="Sheet64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096B-62CA-47E2-9A9E-2022BF6B9212}">
  <sheetPr codeName="Sheet65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A94D-7176-4012-AE11-A47C3F24CE4A}">
  <sheetPr codeName="Sheet66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A80-4DB5-447A-AE75-DCB44E1F2F85}">
  <sheetPr codeName="Sheet67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AEA3-2853-42C1-94AB-F5D7011F4AF1}">
  <sheetPr codeName="Sheet68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FA90-D7D9-4787-BCD0-E76B8BC60ADF}">
  <sheetPr codeName="Sheet69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6750-BCA1-4605-8F96-E1B41768C157}">
  <sheetPr codeName="Sheet7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2183-F644-4B45-8144-43C38F870863}">
  <sheetPr codeName="Sheet71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4D6-97F8-4110-B7CD-FA0A30F8C431}">
  <sheetPr codeName="Sheet72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D059-B565-452A-B994-35D3E4127556}">
  <sheetPr codeName="Sheet73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D189-824E-4EF8-A96F-797A1D4CE0ED}">
  <sheetPr codeName="Sheet74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CCE-BA4D-468A-8D95-0F21FB1E7F56}">
  <sheetPr codeName="Sheet75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06D-2C49-481A-B66F-951A142F6DD6}">
  <sheetPr codeName="Sheet76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E06-CF5A-4F28-AC4E-1706522424CD}">
  <sheetPr codeName="Sheet77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A14C-17F7-4218-A51A-59797C792062}">
  <sheetPr codeName="Sheet78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9B67-27C7-47CE-961F-5D17541BFA65}">
  <sheetPr codeName="Sheet79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E5CE-8AE1-4D23-A275-AB3366D0CC60}">
  <sheetPr codeName="Sheet8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C017-3FC8-4629-AAFD-0A473B85D7B1}">
  <sheetPr codeName="Sheet81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4065-A019-4A55-BFEC-22B6CE2B4B1E}">
  <sheetPr codeName="Sheet82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BD4B-0940-4B94-A9F9-C5764ED98CAA}">
  <sheetPr codeName="Sheet83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2A77-A6DC-47C0-B107-F9541955EA3B}">
  <sheetPr codeName="Sheet84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7314-6607-479A-BE1A-D2EB559F5C71}">
  <sheetPr codeName="Sheet85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0CF-20C9-4AFF-911A-A5EED4D90B02}">
  <sheetPr codeName="Sheet86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924F-4F02-4EF9-BF51-5FAAE35DC4D6}">
  <sheetPr codeName="Sheet87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1E0D-20B6-4E6D-8C1D-822991B10357}">
  <sheetPr codeName="Sheet88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E096-2FA4-4B39-8A80-331394BCC6C2}">
  <sheetPr codeName="Sheet89"/>
  <dimension ref="A1:XFD68"/>
  <sheetViews>
    <sheetView workbookViewId="0">
      <selection activeCell="J13" sqref="J13"/>
    </sheetView>
  </sheetViews>
  <sheetFormatPr baseColWidth="10" defaultColWidth="8.83203125" defaultRowHeight="15"/>
  <sheetData>
    <row r="1" spans="1:11">
      <c r="A1" t="s">
        <v>124</v>
      </c>
    </row>
    <row r="2" spans="1:11">
      <c r="A2" t="s">
        <v>125</v>
      </c>
    </row>
    <row r="3" spans="1:11">
      <c r="A3" t="s">
        <v>126</v>
      </c>
      <c r="H3" t="s">
        <v>127</v>
      </c>
    </row>
    <row r="4" spans="1:11">
      <c r="A4" t="s">
        <v>128</v>
      </c>
      <c r="H4" t="s">
        <v>129</v>
      </c>
    </row>
    <row r="5" spans="1:11">
      <c r="A5" t="s">
        <v>130</v>
      </c>
      <c r="J5" t="s">
        <v>131</v>
      </c>
    </row>
    <row r="6" spans="1:11">
      <c r="A6" t="s">
        <v>2938</v>
      </c>
      <c r="D6" t="s">
        <v>133</v>
      </c>
      <c r="I6" t="s">
        <v>2939</v>
      </c>
    </row>
    <row r="7" spans="1:11">
      <c r="A7" t="s">
        <v>135</v>
      </c>
    </row>
    <row r="8" spans="1:11">
      <c r="A8" t="s">
        <v>2926</v>
      </c>
    </row>
    <row r="9" spans="1:11">
      <c r="A9" t="s">
        <v>137</v>
      </c>
      <c r="B9" t="s">
        <v>138</v>
      </c>
      <c r="C9" t="s">
        <v>139</v>
      </c>
      <c r="D9" t="s">
        <v>2</v>
      </c>
      <c r="E9" t="s">
        <v>140</v>
      </c>
      <c r="F9" t="s">
        <v>141</v>
      </c>
      <c r="G9" t="s">
        <v>142</v>
      </c>
      <c r="H9" t="s">
        <v>139</v>
      </c>
      <c r="I9" t="s">
        <v>2</v>
      </c>
      <c r="J9" t="s">
        <v>143</v>
      </c>
      <c r="K9" t="s">
        <v>144</v>
      </c>
    </row>
    <row r="10" spans="1:1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2" spans="1:11">
      <c r="A12" t="s">
        <v>145</v>
      </c>
    </row>
    <row r="13" spans="1:11">
      <c r="A13" t="s">
        <v>146</v>
      </c>
      <c r="B13" t="s">
        <v>2927</v>
      </c>
      <c r="C13" t="s">
        <v>63</v>
      </c>
      <c r="D13" t="e">
        <f>I13</f>
        <v>#REF!</v>
      </c>
      <c r="E13">
        <f>'[3]1 ОБЩАЯ'!D267</f>
        <v>6000</v>
      </c>
      <c r="F13" t="e">
        <f>D13*E13</f>
        <v>#REF!</v>
      </c>
      <c r="G13" t="s">
        <v>2928</v>
      </c>
      <c r="H13" t="s">
        <v>63</v>
      </c>
      <c r="I13" t="e">
        <f>#REF!</f>
        <v>#REF!</v>
      </c>
      <c r="J13">
        <f>'[3]1 ОБЩАЯ'!K248</f>
        <v>14000</v>
      </c>
      <c r="K13" t="e">
        <f>I13*J13</f>
        <v>#REF!</v>
      </c>
    </row>
    <row r="14" spans="1:11">
      <c r="A14" t="s">
        <v>2929</v>
      </c>
      <c r="B14" t="s">
        <v>2930</v>
      </c>
      <c r="C14" t="s">
        <v>160</v>
      </c>
      <c r="D14" t="e">
        <f>#REF!</f>
        <v>#REF!</v>
      </c>
      <c r="E14">
        <f>'[3]1 ОБЩАЯ'!J129</f>
        <v>45</v>
      </c>
      <c r="F14" t="e">
        <f>D14*E14</f>
        <v>#REF!</v>
      </c>
      <c r="G14" t="s">
        <v>2931</v>
      </c>
      <c r="H14" t="s">
        <v>85</v>
      </c>
      <c r="I14" t="e">
        <f>#REF!</f>
        <v>#REF!</v>
      </c>
      <c r="J14">
        <f>'[3]1 ОБЩАЯ'!D145</f>
        <v>3500</v>
      </c>
      <c r="K14" t="e">
        <f t="shared" ref="K14" si="0">I14*J14</f>
        <v>#REF!</v>
      </c>
    </row>
    <row r="15" spans="1:11">
      <c r="A15" t="s">
        <v>164</v>
      </c>
      <c r="B15" t="s">
        <v>2932</v>
      </c>
      <c r="C15" t="s">
        <v>63</v>
      </c>
      <c r="D15" t="e">
        <f>#REF!</f>
        <v>#REF!</v>
      </c>
      <c r="E15">
        <f>'[3]1 ОБЩАЯ'!E267</f>
        <v>5000</v>
      </c>
      <c r="F15" t="e">
        <f>D15*E15</f>
        <v>#REF!</v>
      </c>
    </row>
    <row r="16" spans="1:11">
      <c r="A16" t="s">
        <v>196</v>
      </c>
      <c r="B16" t="s">
        <v>2933</v>
      </c>
      <c r="C16" t="s">
        <v>86</v>
      </c>
      <c r="D16" t="e">
        <f>I16</f>
        <v>#REF!</v>
      </c>
      <c r="E16">
        <f>'[3]1 ОБЩАЯ'!J122</f>
        <v>5</v>
      </c>
      <c r="F16" t="e">
        <f>D16*E16</f>
        <v>#REF!</v>
      </c>
      <c r="G16" t="s">
        <v>2934</v>
      </c>
      <c r="H16" t="s">
        <v>148</v>
      </c>
      <c r="I16" t="e">
        <f>#REF!</f>
        <v>#REF!</v>
      </c>
      <c r="J16">
        <f>'[3]1 ОБЩАЯ'!E225</f>
        <v>18</v>
      </c>
      <c r="K16" t="e">
        <f>I16*J16</f>
        <v>#REF!</v>
      </c>
    </row>
    <row r="17" spans="1:11">
      <c r="G17" t="s">
        <v>180</v>
      </c>
      <c r="H17" t="s">
        <v>182</v>
      </c>
      <c r="I17" t="e">
        <f>#REF!</f>
        <v>#REF!</v>
      </c>
      <c r="J17">
        <f>'[3]1 ОБЩАЯ'!D121</f>
        <v>60</v>
      </c>
      <c r="K17" t="e">
        <f t="shared" ref="K17:K20" si="1">I17*J17</f>
        <v>#REF!</v>
      </c>
    </row>
    <row r="18" spans="1:11">
      <c r="G18" t="s">
        <v>149</v>
      </c>
      <c r="H18" t="s">
        <v>85</v>
      </c>
      <c r="I18" t="e">
        <f>#REF!</f>
        <v>#REF!</v>
      </c>
      <c r="J18">
        <f>'[3]1 ОБЩАЯ'!D141</f>
        <v>25</v>
      </c>
      <c r="K18" t="e">
        <f t="shared" si="1"/>
        <v>#REF!</v>
      </c>
    </row>
    <row r="19" spans="1:11">
      <c r="A19" t="s">
        <v>225</v>
      </c>
      <c r="B19" t="s">
        <v>151</v>
      </c>
      <c r="C19" t="s">
        <v>85</v>
      </c>
      <c r="D19">
        <f>I19</f>
        <v>5</v>
      </c>
      <c r="E19" t="e">
        <f>#REF!</f>
        <v>#REF!</v>
      </c>
      <c r="F19" t="e">
        <f>D19*E19</f>
        <v>#REF!</v>
      </c>
      <c r="G19" t="s">
        <v>152</v>
      </c>
      <c r="H19" t="s">
        <v>85</v>
      </c>
      <c r="I19">
        <f>'[3]1 ОБЩАЯ'!C115</f>
        <v>5</v>
      </c>
      <c r="J19">
        <f>'[3]1 ОБЩАЯ'!D126</f>
        <v>1200</v>
      </c>
      <c r="K19">
        <f t="shared" si="1"/>
        <v>6000</v>
      </c>
    </row>
    <row r="20" spans="1:11">
      <c r="G20" t="s">
        <v>153</v>
      </c>
      <c r="H20" t="s">
        <v>85</v>
      </c>
      <c r="I20" t="e">
        <f>#REF!</f>
        <v>#REF!</v>
      </c>
      <c r="J20">
        <f>'[3]1 ОБЩАЯ'!D127</f>
        <v>13</v>
      </c>
      <c r="K20" t="e">
        <f t="shared" si="1"/>
        <v>#REF!</v>
      </c>
    </row>
    <row r="21" spans="1:11">
      <c r="A21" t="s">
        <v>224</v>
      </c>
      <c r="B21" t="s">
        <v>154</v>
      </c>
      <c r="C21" t="s">
        <v>150</v>
      </c>
      <c r="D21" t="e">
        <f>#REF!</f>
        <v>#REF!</v>
      </c>
      <c r="E21" t="e">
        <f>#REF!</f>
        <v>#REF!</v>
      </c>
      <c r="F21" t="e">
        <f>D21*E21</f>
        <v>#REF!</v>
      </c>
      <c r="G21" t="s">
        <v>155</v>
      </c>
      <c r="H21" t="s">
        <v>63</v>
      </c>
      <c r="I21" t="e">
        <f>#REF!</f>
        <v>#REF!</v>
      </c>
      <c r="J21">
        <f>'[3]1 ОБЩАЯ'!D135</f>
        <v>17000</v>
      </c>
      <c r="K21" t="e">
        <f>I21*J21</f>
        <v>#REF!</v>
      </c>
    </row>
    <row r="22" spans="1:11">
      <c r="G22" t="s">
        <v>194</v>
      </c>
      <c r="H22" t="s">
        <v>156</v>
      </c>
      <c r="I22" t="e">
        <f>#REF!</f>
        <v>#REF!</v>
      </c>
      <c r="J22" t="e">
        <f>#REF!</f>
        <v>#REF!</v>
      </c>
      <c r="K22" t="e">
        <f>I22*J22</f>
        <v>#REF!</v>
      </c>
    </row>
    <row r="23" spans="1:11">
      <c r="D23" t="s">
        <v>157</v>
      </c>
      <c r="F23" t="e">
        <f>SUM(F13:F22)</f>
        <v>#REF!</v>
      </c>
      <c r="I23" t="s">
        <v>158</v>
      </c>
      <c r="K23" t="e">
        <f>SUM(K13:K22)</f>
        <v>#REF!</v>
      </c>
    </row>
    <row r="24" spans="1:11">
      <c r="A24" t="s">
        <v>368</v>
      </c>
    </row>
    <row r="25" spans="1:11">
      <c r="A25" t="s">
        <v>146</v>
      </c>
      <c r="B25" t="s">
        <v>159</v>
      </c>
      <c r="C25" t="s">
        <v>160</v>
      </c>
      <c r="D25">
        <f>'[3]Балки - ест. влахность'!D29</f>
        <v>85.3</v>
      </c>
      <c r="E25">
        <f>'[3]Балки - ест. влахность'!E29</f>
        <v>600</v>
      </c>
      <c r="F25">
        <f>D25*E25</f>
        <v>51180</v>
      </c>
      <c r="G25" t="s">
        <v>550</v>
      </c>
      <c r="H25" t="s">
        <v>63</v>
      </c>
      <c r="I25">
        <f>'[3]Балки - ест. влахность'!I29</f>
        <v>1.92</v>
      </c>
      <c r="J25">
        <f>'[3]Балки - ест. влахность'!J29</f>
        <v>17000</v>
      </c>
      <c r="K25">
        <f>I25*J25</f>
        <v>32640</v>
      </c>
    </row>
    <row r="26" spans="1:11">
      <c r="G26" t="s">
        <v>89</v>
      </c>
      <c r="H26" t="s">
        <v>85</v>
      </c>
      <c r="I26">
        <f>'[3]Балки - ест. влахность'!I30</f>
        <v>64</v>
      </c>
      <c r="J26">
        <f>'[3]Балки - КС и ПБКЛ'!J30</f>
        <v>65</v>
      </c>
      <c r="K26">
        <f>I26*J26</f>
        <v>4160</v>
      </c>
    </row>
    <row r="27" spans="1:11">
      <c r="G27" t="s">
        <v>153</v>
      </c>
      <c r="H27" t="s">
        <v>85</v>
      </c>
      <c r="I27">
        <f>'[3]Балки - ест. влахность'!I31</f>
        <v>256</v>
      </c>
      <c r="J27">
        <f>'[3]Балки - КС и ПБКЛ'!J31</f>
        <v>13</v>
      </c>
      <c r="K27">
        <f t="shared" ref="K27:K28" si="2">I27*J27</f>
        <v>3328</v>
      </c>
    </row>
    <row r="28" spans="1:11">
      <c r="A28" t="s">
        <v>164</v>
      </c>
      <c r="B28" t="s">
        <v>2935</v>
      </c>
      <c r="C28" t="s">
        <v>160</v>
      </c>
      <c r="D28">
        <f>I25/0.06*3</f>
        <v>96</v>
      </c>
      <c r="E28">
        <f>'[3]1 ОБЩАЯ'!E206</f>
        <v>45</v>
      </c>
      <c r="F28">
        <f>D28*E28</f>
        <v>4320</v>
      </c>
      <c r="G28" t="s">
        <v>161</v>
      </c>
      <c r="H28" t="s">
        <v>156</v>
      </c>
      <c r="I28">
        <f>'[3]Балки - ест. влахность'!I32</f>
        <v>3.240506329113924</v>
      </c>
      <c r="J28">
        <f>'[3]Балки - КС и ПБКЛ'!J32</f>
        <v>380</v>
      </c>
      <c r="K28">
        <f t="shared" si="2"/>
        <v>1231.3924050632911</v>
      </c>
    </row>
    <row r="29" spans="1:11">
      <c r="D29" t="s">
        <v>157</v>
      </c>
      <c r="F29">
        <f>SUM(F25:F28)</f>
        <v>55500</v>
      </c>
      <c r="I29" t="s">
        <v>158</v>
      </c>
      <c r="K29">
        <f>SUM(K25:K28)</f>
        <v>41359.392405063292</v>
      </c>
    </row>
    <row r="30" spans="1:11">
      <c r="A30" t="s">
        <v>369</v>
      </c>
    </row>
    <row r="31" spans="1:11">
      <c r="A31">
        <v>1</v>
      </c>
      <c r="B31" t="s">
        <v>159</v>
      </c>
      <c r="C31" t="s">
        <v>160</v>
      </c>
      <c r="D31">
        <f>'[3]Балки - ест. влахность'!D36</f>
        <v>55</v>
      </c>
      <c r="E31">
        <f>'[3]Балки - ест. влахность'!E36</f>
        <v>600</v>
      </c>
      <c r="F31">
        <f>D31*E31</f>
        <v>33000</v>
      </c>
      <c r="G31" t="s">
        <v>588</v>
      </c>
      <c r="H31" t="s">
        <v>63</v>
      </c>
      <c r="I31">
        <f>'[3]Балки - ест. влахность'!I36</f>
        <v>0.77999999999999992</v>
      </c>
      <c r="J31">
        <f>'[3]Балки - ест. влахность'!J36</f>
        <v>17000</v>
      </c>
      <c r="K31">
        <f>I31*J31</f>
        <v>13259.999999999998</v>
      </c>
    </row>
    <row r="32" spans="1:11">
      <c r="G32" t="s">
        <v>89</v>
      </c>
      <c r="H32" t="s">
        <v>85</v>
      </c>
      <c r="I32">
        <f>'[3]Балки - ест. влахность'!I37</f>
        <v>54</v>
      </c>
      <c r="J32">
        <f>'[3]Балки - КС и ПБКЛ'!J38</f>
        <v>65</v>
      </c>
      <c r="K32">
        <f>I32*J32</f>
        <v>3510</v>
      </c>
    </row>
    <row r="33" spans="1:11">
      <c r="G33" t="s">
        <v>153</v>
      </c>
      <c r="H33" t="s">
        <v>85</v>
      </c>
      <c r="I33">
        <f>'[3]Балки - ест. влахность'!I38</f>
        <v>216</v>
      </c>
      <c r="J33">
        <f>'[3]Балки - КС и ПБКЛ'!J39</f>
        <v>13</v>
      </c>
      <c r="K33">
        <f>I33*J33</f>
        <v>2808</v>
      </c>
    </row>
    <row r="34" spans="1:11">
      <c r="A34" t="s">
        <v>164</v>
      </c>
      <c r="B34" t="s">
        <v>2935</v>
      </c>
      <c r="C34" t="s">
        <v>160</v>
      </c>
      <c r="D34">
        <f>I31/0.06*3</f>
        <v>38.999999999999993</v>
      </c>
      <c r="E34">
        <f>'[3]1 ОБЩАЯ'!E206</f>
        <v>45</v>
      </c>
      <c r="F34">
        <f>D34*E34</f>
        <v>1754.9999999999998</v>
      </c>
      <c r="G34" t="s">
        <v>161</v>
      </c>
      <c r="H34" t="s">
        <v>156</v>
      </c>
      <c r="I34">
        <f>'[3]Балки - ест. влахность'!I39</f>
        <v>2.7341772151898733</v>
      </c>
      <c r="J34">
        <f>'[3]Балки - КС и ПБКЛ'!J40</f>
        <v>380</v>
      </c>
      <c r="K34">
        <f t="shared" ref="K34" si="3">I34*J34</f>
        <v>1038.9873417721519</v>
      </c>
    </row>
    <row r="35" spans="1:11">
      <c r="D35" t="s">
        <v>157</v>
      </c>
      <c r="F35">
        <f>SUM(F31:F34)</f>
        <v>34755</v>
      </c>
      <c r="I35" t="s">
        <v>158</v>
      </c>
      <c r="K35">
        <f>SUM(K31:K34)</f>
        <v>20616.987341772154</v>
      </c>
    </row>
    <row r="36" spans="1:11">
      <c r="A36" t="s">
        <v>370</v>
      </c>
    </row>
    <row r="37" spans="1:11">
      <c r="A37">
        <v>1</v>
      </c>
      <c r="B37" t="s">
        <v>159</v>
      </c>
      <c r="C37" t="s">
        <v>160</v>
      </c>
      <c r="D37">
        <f>'[3]Балки - ест. влахность'!D42</f>
        <v>80</v>
      </c>
      <c r="E37">
        <f>'[3]Балки - ест. влахность'!E42</f>
        <v>600</v>
      </c>
      <c r="F37">
        <f>D37*E37</f>
        <v>48000</v>
      </c>
      <c r="G37" t="s">
        <v>550</v>
      </c>
      <c r="H37" t="s">
        <v>63</v>
      </c>
      <c r="I37">
        <f>'[3]Балки - ест. влахность'!I42</f>
        <v>0</v>
      </c>
      <c r="J37">
        <f>'[3]Балки - ест. влахность'!J42</f>
        <v>17000</v>
      </c>
      <c r="K37">
        <f>I37*J37</f>
        <v>0</v>
      </c>
    </row>
    <row r="38" spans="1:11">
      <c r="G38" t="s">
        <v>89</v>
      </c>
      <c r="H38" t="s">
        <v>85</v>
      </c>
      <c r="I38">
        <f>'[3]Балки - ест. влахность'!I43</f>
        <v>0</v>
      </c>
      <c r="J38">
        <f>'[3]Балки - КС и ПБКЛ'!J44</f>
        <v>65</v>
      </c>
      <c r="K38">
        <f>I38*J38</f>
        <v>0</v>
      </c>
    </row>
    <row r="39" spans="1:11">
      <c r="G39" t="s">
        <v>153</v>
      </c>
      <c r="H39" t="s">
        <v>85</v>
      </c>
      <c r="I39">
        <f>'[3]Балки - ест. влахность'!I44</f>
        <v>0</v>
      </c>
      <c r="J39">
        <f>'[3]Балки - КС и ПБКЛ'!J45</f>
        <v>13</v>
      </c>
      <c r="K39">
        <f>I39*J39</f>
        <v>0</v>
      </c>
    </row>
    <row r="40" spans="1:11">
      <c r="A40" t="s">
        <v>164</v>
      </c>
      <c r="B40" t="s">
        <v>2935</v>
      </c>
      <c r="C40" t="s">
        <v>160</v>
      </c>
      <c r="D40">
        <f>I37/0.06*3</f>
        <v>0</v>
      </c>
      <c r="E40">
        <f>'[3]1 ОБЩАЯ'!E206</f>
        <v>45</v>
      </c>
      <c r="F40">
        <f>D40*E40</f>
        <v>0</v>
      </c>
      <c r="G40" t="s">
        <v>161</v>
      </c>
      <c r="H40" t="s">
        <v>156</v>
      </c>
      <c r="I40">
        <f>'[3]Балки - ест. влахность'!I45</f>
        <v>0</v>
      </c>
      <c r="J40">
        <f>'[3]Балки - КС и ПБКЛ'!J46</f>
        <v>380</v>
      </c>
      <c r="K40">
        <f t="shared" ref="K40" si="4">I40*J40</f>
        <v>0</v>
      </c>
    </row>
    <row r="41" spans="1:11">
      <c r="D41" t="s">
        <v>157</v>
      </c>
      <c r="F41">
        <f>SUM(F37:F40)</f>
        <v>48000</v>
      </c>
      <c r="I41" t="s">
        <v>158</v>
      </c>
      <c r="K41">
        <f>SUM(K37:K40)</f>
        <v>0</v>
      </c>
    </row>
    <row r="42" spans="1:11">
      <c r="A42" t="s">
        <v>371</v>
      </c>
    </row>
    <row r="43" spans="1:11">
      <c r="A43">
        <v>1</v>
      </c>
      <c r="B43" t="s">
        <v>159</v>
      </c>
      <c r="C43" t="s">
        <v>160</v>
      </c>
      <c r="D43">
        <f>'[3]Балки - ест. влахность'!D48</f>
        <v>19.88</v>
      </c>
      <c r="E43">
        <f>'[3]Балки - ест. влахность'!E48</f>
        <v>600</v>
      </c>
      <c r="F43">
        <f>D43*E43</f>
        <v>11928</v>
      </c>
      <c r="G43" t="s">
        <v>550</v>
      </c>
      <c r="H43" t="s">
        <v>63</v>
      </c>
      <c r="I43">
        <f>'[3]Балки - ест. влахность'!I48</f>
        <v>0</v>
      </c>
      <c r="J43">
        <f>'[3]Балки - ест. влахность'!J48</f>
        <v>17000</v>
      </c>
      <c r="K43">
        <f>I43*J43</f>
        <v>0</v>
      </c>
    </row>
    <row r="44" spans="1:11">
      <c r="G44" t="s">
        <v>89</v>
      </c>
      <c r="H44" t="s">
        <v>85</v>
      </c>
      <c r="I44">
        <f>'[3]Балки - ест. влахность'!I49</f>
        <v>0</v>
      </c>
      <c r="J44">
        <f>'[3]Балки - КС и ПБКЛ'!J50</f>
        <v>65</v>
      </c>
      <c r="K44">
        <f>I44*J44</f>
        <v>0</v>
      </c>
    </row>
    <row r="45" spans="1:11">
      <c r="G45" t="s">
        <v>153</v>
      </c>
      <c r="H45" t="s">
        <v>85</v>
      </c>
      <c r="I45">
        <f>'[3]Балки - ест. влахность'!I50</f>
        <v>0</v>
      </c>
      <c r="J45">
        <f>'[3]Балки - КС и ПБКЛ'!J51</f>
        <v>13</v>
      </c>
      <c r="K45">
        <f>I45*J45</f>
        <v>0</v>
      </c>
    </row>
    <row r="46" spans="1:11">
      <c r="A46" t="s">
        <v>164</v>
      </c>
      <c r="B46" t="s">
        <v>2935</v>
      </c>
      <c r="C46" t="s">
        <v>160</v>
      </c>
      <c r="D46">
        <f>I43/0.06*3</f>
        <v>0</v>
      </c>
      <c r="E46">
        <f>'[3]1 ОБЩАЯ'!E206</f>
        <v>45</v>
      </c>
      <c r="F46">
        <f>D46*E46</f>
        <v>0</v>
      </c>
      <c r="G46" t="s">
        <v>161</v>
      </c>
      <c r="H46" t="s">
        <v>156</v>
      </c>
      <c r="I46">
        <f>'[3]Балки - ест. влахность'!I51</f>
        <v>0</v>
      </c>
      <c r="J46">
        <f>'[3]Балки - КС и ПБКЛ'!J52</f>
        <v>380</v>
      </c>
      <c r="K46">
        <f t="shared" ref="K46" si="5">I46*J46</f>
        <v>0</v>
      </c>
    </row>
    <row r="47" spans="1:11">
      <c r="D47" t="s">
        <v>157</v>
      </c>
      <c r="F47">
        <f>SUM(F43:F46)</f>
        <v>11928</v>
      </c>
      <c r="I47" t="s">
        <v>158</v>
      </c>
      <c r="K47">
        <f>SUM(K43:K46)</f>
        <v>0</v>
      </c>
    </row>
    <row r="48" spans="1:11">
      <c r="A48" t="s">
        <v>226</v>
      </c>
    </row>
    <row r="49" spans="1:11">
      <c r="A49" t="s">
        <v>146</v>
      </c>
      <c r="B49" t="s">
        <v>162</v>
      </c>
      <c r="C49" t="s">
        <v>63</v>
      </c>
      <c r="D49" t="e">
        <f>D15+I21+I25+I31+I37+I43</f>
        <v>#REF!</v>
      </c>
      <c r="E49" t="e">
        <f>#REF!</f>
        <v>#REF!</v>
      </c>
      <c r="F49" t="e">
        <f>D49*E49</f>
        <v>#REF!</v>
      </c>
      <c r="G49" t="s">
        <v>163</v>
      </c>
      <c r="H49" t="s">
        <v>150</v>
      </c>
      <c r="I49" t="e">
        <f>#REF!</f>
        <v>#REF!</v>
      </c>
      <c r="J49" t="e">
        <f>#REF!</f>
        <v>#REF!</v>
      </c>
      <c r="K49" t="e">
        <f t="shared" ref="K49:K54" si="6">I49*J49</f>
        <v>#REF!</v>
      </c>
    </row>
    <row r="50" spans="1:11">
      <c r="A50" t="s">
        <v>164</v>
      </c>
      <c r="B50" t="s">
        <v>165</v>
      </c>
      <c r="C50" t="s">
        <v>166</v>
      </c>
      <c r="D50">
        <f>'[3]1 ОБЩАЯ'!I127</f>
        <v>1</v>
      </c>
      <c r="E50">
        <f>'[3]1 ОБЩАЯ'!J127</f>
        <v>2000</v>
      </c>
      <c r="F50">
        <f>D50*E50</f>
        <v>2000</v>
      </c>
    </row>
    <row r="51" spans="1:11">
      <c r="G51" t="s">
        <v>373</v>
      </c>
      <c r="H51" t="s">
        <v>167</v>
      </c>
      <c r="I51" t="e">
        <f>#REF!</f>
        <v>#REF!</v>
      </c>
      <c r="J51" t="e">
        <f>#REF!</f>
        <v>#REF!</v>
      </c>
      <c r="K51" t="e">
        <f t="shared" si="6"/>
        <v>#REF!</v>
      </c>
    </row>
    <row r="52" spans="1:11">
      <c r="G52" t="s">
        <v>228</v>
      </c>
      <c r="H52" t="s">
        <v>168</v>
      </c>
      <c r="I52" t="e">
        <f>#REF!</f>
        <v>#REF!</v>
      </c>
      <c r="J52">
        <f>'[3]1 ОБЩАЯ'!J248</f>
        <v>130000</v>
      </c>
      <c r="K52" t="e">
        <f t="shared" si="6"/>
        <v>#REF!</v>
      </c>
    </row>
    <row r="53" spans="1:11">
      <c r="G53" t="s">
        <v>227</v>
      </c>
      <c r="H53" t="s">
        <v>168</v>
      </c>
      <c r="I53" t="e">
        <f>#REF!</f>
        <v>#REF!</v>
      </c>
      <c r="J53">
        <f>'[3]1 ОБЩАЯ'!I248</f>
        <v>150000</v>
      </c>
      <c r="K53" t="e">
        <f t="shared" si="6"/>
        <v>#REF!</v>
      </c>
    </row>
    <row r="54" spans="1:11">
      <c r="G54" t="s">
        <v>616</v>
      </c>
      <c r="H54" t="s">
        <v>167</v>
      </c>
      <c r="I54" t="e">
        <f>#REF!</f>
        <v>#REF!</v>
      </c>
      <c r="J54" t="e">
        <f>#REF!</f>
        <v>#REF!</v>
      </c>
      <c r="K54" t="e">
        <f t="shared" si="6"/>
        <v>#REF!</v>
      </c>
    </row>
    <row r="55" spans="1:11">
      <c r="D55" t="s">
        <v>157</v>
      </c>
      <c r="F55" t="e">
        <f>SUM(F49:F53)</f>
        <v>#REF!</v>
      </c>
      <c r="I55" t="s">
        <v>169</v>
      </c>
      <c r="K55" t="e">
        <f>SUM(K49:K54)</f>
        <v>#REF!</v>
      </c>
    </row>
    <row r="58" spans="1:11">
      <c r="C58" t="s">
        <v>170</v>
      </c>
      <c r="G58" t="e">
        <f>F23+F29+F35+F55+F41+F47</f>
        <v>#REF!</v>
      </c>
    </row>
    <row r="59" spans="1:11">
      <c r="C59" t="s">
        <v>171</v>
      </c>
      <c r="G59" t="e">
        <f>G58*0.03</f>
        <v>#REF!</v>
      </c>
    </row>
    <row r="60" spans="1:11">
      <c r="C60" t="s">
        <v>2936</v>
      </c>
      <c r="G60" t="e">
        <f>G58*0.2</f>
        <v>#REF!</v>
      </c>
    </row>
    <row r="61" spans="1:11">
      <c r="C61" t="s">
        <v>20</v>
      </c>
      <c r="G61" t="e">
        <f>G58+G59+G60</f>
        <v>#REF!</v>
      </c>
    </row>
    <row r="62" spans="1:11">
      <c r="C62" t="s">
        <v>173</v>
      </c>
      <c r="G62" t="e">
        <f>K23+K29+K35+K41+K47</f>
        <v>#REF!</v>
      </c>
    </row>
    <row r="63" spans="1:11">
      <c r="C63" t="s">
        <v>2937</v>
      </c>
      <c r="G63" t="e">
        <f>G62*0.05</f>
        <v>#REF!</v>
      </c>
    </row>
    <row r="64" spans="1:11">
      <c r="C64" t="s">
        <v>174</v>
      </c>
      <c r="G64" t="e">
        <f>K55</f>
        <v>#REF!</v>
      </c>
    </row>
    <row r="65" spans="3:7 16384:16384">
      <c r="C65" t="s">
        <v>20</v>
      </c>
      <c r="G65" t="e">
        <f>G62+G64+G63</f>
        <v>#REF!</v>
      </c>
    </row>
    <row r="66" spans="3:7 16384:16384">
      <c r="C66" t="s">
        <v>175</v>
      </c>
      <c r="G66" t="e">
        <f>G61+G65</f>
        <v>#REF!</v>
      </c>
      <c r="XFD66" t="e">
        <f>SUM(A66:XFC66)</f>
        <v>#REF!</v>
      </c>
    </row>
    <row r="67" spans="3:7 16384:16384">
      <c r="C67" t="s">
        <v>176</v>
      </c>
      <c r="G67" t="e">
        <f>G58*0.03</f>
        <v>#REF!</v>
      </c>
    </row>
    <row r="68" spans="3:7 16384:16384">
      <c r="C68" t="s">
        <v>177</v>
      </c>
      <c r="G68" t="e">
        <f>G66+G67</f>
        <v>#REF!</v>
      </c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D7E8-4F24-4B9F-BA8C-9F9A4B36B8E6}">
  <sheetPr codeName="Sheet9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Worksheet____4"/>
  <dimension ref="B2:H67"/>
  <sheetViews>
    <sheetView showGridLines="0" topLeftCell="A25" zoomScaleNormal="100" workbookViewId="0">
      <selection activeCell="I15" sqref="I15"/>
    </sheetView>
  </sheetViews>
  <sheetFormatPr baseColWidth="10" defaultColWidth="8.83203125" defaultRowHeight="15" outlineLevelRow="1"/>
  <cols>
    <col min="1" max="1" width="1.6640625" customWidth="1"/>
    <col min="2" max="2" width="4.6640625" customWidth="1"/>
    <col min="3" max="3" width="15.6640625" customWidth="1"/>
    <col min="6" max="6" width="6.5" customWidth="1"/>
    <col min="7" max="7" width="32.6640625" customWidth="1"/>
  </cols>
  <sheetData>
    <row r="2" spans="2:5" ht="17">
      <c r="C2" s="18" t="s">
        <v>13</v>
      </c>
    </row>
    <row r="4" spans="2:5">
      <c r="C4" s="1" t="s">
        <v>14</v>
      </c>
      <c r="D4" s="27" t="s">
        <v>32</v>
      </c>
    </row>
    <row r="5" spans="2:5">
      <c r="C5" t="s">
        <v>15</v>
      </c>
      <c r="D5" t="s">
        <v>33</v>
      </c>
    </row>
    <row r="6" spans="2:5">
      <c r="C6" t="s">
        <v>16</v>
      </c>
      <c r="D6">
        <v>0</v>
      </c>
    </row>
    <row r="7" spans="2:5">
      <c r="C7" t="s">
        <v>29</v>
      </c>
      <c r="D7">
        <v>0</v>
      </c>
    </row>
    <row r="9" spans="2:5">
      <c r="C9" s="1" t="s">
        <v>17</v>
      </c>
    </row>
    <row r="10" spans="2:5">
      <c r="B10" s="26" t="s">
        <v>18</v>
      </c>
      <c r="C10" s="26" t="s">
        <v>19</v>
      </c>
      <c r="D10" s="26" t="s">
        <v>7</v>
      </c>
      <c r="E10" s="26" t="s">
        <v>2</v>
      </c>
    </row>
    <row r="11" spans="2:5" outlineLevel="1">
      <c r="B11" s="19">
        <v>1</v>
      </c>
      <c r="C11" s="19" t="s">
        <v>34</v>
      </c>
      <c r="D11" s="20">
        <v>5600</v>
      </c>
      <c r="E11" s="19">
        <v>20</v>
      </c>
    </row>
    <row r="12" spans="2:5" outlineLevel="1">
      <c r="B12" s="4">
        <v>2</v>
      </c>
      <c r="C12" s="4" t="s">
        <v>35</v>
      </c>
      <c r="D12" s="21">
        <v>2150</v>
      </c>
      <c r="E12" s="4">
        <v>18</v>
      </c>
    </row>
    <row r="13" spans="2:5" outlineLevel="1">
      <c r="B13" s="4">
        <v>3</v>
      </c>
      <c r="C13" s="4" t="s">
        <v>36</v>
      </c>
      <c r="D13" s="21">
        <v>2140</v>
      </c>
      <c r="E13" s="4">
        <v>16</v>
      </c>
    </row>
    <row r="14" spans="2:5" outlineLevel="1">
      <c r="B14" s="4">
        <v>4</v>
      </c>
      <c r="C14" s="4" t="s">
        <v>37</v>
      </c>
      <c r="D14" s="21">
        <v>2100</v>
      </c>
      <c r="E14" s="4">
        <v>14</v>
      </c>
    </row>
    <row r="15" spans="2:5" outlineLevel="1">
      <c r="B15" s="4">
        <v>5</v>
      </c>
      <c r="C15" s="4" t="s">
        <v>38</v>
      </c>
      <c r="D15" s="21">
        <v>2050</v>
      </c>
      <c r="E15" s="4">
        <v>12</v>
      </c>
    </row>
    <row r="16" spans="2:5" outlineLevel="1">
      <c r="B16" s="4">
        <v>6</v>
      </c>
      <c r="C16" s="4" t="s">
        <v>39</v>
      </c>
      <c r="D16" s="21">
        <v>2000</v>
      </c>
      <c r="E16" s="4">
        <v>10</v>
      </c>
    </row>
    <row r="17" spans="2:8" outlineLevel="1">
      <c r="B17" s="4">
        <v>7</v>
      </c>
      <c r="C17" s="4" t="s">
        <v>40</v>
      </c>
      <c r="D17" s="21">
        <v>1930</v>
      </c>
      <c r="E17" s="4">
        <v>20</v>
      </c>
    </row>
    <row r="18" spans="2:8" outlineLevel="1">
      <c r="B18" s="4">
        <v>8</v>
      </c>
      <c r="C18" s="4" t="s">
        <v>41</v>
      </c>
      <c r="D18" s="21">
        <v>1880</v>
      </c>
      <c r="E18" s="4">
        <v>18</v>
      </c>
    </row>
    <row r="19" spans="2:8" outlineLevel="1">
      <c r="B19" s="4">
        <v>9</v>
      </c>
      <c r="C19" s="4" t="s">
        <v>42</v>
      </c>
      <c r="D19" s="21">
        <v>1820</v>
      </c>
      <c r="E19" s="4">
        <v>18</v>
      </c>
    </row>
    <row r="20" spans="2:8" outlineLevel="1">
      <c r="B20" s="4">
        <v>10</v>
      </c>
      <c r="C20" s="4" t="s">
        <v>43</v>
      </c>
      <c r="D20" s="21">
        <v>1710</v>
      </c>
      <c r="E20" s="4">
        <v>14</v>
      </c>
    </row>
    <row r="21" spans="2:8" outlineLevel="1">
      <c r="B21" s="4">
        <v>11</v>
      </c>
      <c r="C21" s="4" t="s">
        <v>44</v>
      </c>
      <c r="D21" s="21">
        <v>1560</v>
      </c>
      <c r="E21" s="4">
        <v>12</v>
      </c>
    </row>
    <row r="22" spans="2:8" outlineLevel="1">
      <c r="B22" s="4">
        <v>12</v>
      </c>
      <c r="C22" s="4" t="s">
        <v>45</v>
      </c>
      <c r="D22" s="21">
        <v>1520</v>
      </c>
      <c r="E22" s="4">
        <v>25</v>
      </c>
    </row>
    <row r="23" spans="2:8" outlineLevel="1">
      <c r="B23" s="5">
        <v>13</v>
      </c>
      <c r="C23" s="5" t="s">
        <v>46</v>
      </c>
      <c r="D23" s="22">
        <v>1380</v>
      </c>
      <c r="E23" s="5">
        <v>22</v>
      </c>
    </row>
    <row r="24" spans="2:8">
      <c r="B24" s="23"/>
      <c r="C24" s="23" t="s">
        <v>20</v>
      </c>
      <c r="D24" s="25">
        <f>SUMPRODUCT(D11:D23,E11:E23)</f>
        <v>475160</v>
      </c>
      <c r="E24" s="23">
        <f>SUM(E11:E23)</f>
        <v>219</v>
      </c>
    </row>
    <row r="26" spans="2:8">
      <c r="B26" s="28" t="s">
        <v>18</v>
      </c>
      <c r="C26" s="28" t="s">
        <v>0</v>
      </c>
      <c r="D26" s="28" t="s">
        <v>7</v>
      </c>
      <c r="E26" s="28" t="s">
        <v>26</v>
      </c>
      <c r="F26" s="28" t="s">
        <v>27</v>
      </c>
      <c r="G26" s="28" t="s">
        <v>30</v>
      </c>
      <c r="H26" s="28" t="s">
        <v>28</v>
      </c>
    </row>
    <row r="27" spans="2:8">
      <c r="B27" s="19">
        <v>1</v>
      </c>
      <c r="C27" s="30" t="s">
        <v>32</v>
      </c>
      <c r="D27" s="19">
        <v>5600</v>
      </c>
      <c r="E27" s="19">
        <v>5600</v>
      </c>
      <c r="F27" s="19">
        <v>6</v>
      </c>
      <c r="G27" s="30" t="s">
        <v>47</v>
      </c>
      <c r="H27" s="19">
        <v>0</v>
      </c>
    </row>
    <row r="28" spans="2:8">
      <c r="B28" s="4">
        <v>2</v>
      </c>
      <c r="C28" s="31" t="s">
        <v>32</v>
      </c>
      <c r="D28" s="4">
        <v>5600</v>
      </c>
      <c r="E28" s="4">
        <v>5600</v>
      </c>
      <c r="F28" s="4">
        <v>5</v>
      </c>
      <c r="G28" s="31" t="s">
        <v>48</v>
      </c>
      <c r="H28" s="4">
        <v>0</v>
      </c>
    </row>
    <row r="29" spans="2:8">
      <c r="B29" s="4">
        <v>3</v>
      </c>
      <c r="C29" s="31" t="s">
        <v>32</v>
      </c>
      <c r="D29" s="4">
        <v>5600</v>
      </c>
      <c r="E29" s="4">
        <v>5590</v>
      </c>
      <c r="F29" s="4">
        <v>2</v>
      </c>
      <c r="G29" s="31" t="s">
        <v>49</v>
      </c>
      <c r="H29" s="4">
        <v>10</v>
      </c>
    </row>
    <row r="30" spans="2:8">
      <c r="B30" s="4">
        <v>4</v>
      </c>
      <c r="C30" s="31" t="s">
        <v>32</v>
      </c>
      <c r="D30" s="4">
        <v>5600</v>
      </c>
      <c r="E30" s="4">
        <v>5590</v>
      </c>
      <c r="F30" s="4">
        <v>14</v>
      </c>
      <c r="G30" s="31" t="s">
        <v>50</v>
      </c>
      <c r="H30" s="4">
        <v>10</v>
      </c>
    </row>
    <row r="31" spans="2:8">
      <c r="B31" s="4">
        <v>5</v>
      </c>
      <c r="C31" s="31" t="s">
        <v>32</v>
      </c>
      <c r="D31" s="4">
        <v>5600</v>
      </c>
      <c r="E31" s="4">
        <v>5590</v>
      </c>
      <c r="F31" s="4">
        <v>5</v>
      </c>
      <c r="G31" s="31" t="s">
        <v>51</v>
      </c>
      <c r="H31" s="4">
        <v>10</v>
      </c>
    </row>
    <row r="32" spans="2:8">
      <c r="B32" s="4">
        <v>6</v>
      </c>
      <c r="C32" s="31" t="s">
        <v>32</v>
      </c>
      <c r="D32" s="4">
        <v>5600</v>
      </c>
      <c r="E32" s="4">
        <v>5580</v>
      </c>
      <c r="F32" s="4">
        <v>3</v>
      </c>
      <c r="G32" s="31" t="s">
        <v>52</v>
      </c>
      <c r="H32" s="4">
        <v>20</v>
      </c>
    </row>
    <row r="33" spans="2:8">
      <c r="B33" s="4">
        <v>7</v>
      </c>
      <c r="C33" s="31" t="s">
        <v>32</v>
      </c>
      <c r="D33" s="4">
        <v>5600</v>
      </c>
      <c r="E33" s="4">
        <v>5580</v>
      </c>
      <c r="F33" s="4">
        <v>6</v>
      </c>
      <c r="G33" s="31" t="s">
        <v>53</v>
      </c>
      <c r="H33" s="4">
        <v>20</v>
      </c>
    </row>
    <row r="34" spans="2:8">
      <c r="B34" s="4">
        <v>8</v>
      </c>
      <c r="C34" s="31" t="s">
        <v>32</v>
      </c>
      <c r="D34" s="4">
        <v>5600</v>
      </c>
      <c r="E34" s="4">
        <v>5580</v>
      </c>
      <c r="F34" s="4">
        <v>7</v>
      </c>
      <c r="G34" s="31" t="s">
        <v>54</v>
      </c>
      <c r="H34" s="4">
        <v>20</v>
      </c>
    </row>
    <row r="35" spans="2:8">
      <c r="B35" s="4">
        <v>9</v>
      </c>
      <c r="C35" s="31" t="s">
        <v>32</v>
      </c>
      <c r="D35" s="4">
        <v>5600</v>
      </c>
      <c r="E35" s="4">
        <v>5580</v>
      </c>
      <c r="F35" s="4">
        <v>6</v>
      </c>
      <c r="G35" s="31" t="s">
        <v>55</v>
      </c>
      <c r="H35" s="4">
        <v>20</v>
      </c>
    </row>
    <row r="36" spans="2:8">
      <c r="B36" s="4">
        <v>10</v>
      </c>
      <c r="C36" s="31" t="s">
        <v>32</v>
      </c>
      <c r="D36" s="4">
        <v>5600</v>
      </c>
      <c r="E36" s="4">
        <v>5580</v>
      </c>
      <c r="F36" s="4">
        <v>7</v>
      </c>
      <c r="G36" s="31" t="s">
        <v>56</v>
      </c>
      <c r="H36" s="4">
        <v>20</v>
      </c>
    </row>
    <row r="37" spans="2:8">
      <c r="B37" s="4">
        <v>11</v>
      </c>
      <c r="C37" s="31" t="s">
        <v>32</v>
      </c>
      <c r="D37" s="4">
        <v>5600</v>
      </c>
      <c r="E37" s="4">
        <v>5580</v>
      </c>
      <c r="F37" s="4">
        <v>8</v>
      </c>
      <c r="G37" s="31" t="s">
        <v>57</v>
      </c>
      <c r="H37" s="4">
        <v>20</v>
      </c>
    </row>
    <row r="38" spans="2:8">
      <c r="B38" s="4">
        <v>12</v>
      </c>
      <c r="C38" s="31" t="s">
        <v>32</v>
      </c>
      <c r="D38" s="4">
        <v>5600</v>
      </c>
      <c r="E38" s="4">
        <v>5570</v>
      </c>
      <c r="F38" s="4">
        <v>1</v>
      </c>
      <c r="G38" s="31" t="s">
        <v>58</v>
      </c>
      <c r="H38" s="4">
        <v>30</v>
      </c>
    </row>
    <row r="39" spans="2:8">
      <c r="B39" s="4">
        <v>13</v>
      </c>
      <c r="C39" s="31" t="s">
        <v>32</v>
      </c>
      <c r="D39" s="4">
        <v>5600</v>
      </c>
      <c r="E39" s="4">
        <v>5560</v>
      </c>
      <c r="F39" s="4">
        <v>2</v>
      </c>
      <c r="G39" s="31" t="s">
        <v>59</v>
      </c>
      <c r="H39" s="4">
        <v>40</v>
      </c>
    </row>
    <row r="40" spans="2:8">
      <c r="B40" s="5">
        <v>14</v>
      </c>
      <c r="C40" s="32" t="s">
        <v>32</v>
      </c>
      <c r="D40" s="5">
        <v>5600</v>
      </c>
      <c r="E40" s="5">
        <v>5020</v>
      </c>
      <c r="F40" s="5">
        <v>1</v>
      </c>
      <c r="G40" s="32" t="s">
        <v>60</v>
      </c>
      <c r="H40" s="5">
        <v>580</v>
      </c>
    </row>
    <row r="42" spans="2:8">
      <c r="B42">
        <v>1</v>
      </c>
    </row>
    <row r="43" spans="2:8">
      <c r="B43">
        <v>2</v>
      </c>
    </row>
    <row r="44" spans="2:8">
      <c r="B44">
        <v>3</v>
      </c>
    </row>
    <row r="45" spans="2:8">
      <c r="B45">
        <v>4</v>
      </c>
    </row>
    <row r="46" spans="2:8">
      <c r="B46">
        <v>5</v>
      </c>
    </row>
    <row r="47" spans="2:8">
      <c r="B47">
        <v>6</v>
      </c>
    </row>
    <row r="48" spans="2:8">
      <c r="B48">
        <v>7</v>
      </c>
    </row>
    <row r="49" spans="2:5">
      <c r="B49">
        <v>8</v>
      </c>
    </row>
    <row r="50" spans="2:5">
      <c r="B50">
        <v>9</v>
      </c>
    </row>
    <row r="51" spans="2:5">
      <c r="B51">
        <v>10</v>
      </c>
    </row>
    <row r="52" spans="2:5">
      <c r="B52">
        <v>11</v>
      </c>
    </row>
    <row r="53" spans="2:5">
      <c r="B53">
        <v>12</v>
      </c>
    </row>
    <row r="54" spans="2:5">
      <c r="B54">
        <v>13</v>
      </c>
    </row>
    <row r="55" spans="2:5">
      <c r="B55">
        <v>14</v>
      </c>
    </row>
    <row r="57" spans="2:5">
      <c r="C57" s="1" t="s">
        <v>22</v>
      </c>
    </row>
    <row r="58" spans="2:5">
      <c r="C58" s="26" t="s">
        <v>0</v>
      </c>
      <c r="D58" s="26" t="s">
        <v>7</v>
      </c>
      <c r="E58" s="26" t="s">
        <v>2</v>
      </c>
    </row>
    <row r="59" spans="2:5">
      <c r="C59" s="34" t="s">
        <v>32</v>
      </c>
      <c r="D59" s="35">
        <v>5600</v>
      </c>
      <c r="E59" s="33">
        <v>73</v>
      </c>
    </row>
    <row r="60" spans="2:5">
      <c r="C60" s="23" t="s">
        <v>20</v>
      </c>
      <c r="D60" s="25">
        <f>SUMPRODUCT(D59:D59,E59:E59)</f>
        <v>408800</v>
      </c>
      <c r="E60" s="23">
        <f>SUM(E59:E59)</f>
        <v>73</v>
      </c>
    </row>
    <row r="62" spans="2:5">
      <c r="C62" s="1" t="s">
        <v>31</v>
      </c>
    </row>
    <row r="63" spans="2:5">
      <c r="C63" s="28" t="s">
        <v>0</v>
      </c>
      <c r="D63" s="28" t="s">
        <v>7</v>
      </c>
      <c r="E63" s="28" t="s">
        <v>2</v>
      </c>
    </row>
    <row r="64" spans="2:5">
      <c r="C64" s="34" t="s">
        <v>32</v>
      </c>
      <c r="D64" s="35">
        <v>580</v>
      </c>
      <c r="E64" s="33">
        <v>1</v>
      </c>
    </row>
    <row r="65" spans="3:5">
      <c r="C65" s="23" t="s">
        <v>20</v>
      </c>
      <c r="D65" s="25">
        <f>SUMPRODUCT(D64:D64,E64:E64)</f>
        <v>580</v>
      </c>
      <c r="E65" s="23">
        <f>SUM(E64:E64)</f>
        <v>1</v>
      </c>
    </row>
    <row r="67" spans="3:5">
      <c r="C67" s="1" t="s">
        <v>21</v>
      </c>
      <c r="D67" s="24">
        <f>D60-D24-D65</f>
        <v>-66940</v>
      </c>
      <c r="E67" s="29">
        <f>D67/D60</f>
        <v>-0.16374755381604697</v>
      </c>
    </row>
  </sheetData>
  <customSheetViews>
    <customSheetView guid="{3274156B-1D2A-4448-883E-F1EEF1AAE0AF}" showGridLines="0" state="hidden" topLeftCell="A25">
      <selection activeCell="I15" sqref="I15"/>
      <pageMargins left="0.7" right="0.7" top="0.75" bottom="0.75" header="0.3" footer="0.3"/>
      <pageSetup paperSize="9" orientation="portrait" r:id="rId1"/>
      <headerFooter>
        <oddHeader>&amp;L&amp;10Результаты раскроя 14.05.2021 8:21:39</oddHeader>
        <oddFooter>&amp;L&amp;10CSP Solver v0.95, MichaelCH (m-ch@mail.ru)&amp;R&amp;10Стр. &amp;P из &amp;N</oddFooter>
      </headerFooter>
    </customSheetView>
  </customSheetViews>
  <pageMargins left="0.7" right="0.7" top="0.75" bottom="0.75" header="0.3" footer="0.3"/>
  <pageSetup paperSize="9" orientation="portrait" r:id="rId2"/>
  <headerFooter>
    <oddHeader>&amp;L&amp;10Результаты раскроя 14.05.2021 8:21:39</oddHeader>
    <oddFooter>&amp;L&amp;10CSP Solver v0.95, MichaelCH (m-ch@mail.ru)&amp;R&amp;10Стр. &amp;P из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Лист1</vt:lpstr>
      <vt:lpstr>балки</vt:lpstr>
      <vt:lpstr>Лента - данные</vt:lpstr>
      <vt:lpstr> Лента-расчеты</vt:lpstr>
      <vt:lpstr>Балки - Этажи 45 и 95мм</vt:lpstr>
      <vt:lpstr>Балки - КС и ПБКЛ</vt:lpstr>
      <vt:lpstr>Балки - ест. влахность</vt:lpstr>
      <vt:lpstr>Лента Матер - Работы</vt:lpstr>
      <vt:lpstr>Данные - Крыша</vt:lpstr>
      <vt:lpstr>материал - работа</vt:lpstr>
      <vt:lpstr>Смета Мягкая</vt:lpstr>
      <vt:lpstr>Смета Железо</vt:lpstr>
      <vt:lpstr>Рубероид</vt:lpstr>
      <vt:lpstr>Данные Рубленное</vt:lpstr>
      <vt:lpstr>Данные ОЦБ</vt:lpstr>
      <vt:lpstr>Данные Брус</vt:lpstr>
      <vt:lpstr>Расчёт-Бревно - Рубка</vt:lpstr>
      <vt:lpstr>Расчёт-Бревно ОЦБ</vt:lpstr>
      <vt:lpstr>Расчёт - Брус</vt:lpstr>
      <vt:lpstr>Смета ОЦБ</vt:lpstr>
      <vt:lpstr>Смета Рубленное</vt:lpstr>
      <vt:lpstr>Смета лента 600х300</vt:lpstr>
      <vt:lpstr>Смета лента 700х300</vt:lpstr>
      <vt:lpstr>Смета брус КС 145х45</vt:lpstr>
      <vt:lpstr>Смета брус КС 145х95</vt:lpstr>
      <vt:lpstr>Смета брус КС 145х145</vt:lpstr>
      <vt:lpstr>Смета брус КС 145х195</vt:lpstr>
      <vt:lpstr>Смета брус КС 195х195</vt:lpstr>
      <vt:lpstr>Смета брус ЕВ 145х140</vt:lpstr>
      <vt:lpstr>Смета брус ЕВ 145х190</vt:lpstr>
      <vt:lpstr>Смета брус ЕВ 195х190</vt:lpstr>
      <vt:lpstr>Смета брус ЕВ-Л 145х140</vt:lpstr>
      <vt:lpstr>Смета брус ЕВ-Л 145х190</vt:lpstr>
      <vt:lpstr>Смета брус ЕВ-Л 195х190</vt:lpstr>
      <vt:lpstr>Смета брус ЕВ-К 145х140</vt:lpstr>
      <vt:lpstr>Смета брус ЕВ-К 145х190</vt:lpstr>
      <vt:lpstr>Смета брус ЕВ-К 195х190</vt:lpstr>
      <vt:lpstr>Смета КЛ 145х160</vt:lpstr>
      <vt:lpstr>Смета КЛ 145х200</vt:lpstr>
      <vt:lpstr>Смета КЛ 190х160</vt:lpstr>
      <vt:lpstr>Смета КЛ 190х200</vt:lpstr>
      <vt:lpstr>Смета КЛ 145х240</vt:lpstr>
      <vt:lpstr>Смета КЛ 190х240</vt:lpstr>
      <vt:lpstr>Смета КЛ 230х160</vt:lpstr>
      <vt:lpstr>Смета КЛ 230х200</vt:lpstr>
      <vt:lpstr>Смета КЛ 230х240</vt:lpstr>
      <vt:lpstr>Смета КЛ 250х160</vt:lpstr>
      <vt:lpstr>Смета КЛ 250х200</vt:lpstr>
      <vt:lpstr>Смета КЛ 280х200</vt:lpstr>
      <vt:lpstr>Смета ХВ 180</vt:lpstr>
      <vt:lpstr>Смета ХВ 200</vt:lpstr>
      <vt:lpstr>Смета ХВ 220</vt:lpstr>
      <vt:lpstr>Смета ХВ 240</vt:lpstr>
      <vt:lpstr>Смета ХВ 260</vt:lpstr>
      <vt:lpstr>Смета ХВ 280</vt:lpstr>
      <vt:lpstr>Смета ХВ 300</vt:lpstr>
      <vt:lpstr>Смета Л 200</vt:lpstr>
      <vt:lpstr>Смета Л 220</vt:lpstr>
      <vt:lpstr>Смета Л 240</vt:lpstr>
      <vt:lpstr>Смета Л 260</vt:lpstr>
      <vt:lpstr>Смета Л 280</vt:lpstr>
      <vt:lpstr>Смета Л 300</vt:lpstr>
      <vt:lpstr>Смета К 200</vt:lpstr>
      <vt:lpstr>Смета К 220</vt:lpstr>
      <vt:lpstr>Смета К 240</vt:lpstr>
      <vt:lpstr>Смета К 260</vt:lpstr>
      <vt:lpstr>Смета К 280</vt:lpstr>
      <vt:lpstr>Смета К 300</vt:lpstr>
      <vt:lpstr>Смета ХВР 200</vt:lpstr>
      <vt:lpstr>Смета ХВР 220</vt:lpstr>
      <vt:lpstr>Смета ХВР 240</vt:lpstr>
      <vt:lpstr>Смета ХВР 260</vt:lpstr>
      <vt:lpstr>Смета ХВР 280</vt:lpstr>
      <vt:lpstr>Смета ХВР 300</vt:lpstr>
      <vt:lpstr>Смета ХВР 320</vt:lpstr>
      <vt:lpstr>Смета ХВР 340</vt:lpstr>
      <vt:lpstr>Смета ХВР 360</vt:lpstr>
      <vt:lpstr>Смета ХВР 380</vt:lpstr>
      <vt:lpstr>Смета ХВР 400</vt:lpstr>
      <vt:lpstr>Смета ЛР 200</vt:lpstr>
      <vt:lpstr>Смета ЛР 220</vt:lpstr>
      <vt:lpstr>Смета ЛР 240</vt:lpstr>
      <vt:lpstr>Смета ЛР 260</vt:lpstr>
      <vt:lpstr>Смета ЛР 280</vt:lpstr>
      <vt:lpstr>Смета ЛР 300</vt:lpstr>
      <vt:lpstr>Смета ЛР 320</vt:lpstr>
      <vt:lpstr>Смета ЛР 340</vt:lpstr>
      <vt:lpstr>Смета ЛР 360</vt:lpstr>
      <vt:lpstr>Смета ЛР 380</vt:lpstr>
      <vt:lpstr>Смета ЛР 400</vt:lpstr>
      <vt:lpstr>Смета КР 200</vt:lpstr>
      <vt:lpstr>Смета КР 220</vt:lpstr>
      <vt:lpstr>Смета КР 240</vt:lpstr>
      <vt:lpstr>Смета КР 260</vt:lpstr>
      <vt:lpstr>Смета КР 280</vt:lpstr>
      <vt:lpstr>Смета КР 300</vt:lpstr>
      <vt:lpstr>Смета КР 320</vt:lpstr>
      <vt:lpstr>Смета КР 340</vt:lpstr>
      <vt:lpstr>Смета КР 360</vt:lpstr>
      <vt:lpstr>Смета КР 380</vt:lpstr>
      <vt:lpstr>Смета КР 400</vt:lpstr>
      <vt:lpstr>Out (Кратко)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Konstantin Borodin</cp:lastModifiedBy>
  <cp:lastPrinted>2019-10-11T07:13:52Z</cp:lastPrinted>
  <dcterms:created xsi:type="dcterms:W3CDTF">2016-06-09T19:47:25Z</dcterms:created>
  <dcterms:modified xsi:type="dcterms:W3CDTF">2024-04-10T14:57:55Z</dcterms:modified>
</cp:coreProperties>
</file>