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ss/Downloads/"/>
    </mc:Choice>
  </mc:AlternateContent>
  <xr:revisionPtr revIDLastSave="0" documentId="13_ncr:1_{889FFD78-9987-6044-9E76-4DB5EDBD2EEF}" xr6:coauthVersionLast="47" xr6:coauthVersionMax="47" xr10:uidLastSave="{00000000-0000-0000-0000-000000000000}"/>
  <workbookProtection lockStructure="1"/>
  <bookViews>
    <workbookView xWindow="0" yWindow="500" windowWidth="51200" windowHeight="26880" xr2:uid="{00000000-000D-0000-FFFF-FFFF00000000}"/>
  </bookViews>
  <sheets>
    <sheet name="данные" sheetId="1" r:id="rId1"/>
    <sheet name="расчеты" sheetId="2" state="hidden" r:id="rId2"/>
    <sheet name="Ст-сть Матер-Работ" sheetId="3" r:id="rId3"/>
    <sheet name="Смета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4" l="1"/>
  <c r="K52" i="4"/>
  <c r="M52" i="4" s="1"/>
  <c r="L51" i="4"/>
  <c r="L50" i="4"/>
  <c r="L49" i="4"/>
  <c r="K49" i="4"/>
  <c r="M49" i="4" s="1"/>
  <c r="F48" i="4"/>
  <c r="L45" i="4"/>
  <c r="L44" i="4"/>
  <c r="F44" i="4"/>
  <c r="L43" i="4"/>
  <c r="L42" i="4"/>
  <c r="L41" i="4"/>
  <c r="L39" i="4"/>
  <c r="L38" i="4"/>
  <c r="F38" i="4"/>
  <c r="E38" i="4"/>
  <c r="K38" i="4" s="1"/>
  <c r="M38" i="4" s="1"/>
  <c r="L37" i="4"/>
  <c r="F37" i="4"/>
  <c r="E37" i="4"/>
  <c r="G37" i="4" s="1"/>
  <c r="L35" i="4"/>
  <c r="F35" i="4"/>
  <c r="L34" i="4"/>
  <c r="F34" i="4"/>
  <c r="L33" i="4"/>
  <c r="F33" i="4"/>
  <c r="F32" i="4"/>
  <c r="L31" i="4"/>
  <c r="F31" i="4"/>
  <c r="F30" i="4"/>
  <c r="F29" i="4"/>
  <c r="L28" i="4"/>
  <c r="L27" i="4"/>
  <c r="L26" i="4"/>
  <c r="K26" i="4"/>
  <c r="M26" i="4" s="1"/>
  <c r="L25" i="4"/>
  <c r="L24" i="4"/>
  <c r="L23" i="4"/>
  <c r="L22" i="4"/>
  <c r="L21" i="4"/>
  <c r="F21" i="4"/>
  <c r="L18" i="4"/>
  <c r="F18" i="4"/>
  <c r="C18" i="4"/>
  <c r="F17" i="4"/>
  <c r="L16" i="4"/>
  <c r="F16" i="4"/>
  <c r="C16" i="4"/>
  <c r="F15" i="4"/>
  <c r="F14" i="4"/>
  <c r="F13" i="4"/>
  <c r="E13" i="4"/>
  <c r="G13" i="4" s="1"/>
  <c r="K8" i="4"/>
  <c r="J8" i="4"/>
  <c r="F27" i="3"/>
  <c r="K43" i="4" s="1"/>
  <c r="M43" i="4" s="1"/>
  <c r="E17" i="3"/>
  <c r="L36" i="4" s="1"/>
  <c r="E16" i="3"/>
  <c r="L30" i="4" s="1"/>
  <c r="E15" i="3"/>
  <c r="L32" i="4" s="1"/>
  <c r="G7" i="3"/>
  <c r="L31" i="2"/>
  <c r="K31" i="2"/>
  <c r="A29" i="2"/>
  <c r="L26" i="2"/>
  <c r="I26" i="2"/>
  <c r="H26" i="2"/>
  <c r="L25" i="2"/>
  <c r="N25" i="2" s="1"/>
  <c r="I25" i="2"/>
  <c r="H25" i="2"/>
  <c r="J25" i="2" s="1"/>
  <c r="K44" i="4" s="1"/>
  <c r="M44" i="4" s="1"/>
  <c r="K23" i="2"/>
  <c r="J23" i="2"/>
  <c r="I23" i="2"/>
  <c r="H23" i="2"/>
  <c r="C23" i="2"/>
  <c r="B23" i="2"/>
  <c r="E23" i="2" s="1"/>
  <c r="L22" i="2"/>
  <c r="K37" i="4" s="1"/>
  <c r="M37" i="4" s="1"/>
  <c r="K22" i="2"/>
  <c r="J22" i="2"/>
  <c r="I22" i="2"/>
  <c r="H22" i="2"/>
  <c r="C22" i="2"/>
  <c r="E22" i="2" s="1"/>
  <c r="K30" i="4" s="1"/>
  <c r="M30" i="4" s="1"/>
  <c r="B22" i="2"/>
  <c r="E30" i="4" s="1"/>
  <c r="G30" i="4" s="1"/>
  <c r="C20" i="2"/>
  <c r="K19" i="2"/>
  <c r="C18" i="2"/>
  <c r="H17" i="2"/>
  <c r="F26" i="3" s="1"/>
  <c r="K42" i="4" s="1"/>
  <c r="M42" i="4" s="1"/>
  <c r="C17" i="2"/>
  <c r="P15" i="2"/>
  <c r="K15" i="2"/>
  <c r="H15" i="2"/>
  <c r="C15" i="2"/>
  <c r="Q14" i="2"/>
  <c r="R14" i="2" s="1"/>
  <c r="S14" i="2" s="1"/>
  <c r="T14" i="2" s="1"/>
  <c r="Q15" i="2" s="1"/>
  <c r="O15" i="2" s="1"/>
  <c r="P14" i="2"/>
  <c r="K24" i="4" s="1"/>
  <c r="M24" i="4" s="1"/>
  <c r="O14" i="2"/>
  <c r="K22" i="4" s="1"/>
  <c r="M22" i="4" s="1"/>
  <c r="K14" i="2"/>
  <c r="H14" i="2"/>
  <c r="K16" i="2" s="1"/>
  <c r="K25" i="4" s="1"/>
  <c r="M25" i="4" s="1"/>
  <c r="L13" i="2"/>
  <c r="P13" i="2" s="1"/>
  <c r="K13" i="2"/>
  <c r="K20" i="2" s="1"/>
  <c r="K27" i="4" s="1"/>
  <c r="M27" i="4" s="1"/>
  <c r="J13" i="2"/>
  <c r="H13" i="2"/>
  <c r="E21" i="4" s="1"/>
  <c r="G21" i="4" s="1"/>
  <c r="C13" i="2"/>
  <c r="K11" i="2"/>
  <c r="I17" i="4" s="1"/>
  <c r="L17" i="4" s="1"/>
  <c r="I11" i="2"/>
  <c r="H11" i="2"/>
  <c r="K17" i="4" s="1"/>
  <c r="M17" i="4" s="1"/>
  <c r="B11" i="2"/>
  <c r="C11" i="2" s="1"/>
  <c r="B9" i="2"/>
  <c r="C9" i="2" s="1"/>
  <c r="B7" i="2"/>
  <c r="C7" i="2" s="1"/>
  <c r="C25" i="2" s="1"/>
  <c r="H5" i="2"/>
  <c r="H7" i="2" s="1"/>
  <c r="I7" i="2" s="1"/>
  <c r="E16" i="4" s="1"/>
  <c r="B5" i="2"/>
  <c r="C5" i="2" s="1"/>
  <c r="H3" i="2"/>
  <c r="J31" i="2" s="1"/>
  <c r="K51" i="4" s="1"/>
  <c r="M51" i="4" s="1"/>
  <c r="B3" i="2"/>
  <c r="C3" i="2" s="1"/>
  <c r="N2" i="2"/>
  <c r="K13" i="4" s="1"/>
  <c r="M13" i="4" s="1"/>
  <c r="K21" i="4" l="1"/>
  <c r="M21" i="4" s="1"/>
  <c r="H31" i="2"/>
  <c r="B17" i="2"/>
  <c r="E11" i="2"/>
  <c r="B20" i="2"/>
  <c r="E32" i="4" s="1"/>
  <c r="G32" i="4" s="1"/>
  <c r="B15" i="2"/>
  <c r="B13" i="2"/>
  <c r="B18" i="2"/>
  <c r="E18" i="2" s="1"/>
  <c r="E17" i="2"/>
  <c r="E20" i="2"/>
  <c r="K32" i="4" s="1"/>
  <c r="M32" i="4" s="1"/>
  <c r="E44" i="4"/>
  <c r="G44" i="4" s="1"/>
  <c r="N27" i="2"/>
  <c r="K45" i="4" s="1"/>
  <c r="M45" i="4" s="1"/>
  <c r="K16" i="4"/>
  <c r="M16" i="4" s="1"/>
  <c r="G16" i="4"/>
  <c r="E25" i="2"/>
  <c r="K35" i="4" s="1"/>
  <c r="M35" i="4" s="1"/>
  <c r="B25" i="2"/>
  <c r="K28" i="4"/>
  <c r="M28" i="4" s="1"/>
  <c r="K23" i="4"/>
  <c r="M23" i="4" s="1"/>
  <c r="I3" i="2"/>
  <c r="E14" i="4" s="1"/>
  <c r="G14" i="4" s="1"/>
  <c r="I5" i="2"/>
  <c r="L29" i="4"/>
  <c r="E17" i="4"/>
  <c r="G17" i="4" s="1"/>
  <c r="G38" i="4"/>
  <c r="K31" i="4" l="1"/>
  <c r="M31" i="4" s="1"/>
  <c r="E15" i="2"/>
  <c r="K34" i="4" s="1"/>
  <c r="M34" i="4" s="1"/>
  <c r="E34" i="4"/>
  <c r="G34" i="4" s="1"/>
  <c r="E33" i="4"/>
  <c r="G33" i="4" s="1"/>
  <c r="E13" i="2"/>
  <c r="K33" i="4" s="1"/>
  <c r="M33" i="4" s="1"/>
  <c r="F25" i="3"/>
  <c r="K29" i="4"/>
  <c r="E27" i="2"/>
  <c r="K36" i="4" s="1"/>
  <c r="M36" i="4" s="1"/>
  <c r="K39" i="4"/>
  <c r="M39" i="4" s="1"/>
  <c r="E35" i="4"/>
  <c r="G35" i="4" s="1"/>
  <c r="E15" i="4"/>
  <c r="G15" i="4" s="1"/>
  <c r="H9" i="2"/>
  <c r="I9" i="2" s="1"/>
  <c r="E18" i="4" s="1"/>
  <c r="E31" i="4"/>
  <c r="G31" i="4" s="1"/>
  <c r="K18" i="4" l="1"/>
  <c r="M18" i="4" s="1"/>
  <c r="M19" i="4" s="1"/>
  <c r="G18" i="4"/>
  <c r="G19" i="4" s="1"/>
  <c r="M29" i="4"/>
  <c r="M46" i="4" s="1"/>
  <c r="E29" i="4"/>
  <c r="G29" i="4" s="1"/>
  <c r="G46" i="4" s="1"/>
  <c r="G31" i="2"/>
  <c r="E31" i="2" s="1"/>
  <c r="K50" i="4" s="1"/>
  <c r="E23" i="3"/>
  <c r="K41" i="4"/>
  <c r="M41" i="4" s="1"/>
  <c r="M50" i="4" l="1"/>
  <c r="M53" i="4" s="1"/>
  <c r="H62" i="4" s="1"/>
  <c r="E48" i="4"/>
  <c r="G48" i="4" s="1"/>
  <c r="G53" i="4" s="1"/>
  <c r="H56" i="4" s="1"/>
  <c r="H60" i="4"/>
  <c r="H65" i="4" l="1"/>
  <c r="H59" i="4"/>
  <c r="H58" i="4"/>
  <c r="H57" i="4"/>
  <c r="H61" i="4"/>
  <c r="H63" i="4" s="1"/>
  <c r="H64" i="4" l="1"/>
  <c r="H66" i="4" s="1"/>
</calcChain>
</file>

<file path=xl/sharedStrings.xml><?xml version="1.0" encoding="utf-8"?>
<sst xmlns="http://schemas.openxmlformats.org/spreadsheetml/2006/main" count="385" uniqueCount="204">
  <si>
    <t>ФУНДАМЕНТ ЛЕНТОЧНЫЙ</t>
  </si>
  <si>
    <t>Ед. изм.</t>
  </si>
  <si>
    <t xml:space="preserve">Длина ленты </t>
  </si>
  <si>
    <t>м</t>
  </si>
  <si>
    <t xml:space="preserve">Ширина ленты  </t>
  </si>
  <si>
    <t xml:space="preserve">Высота  цоколя </t>
  </si>
  <si>
    <t>600х300</t>
  </si>
  <si>
    <t>Количество пересечений крест</t>
  </si>
  <si>
    <t>шт</t>
  </si>
  <si>
    <t>700х300</t>
  </si>
  <si>
    <t>Количество пересечений Т-обр</t>
  </si>
  <si>
    <t>800х300</t>
  </si>
  <si>
    <t>Количество углов Г</t>
  </si>
  <si>
    <t>900х300</t>
  </si>
  <si>
    <t>Количество углов 45 гр</t>
  </si>
  <si>
    <t>1000х300</t>
  </si>
  <si>
    <t>600х400</t>
  </si>
  <si>
    <t xml:space="preserve">Толщина песчаного основания </t>
  </si>
  <si>
    <t>700х400</t>
  </si>
  <si>
    <t>Толщина щебеночного основания</t>
  </si>
  <si>
    <t>800х400</t>
  </si>
  <si>
    <t>S пятна застройки</t>
  </si>
  <si>
    <t>м2</t>
  </si>
  <si>
    <t>900х400</t>
  </si>
  <si>
    <t>1000х400</t>
  </si>
  <si>
    <t>600х500</t>
  </si>
  <si>
    <t>700х500</t>
  </si>
  <si>
    <t>800х500</t>
  </si>
  <si>
    <t>900х500</t>
  </si>
  <si>
    <t>1000х500</t>
  </si>
  <si>
    <t>700х600</t>
  </si>
  <si>
    <t>800х600</t>
  </si>
  <si>
    <t>900х600</t>
  </si>
  <si>
    <t>1000х600</t>
  </si>
  <si>
    <t>АРМИРОВАНИЕ ЛЕНТА</t>
  </si>
  <si>
    <t>ЗЕМЛЯНЫЕ РАБОТЫ</t>
  </si>
  <si>
    <t>РАЗБИВКА И ВЫНОС ОСЕЙ</t>
  </si>
  <si>
    <t>внешний длина арматуры в метрах (1 прут)</t>
  </si>
  <si>
    <t>разработка траншеи</t>
  </si>
  <si>
    <t>м.п.</t>
  </si>
  <si>
    <t>м3</t>
  </si>
  <si>
    <t>внутренний длина арматуры в метрах(1 прут)</t>
  </si>
  <si>
    <t>зачистка дня траншеи</t>
  </si>
  <si>
    <t>внешний количество рядов по ширине</t>
  </si>
  <si>
    <t xml:space="preserve">песок </t>
  </si>
  <si>
    <t>ряд</t>
  </si>
  <si>
    <t>внутренний количество рядов по ширине</t>
  </si>
  <si>
    <t xml:space="preserve">щебень </t>
  </si>
  <si>
    <t xml:space="preserve"> количество горизонтальных рядов по высоте</t>
  </si>
  <si>
    <t>V арматуры</t>
  </si>
  <si>
    <t>геотекстиль</t>
  </si>
  <si>
    <t>тн</t>
  </si>
  <si>
    <t>армирование ленты д.12 мм А500С</t>
  </si>
  <si>
    <t>S/РУЛ/ ШИРИНА</t>
  </si>
  <si>
    <t>количество деталей крест   шт/длина</t>
  </si>
  <si>
    <t xml:space="preserve">ОПАЛУБКА </t>
  </si>
  <si>
    <t>Деталь д.12 мм А500С</t>
  </si>
  <si>
    <t>доска S/вер/раскос/длина</t>
  </si>
  <si>
    <t>количество деталей Т шт/длина</t>
  </si>
  <si>
    <t>внешняя</t>
  </si>
  <si>
    <t>L/шт</t>
  </si>
  <si>
    <t>шпилька к-т 2 гайки 2 шайбы  мм.</t>
  </si>
  <si>
    <t>внутренняя</t>
  </si>
  <si>
    <t>количество деталей угол 90   шт/длина</t>
  </si>
  <si>
    <t>труба д.15 мм</t>
  </si>
  <si>
    <t>пленка</t>
  </si>
  <si>
    <t>количество деталей угол 45   шт/длина</t>
  </si>
  <si>
    <t>кг</t>
  </si>
  <si>
    <t>гвозди 100 мм</t>
  </si>
  <si>
    <t>саморез 4,8х100</t>
  </si>
  <si>
    <t>количество хомутов   шт/длина</t>
  </si>
  <si>
    <t>Хомут А240 8 мм</t>
  </si>
  <si>
    <t>внешние</t>
  </si>
  <si>
    <t>продухи</t>
  </si>
  <si>
    <t>внутренние</t>
  </si>
  <si>
    <t>количество вертикальной шаг 600 мм шт/ м.п.</t>
  </si>
  <si>
    <t>ГИДРОИЗОЛЯЦИЯ ГОРИЗОНТАЛЬНАЯ</t>
  </si>
  <si>
    <t>Вертикаль д.12 мм А500С ШАГ 600</t>
  </si>
  <si>
    <t>рул</t>
  </si>
  <si>
    <t>Проволока вязальная</t>
  </si>
  <si>
    <t>Проволока ВР-1</t>
  </si>
  <si>
    <t>ведро 20 л</t>
  </si>
  <si>
    <t>БЕТОН</t>
  </si>
  <si>
    <t>Транспорт</t>
  </si>
  <si>
    <t>Транспорт 8 тн</t>
  </si>
  <si>
    <t>Металл</t>
  </si>
  <si>
    <t>Дрова</t>
  </si>
  <si>
    <t>К-кт</t>
  </si>
  <si>
    <t>МЕХ</t>
  </si>
  <si>
    <t>Б/насос</t>
  </si>
  <si>
    <t>сечение фундамента в мм. ВхШ</t>
  </si>
  <si>
    <t>сечение фундамента с учетом перепада грунта в мм. ВхШ</t>
  </si>
  <si>
    <t>МАТЕРИАЛ</t>
  </si>
  <si>
    <t>ед изм</t>
  </si>
  <si>
    <t>Цена</t>
  </si>
  <si>
    <t>кол-во</t>
  </si>
  <si>
    <t>Песок карьерный</t>
  </si>
  <si>
    <t>Геотекстиль плотность 160 г/м2 ,50 м.п. шириной мм.</t>
  </si>
  <si>
    <t>Щебень фр 20х40</t>
  </si>
  <si>
    <t>Доска 50х150 обр</t>
  </si>
  <si>
    <t>Шпилька М12  2000 мм</t>
  </si>
  <si>
    <t>Шайба усиленная  М12</t>
  </si>
  <si>
    <t>Гайка М12</t>
  </si>
  <si>
    <t>Гильза (Трубка изолирующая)</t>
  </si>
  <si>
    <t>Гвоздь строительный  100 мм</t>
  </si>
  <si>
    <t>Саморез черный по дереву усиленный 96 мм</t>
  </si>
  <si>
    <t>Пленка п/э 200 мкр</t>
  </si>
  <si>
    <t>Арматура д.12 мм  А500С</t>
  </si>
  <si>
    <t>Арматура д.8 мм  А240</t>
  </si>
  <si>
    <t xml:space="preserve">Проволока вязальная </t>
  </si>
  <si>
    <t>Бетон В 25</t>
  </si>
  <si>
    <t>Опорная площадка "Стульчик"</t>
  </si>
  <si>
    <t>Труба SN4 д.160 мм дл.2000 мм</t>
  </si>
  <si>
    <t>Гидроизол</t>
  </si>
  <si>
    <t>Мастика №24 мгтн (20 кг)</t>
  </si>
  <si>
    <t>ведро</t>
  </si>
  <si>
    <t>Расходные материалы</t>
  </si>
  <si>
    <t>к-т</t>
  </si>
  <si>
    <t>диск отрезной д 125 мм</t>
  </si>
  <si>
    <t>собка для степлера 1000 шт</t>
  </si>
  <si>
    <t>пачка</t>
  </si>
  <si>
    <t>нитка разметочная 150 м</t>
  </si>
  <si>
    <t xml:space="preserve">бухта </t>
  </si>
  <si>
    <t>Аренда а/м до 1,5 тн</t>
  </si>
  <si>
    <t>м/см</t>
  </si>
  <si>
    <t>Аренда а/м до 8 тн</t>
  </si>
  <si>
    <t>Аренда JSB</t>
  </si>
  <si>
    <t>Аренда бетононасоса</t>
  </si>
  <si>
    <t>РАБОТЫ</t>
  </si>
  <si>
    <t>цена</t>
  </si>
  <si>
    <t>Разбивка  площадки с выносом осей</t>
  </si>
  <si>
    <t>Разработка траншеи в ручную</t>
  </si>
  <si>
    <t>Зачистка дна траншеи вручную</t>
  </si>
  <si>
    <t>Устройство песчаного основания с трамбоакой</t>
  </si>
  <si>
    <t>Укладка геотекстиля</t>
  </si>
  <si>
    <t>Устройство щебеночного основания с трамбовкой</t>
  </si>
  <si>
    <t>Монтаж опалубки</t>
  </si>
  <si>
    <t xml:space="preserve">Устройство армокаркаса монолитного ростверка </t>
  </si>
  <si>
    <t>Изготовление детали "хомут"</t>
  </si>
  <si>
    <t>Изготовление Д3 "УГОЛ"</t>
  </si>
  <si>
    <t>Изготовление Д4 "УГОЛ 45"</t>
  </si>
  <si>
    <t>Изготовление Д5 "крест"</t>
  </si>
  <si>
    <t>Изготовление Д6 "Т"</t>
  </si>
  <si>
    <t>Изготовление Д1 "Стойка"</t>
  </si>
  <si>
    <t>Монтаж продухов</t>
  </si>
  <si>
    <t>Бетонирование монолитного ростверка</t>
  </si>
  <si>
    <t>Горизонтальная гидроизоляция</t>
  </si>
  <si>
    <t>Прием матералов на фундамент</t>
  </si>
  <si>
    <t>смена</t>
  </si>
  <si>
    <t>Приложение к договору № __</t>
  </si>
  <si>
    <t xml:space="preserve">         "СОГЛАСОВАНО"</t>
  </si>
  <si>
    <t>к Договору подряда № ______  от "___"_______ 202__года</t>
  </si>
  <si>
    <t xml:space="preserve">Подрядчик:  ______________ </t>
  </si>
  <si>
    <t>"УТВЕРЖДАЮ"</t>
  </si>
  <si>
    <t xml:space="preserve">_________________________  /_____________/                     </t>
  </si>
  <si>
    <t>Заказчик: __________________________/______________/</t>
  </si>
  <si>
    <r>
      <t xml:space="preserve">     </t>
    </r>
    <r>
      <rPr>
        <u/>
        <sz val="11"/>
        <color rgb="FF000000"/>
        <rFont val="Times New Roman"/>
        <family val="1"/>
      </rPr>
      <t xml:space="preserve">"_____" _________ 202__ г. </t>
    </r>
    <r>
      <rPr>
        <sz val="11"/>
        <color rgb="FF000000"/>
        <rFont val="Times New Roman"/>
        <family val="1"/>
      </rPr>
      <t xml:space="preserve">   </t>
    </r>
  </si>
  <si>
    <r>
      <t xml:space="preserve">    </t>
    </r>
    <r>
      <rPr>
        <u/>
        <sz val="11"/>
        <color rgb="FF000000"/>
        <rFont val="Times New Roman"/>
        <family val="1"/>
      </rPr>
      <t xml:space="preserve"> "___" ________ 202__ г.    </t>
    </r>
  </si>
  <si>
    <t xml:space="preserve">                ЛОКАЛЬНАЯ СМЕТА </t>
  </si>
  <si>
    <t xml:space="preserve">                           Раздел №1 Строительно-монтажные работы по устройству "ленточного фундамента" </t>
  </si>
  <si>
    <t>Вид работ</t>
  </si>
  <si>
    <t>Наименование работ</t>
  </si>
  <si>
    <t>Кол-во</t>
  </si>
  <si>
    <t>Цена работ, руб.</t>
  </si>
  <si>
    <t>Итого работы, руб.</t>
  </si>
  <si>
    <t>Наименование материалов</t>
  </si>
  <si>
    <t>Цена материалы, руб.</t>
  </si>
  <si>
    <t>Итого материалы, руб.</t>
  </si>
  <si>
    <t>1. Земляные и подготовительные работы</t>
  </si>
  <si>
    <t>Расходный материал</t>
  </si>
  <si>
    <t>к-кт</t>
  </si>
  <si>
    <t xml:space="preserve">Разработка траншеи в ручную ширина ленты + 100мм с перемещением до 10 м без вывоза </t>
  </si>
  <si>
    <t xml:space="preserve">Устройство песчаного основания ширина ленты + 100мм., толщиной  мм </t>
  </si>
  <si>
    <t xml:space="preserve">Укладка геотекстиля плотность 160  </t>
  </si>
  <si>
    <t xml:space="preserve">м2 </t>
  </si>
  <si>
    <t xml:space="preserve">Устройство щебеночного основания ширина ленты + 100мм толщ мм </t>
  </si>
  <si>
    <t>Итого работы</t>
  </si>
  <si>
    <t>Итого материалы</t>
  </si>
  <si>
    <t xml:space="preserve">2. Устройство фундамента </t>
  </si>
  <si>
    <t>1.</t>
  </si>
  <si>
    <t>Доска 50х100 обр</t>
  </si>
  <si>
    <t>2.</t>
  </si>
  <si>
    <t>2.1.</t>
  </si>
  <si>
    <t>2.2.</t>
  </si>
  <si>
    <t>2.3.</t>
  </si>
  <si>
    <t>2.4.</t>
  </si>
  <si>
    <t>2.5.</t>
  </si>
  <si>
    <t>Труба SN4 д.160 мм 2000 мм</t>
  </si>
  <si>
    <t>3.</t>
  </si>
  <si>
    <t>пач.</t>
  </si>
  <si>
    <t>бух</t>
  </si>
  <si>
    <t>4.</t>
  </si>
  <si>
    <t>Транспортные расходы и аренда механизмов</t>
  </si>
  <si>
    <t>см</t>
  </si>
  <si>
    <t>Ст-ть работ</t>
  </si>
  <si>
    <t>Транспортные расходы 3%</t>
  </si>
  <si>
    <t>Накладные расходы 16%</t>
  </si>
  <si>
    <t>Итого</t>
  </si>
  <si>
    <t>Ст-ть материалов</t>
  </si>
  <si>
    <t>Непердвиденные 3,5%</t>
  </si>
  <si>
    <t xml:space="preserve">Транспортные расходы </t>
  </si>
  <si>
    <t>ИТОГО по смете, руб</t>
  </si>
  <si>
    <t>ПСР 3%</t>
  </si>
  <si>
    <t>ВСЕГО по смете,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</si>
</sst>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rgb="FF000000"/>
      <name val="Calibri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u/>
      <sz val="11"/>
      <color rgb="FF00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2"/>
      <color rgb="FF000000"/>
      <name val="Arial Cy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u/>
      <sz val="11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CC"/>
      </patternFill>
    </fill>
    <fill>
      <patternFill patternType="solid">
        <fgColor rgb="FF558ED5"/>
        <bgColor rgb="FFFFFFFF"/>
      </patternFill>
    </fill>
    <fill>
      <patternFill patternType="solid">
        <fgColor rgb="FFEBF1DE"/>
        <bgColor rgb="FFFFFFFF"/>
      </patternFill>
    </fill>
    <fill>
      <patternFill patternType="solid">
        <fgColor rgb="FFD7E4BD"/>
        <bgColor rgb="FFFFFFFF"/>
      </patternFill>
    </fill>
    <fill>
      <patternFill patternType="solid">
        <fgColor rgb="FFC3D69B"/>
        <bgColor rgb="FFFFFFFF"/>
      </patternFill>
    </fill>
    <fill>
      <patternFill patternType="solid">
        <fgColor rgb="FF77943C"/>
        <bgColor rgb="FFFFFFFF"/>
      </patternFill>
    </fill>
    <fill>
      <patternFill patternType="solid">
        <fgColor rgb="FFE6B9B8"/>
        <bgColor rgb="FFFFFFFF"/>
      </patternFill>
    </fill>
    <fill>
      <patternFill patternType="solid">
        <fgColor rgb="FFE6E0ED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0" borderId="0" xfId="0"/>
    <xf numFmtId="4" fontId="1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2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0" xfId="0" applyNumberFormat="1" applyFont="1" applyFill="1" applyAlignment="1">
      <alignment vertical="center" wrapText="1"/>
    </xf>
    <xf numFmtId="4" fontId="1" fillId="2" borderId="4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" fontId="2" fillId="2" borderId="6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1" xfId="0" applyBorder="1"/>
    <xf numFmtId="0" fontId="0" fillId="0" borderId="0" xfId="0" applyAlignment="1">
      <alignment vertical="center" wrapText="1"/>
    </xf>
    <xf numFmtId="0" fontId="0" fillId="0" borderId="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2" fontId="0" fillId="0" borderId="11" xfId="0" applyNumberFormat="1" applyBorder="1"/>
    <xf numFmtId="2" fontId="0" fillId="0" borderId="11" xfId="0" applyNumberFormat="1" applyBorder="1" applyAlignment="1">
      <alignment vertical="center" wrapText="1"/>
    </xf>
    <xf numFmtId="0" fontId="4" fillId="0" borderId="16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" fontId="2" fillId="2" borderId="6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3" fontId="3" fillId="2" borderId="2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left" vertical="center" wrapText="1"/>
    </xf>
    <xf numFmtId="4" fontId="3" fillId="2" borderId="19" xfId="0" applyNumberFormat="1" applyFont="1" applyFill="1" applyBorder="1" applyAlignment="1">
      <alignment horizontal="left" vertical="center" wrapText="1"/>
    </xf>
    <xf numFmtId="3" fontId="3" fillId="2" borderId="1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/>
    <xf numFmtId="2" fontId="2" fillId="6" borderId="1" xfId="0" applyNumberFormat="1" applyFont="1" applyFill="1" applyBorder="1" applyAlignment="1">
      <alignment horizontal="center" vertical="center" wrapText="1"/>
    </xf>
    <xf numFmtId="4" fontId="2" fillId="6" borderId="6" xfId="0" applyNumberFormat="1" applyFont="1" applyFill="1" applyBorder="1" applyAlignment="1">
      <alignment vertical="center" wrapText="1"/>
    </xf>
    <xf numFmtId="4" fontId="2" fillId="4" borderId="1" xfId="0" applyNumberFormat="1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left" vertical="center" wrapText="1"/>
    </xf>
    <xf numFmtId="4" fontId="2" fillId="2" borderId="6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/>
    </xf>
    <xf numFmtId="4" fontId="3" fillId="2" borderId="2" xfId="0" applyNumberFormat="1" applyFont="1" applyFill="1" applyBorder="1" applyAlignment="1">
      <alignment horizontal="left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4" fontId="1" fillId="0" borderId="4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164" fontId="7" fillId="5" borderId="14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7" fillId="5" borderId="11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4" xfId="0" applyFont="1" applyFill="1" applyBorder="1"/>
    <xf numFmtId="2" fontId="5" fillId="5" borderId="0" xfId="0" applyNumberFormat="1" applyFont="1" applyFill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1" xfId="0" applyNumberFormat="1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0" fontId="8" fillId="7" borderId="0" xfId="0" applyFont="1" applyFill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4" fontId="10" fillId="2" borderId="0" xfId="0" applyNumberFormat="1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 indent="1"/>
    </xf>
    <xf numFmtId="4" fontId="3" fillId="0" borderId="1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right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 wrapText="1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4" fontId="3" fillId="0" borderId="1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 wrapText="1"/>
    </xf>
    <xf numFmtId="4" fontId="3" fillId="0" borderId="2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 wrapText="1"/>
    </xf>
    <xf numFmtId="1" fontId="0" fillId="0" borderId="0" xfId="0" applyNumberFormat="1"/>
    <xf numFmtId="4" fontId="12" fillId="2" borderId="0" xfId="0" applyNumberFormat="1" applyFont="1" applyFill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4" fontId="13" fillId="2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4" fontId="1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4" fontId="16" fillId="3" borderId="1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center"/>
    </xf>
    <xf numFmtId="0" fontId="15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8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7" fillId="5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3" borderId="0" xfId="0" applyNumberFormat="1" applyFont="1" applyFill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2" borderId="8" xfId="0" applyNumberFormat="1" applyFont="1" applyFill="1" applyBorder="1" applyAlignment="1">
      <alignment horizontal="left" vertical="center" wrapText="1"/>
    </xf>
    <xf numFmtId="4" fontId="3" fillId="2" borderId="3" xfId="0" applyNumberFormat="1" applyFont="1" applyFill="1" applyBorder="1" applyAlignment="1">
      <alignment horizontal="left" vertical="center" wrapText="1"/>
    </xf>
    <xf numFmtId="4" fontId="3" fillId="2" borderId="17" xfId="0" applyNumberFormat="1" applyFont="1" applyFill="1" applyBorder="1" applyAlignment="1">
      <alignment horizontal="left" vertical="center" wrapText="1"/>
    </xf>
    <xf numFmtId="4" fontId="2" fillId="2" borderId="8" xfId="0" applyNumberFormat="1" applyFont="1" applyFill="1" applyBorder="1" applyAlignment="1">
      <alignment horizontal="left" vertical="center" wrapText="1"/>
    </xf>
    <xf numFmtId="4" fontId="2" fillId="2" borderId="6" xfId="0" applyNumberFormat="1" applyFont="1" applyFill="1" applyBorder="1" applyAlignment="1">
      <alignment horizontal="left" vertical="center" wrapText="1"/>
    </xf>
    <xf numFmtId="4" fontId="3" fillId="2" borderId="6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" fillId="2" borderId="2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4" fontId="1" fillId="2" borderId="0" xfId="0" applyNumberFormat="1" applyFont="1" applyFill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2" borderId="24" xfId="0" applyNumberFormat="1" applyFont="1" applyFill="1" applyBorder="1" applyAlignment="1">
      <alignment horizontal="right" vertical="center" wrapText="1"/>
    </xf>
    <xf numFmtId="4" fontId="1" fillId="2" borderId="3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4" fontId="1" fillId="0" borderId="25" xfId="0" applyNumberFormat="1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26" xfId="0" applyNumberFormat="1" applyFont="1" applyBorder="1" applyAlignment="1">
      <alignment horizontal="center" vertical="center" wrapText="1"/>
    </xf>
    <xf numFmtId="4" fontId="1" fillId="0" borderId="27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2" fontId="1" fillId="2" borderId="24" xfId="0" applyNumberFormat="1" applyFont="1" applyFill="1" applyBorder="1" applyAlignment="1">
      <alignment horizontal="right" vertical="center" wrapText="1"/>
    </xf>
    <xf numFmtId="2" fontId="1" fillId="2" borderId="3" xfId="0" applyNumberFormat="1" applyFont="1" applyFill="1" applyBorder="1" applyAlignment="1">
      <alignment horizontal="right" vertical="center" wrapText="1"/>
    </xf>
    <xf numFmtId="4" fontId="3" fillId="2" borderId="8" xfId="0" applyNumberFormat="1" applyFont="1" applyFill="1" applyBorder="1" applyAlignment="1">
      <alignment horizontal="center" vertical="center" wrapText="1"/>
    </xf>
    <xf numFmtId="4" fontId="3" fillId="2" borderId="6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left" vertical="center" wrapText="1"/>
    </xf>
    <xf numFmtId="4" fontId="2" fillId="2" borderId="20" xfId="0" applyNumberFormat="1" applyFont="1" applyFill="1" applyBorder="1" applyAlignment="1">
      <alignment horizontal="left" vertical="center" wrapText="1"/>
    </xf>
    <xf numFmtId="4" fontId="2" fillId="2" borderId="17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4" fontId="1" fillId="2" borderId="18" xfId="0" applyNumberFormat="1" applyFont="1" applyFill="1" applyBorder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4" fontId="1" fillId="2" borderId="23" xfId="0" applyNumberFormat="1" applyFont="1" applyFill="1" applyBorder="1" applyAlignment="1">
      <alignment horizontal="left" vertical="center" wrapText="1"/>
    </xf>
    <xf numFmtId="4" fontId="1" fillId="2" borderId="8" xfId="0" applyNumberFormat="1" applyFont="1" applyFill="1" applyBorder="1" applyAlignment="1">
      <alignment horizontal="left" vertical="center" wrapText="1"/>
    </xf>
    <xf numFmtId="4" fontId="1" fillId="2" borderId="6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4" fontId="1" fillId="2" borderId="23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4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4" fontId="1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4" fontId="10" fillId="2" borderId="0" xfId="0" applyNumberFormat="1" applyFont="1" applyFill="1" applyAlignment="1">
      <alignment horizontal="right" vertical="center"/>
    </xf>
    <xf numFmtId="0" fontId="13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4" fontId="12" fillId="2" borderId="0" xfId="0" applyNumberFormat="1" applyFont="1" applyFill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6"/>
  <sheetViews>
    <sheetView tabSelected="1" zoomScale="115" zoomScaleNormal="115" workbookViewId="0"/>
  </sheetViews>
  <sheetFormatPr baseColWidth="10" defaultColWidth="8.83203125" defaultRowHeight="15"/>
  <cols>
    <col min="2" max="2" width="31.33203125" customWidth="1"/>
    <col min="3" max="3" width="5" customWidth="1"/>
    <col min="4" max="4" width="8.5" customWidth="1"/>
  </cols>
  <sheetData>
    <row r="2" spans="1:11">
      <c r="F2" s="182"/>
    </row>
    <row r="3" spans="1:11" ht="28.75" customHeight="1">
      <c r="A3" s="188" t="s">
        <v>0</v>
      </c>
      <c r="B3" s="189"/>
      <c r="C3" s="40" t="s">
        <v>1</v>
      </c>
      <c r="D3" s="40"/>
    </row>
    <row r="4" spans="1:11">
      <c r="A4" s="187"/>
      <c r="B4" s="39" t="s">
        <v>2</v>
      </c>
      <c r="C4" s="38" t="s">
        <v>3</v>
      </c>
      <c r="D4" s="113">
        <v>0</v>
      </c>
      <c r="F4" s="42"/>
      <c r="G4" s="42"/>
    </row>
    <row r="5" spans="1:11">
      <c r="A5" s="187"/>
      <c r="B5" s="39" t="s">
        <v>4</v>
      </c>
      <c r="C5" s="38" t="s">
        <v>3</v>
      </c>
      <c r="D5" s="113">
        <v>0</v>
      </c>
      <c r="H5">
        <v>0.3</v>
      </c>
      <c r="I5">
        <v>0.4</v>
      </c>
      <c r="J5">
        <v>0.5</v>
      </c>
      <c r="K5">
        <v>0.6</v>
      </c>
    </row>
    <row r="6" spans="1:11">
      <c r="A6" s="187"/>
      <c r="B6" s="39"/>
      <c r="C6" s="38"/>
      <c r="D6" s="38"/>
    </row>
    <row r="7" spans="1:11">
      <c r="A7" s="187"/>
      <c r="B7" s="39"/>
      <c r="C7" s="38"/>
      <c r="D7" s="38"/>
      <c r="F7" s="42"/>
      <c r="G7" s="42"/>
    </row>
    <row r="8" spans="1:11" ht="16">
      <c r="A8" s="187"/>
      <c r="B8" s="114" t="s">
        <v>5</v>
      </c>
      <c r="C8" s="38" t="s">
        <v>3</v>
      </c>
      <c r="D8" s="113">
        <v>0</v>
      </c>
      <c r="F8" s="183" t="s">
        <v>6</v>
      </c>
      <c r="G8" s="162"/>
      <c r="H8">
        <v>0.5</v>
      </c>
      <c r="I8">
        <v>0.5</v>
      </c>
      <c r="J8">
        <v>0.5</v>
      </c>
    </row>
    <row r="9" spans="1:11">
      <c r="A9" s="187"/>
      <c r="B9" s="39" t="s">
        <v>7</v>
      </c>
      <c r="C9" s="38" t="s">
        <v>8</v>
      </c>
      <c r="D9" s="113">
        <v>0</v>
      </c>
      <c r="F9" s="183" t="s">
        <v>9</v>
      </c>
      <c r="G9" s="162"/>
      <c r="H9">
        <v>0.6</v>
      </c>
      <c r="I9">
        <v>0.6</v>
      </c>
      <c r="J9">
        <v>0.6</v>
      </c>
      <c r="K9">
        <v>0.6</v>
      </c>
    </row>
    <row r="10" spans="1:11">
      <c r="A10" s="187"/>
      <c r="B10" s="39" t="s">
        <v>10</v>
      </c>
      <c r="C10" s="38" t="s">
        <v>8</v>
      </c>
      <c r="D10" s="113">
        <v>0</v>
      </c>
      <c r="F10" s="183" t="s">
        <v>11</v>
      </c>
      <c r="H10">
        <v>0.7</v>
      </c>
      <c r="I10">
        <v>0.7</v>
      </c>
      <c r="J10">
        <v>0.7</v>
      </c>
      <c r="K10">
        <v>0.7</v>
      </c>
    </row>
    <row r="11" spans="1:11">
      <c r="A11" s="187"/>
      <c r="B11" s="39" t="s">
        <v>12</v>
      </c>
      <c r="C11" s="38" t="s">
        <v>8</v>
      </c>
      <c r="D11" s="113">
        <v>0</v>
      </c>
      <c r="F11" s="183" t="s">
        <v>13</v>
      </c>
      <c r="H11">
        <v>0.8</v>
      </c>
      <c r="I11">
        <v>0.8</v>
      </c>
      <c r="J11">
        <v>0.8</v>
      </c>
      <c r="K11">
        <v>0.8</v>
      </c>
    </row>
    <row r="12" spans="1:11">
      <c r="A12" s="187"/>
      <c r="B12" s="39" t="s">
        <v>14</v>
      </c>
      <c r="C12" s="38" t="s">
        <v>8</v>
      </c>
      <c r="D12" s="113">
        <v>0</v>
      </c>
      <c r="F12" s="183" t="s">
        <v>15</v>
      </c>
      <c r="H12">
        <v>0.9</v>
      </c>
      <c r="I12">
        <v>0.9</v>
      </c>
      <c r="J12">
        <v>0.9</v>
      </c>
      <c r="K12">
        <v>0.9</v>
      </c>
    </row>
    <row r="13" spans="1:11">
      <c r="A13" s="187"/>
      <c r="B13" s="39"/>
      <c r="C13" s="38"/>
      <c r="D13" s="38"/>
      <c r="F13" s="184" t="s">
        <v>16</v>
      </c>
    </row>
    <row r="14" spans="1:11">
      <c r="A14" s="187"/>
      <c r="B14" s="41" t="s">
        <v>17</v>
      </c>
      <c r="C14" s="38" t="s">
        <v>3</v>
      </c>
      <c r="D14" s="113">
        <v>0</v>
      </c>
      <c r="F14" s="184" t="s">
        <v>18</v>
      </c>
    </row>
    <row r="15" spans="1:11">
      <c r="A15" s="187"/>
      <c r="B15" s="41" t="s">
        <v>19</v>
      </c>
      <c r="C15" s="38" t="s">
        <v>3</v>
      </c>
      <c r="D15" s="113">
        <v>0</v>
      </c>
      <c r="F15" s="184" t="s">
        <v>20</v>
      </c>
    </row>
    <row r="16" spans="1:11">
      <c r="A16" s="187"/>
      <c r="B16" s="39" t="s">
        <v>21</v>
      </c>
      <c r="C16" s="38" t="s">
        <v>22</v>
      </c>
      <c r="D16" s="113">
        <v>0</v>
      </c>
      <c r="F16" s="184" t="s">
        <v>23</v>
      </c>
    </row>
    <row r="17" spans="1:6">
      <c r="A17" s="187"/>
      <c r="B17" s="41"/>
      <c r="C17" s="38"/>
      <c r="D17" s="38"/>
      <c r="F17" s="184" t="s">
        <v>24</v>
      </c>
    </row>
    <row r="18" spans="1:6">
      <c r="F18" s="185" t="s">
        <v>25</v>
      </c>
    </row>
    <row r="19" spans="1:6">
      <c r="F19" s="185" t="s">
        <v>26</v>
      </c>
    </row>
    <row r="20" spans="1:6">
      <c r="F20" s="185" t="s">
        <v>27</v>
      </c>
    </row>
    <row r="21" spans="1:6">
      <c r="F21" s="185" t="s">
        <v>28</v>
      </c>
    </row>
    <row r="22" spans="1:6">
      <c r="F22" s="185" t="s">
        <v>29</v>
      </c>
    </row>
    <row r="23" spans="1:6">
      <c r="F23" s="186" t="s">
        <v>30</v>
      </c>
    </row>
    <row r="24" spans="1:6">
      <c r="F24" s="186" t="s">
        <v>31</v>
      </c>
    </row>
    <row r="25" spans="1:6">
      <c r="F25" s="186" t="s">
        <v>32</v>
      </c>
    </row>
    <row r="26" spans="1:6">
      <c r="F26" s="186" t="s">
        <v>33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4:A17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35"/>
  <sheetViews>
    <sheetView topLeftCell="A22" zoomScale="110" zoomScaleNormal="110" workbookViewId="0">
      <selection activeCell="L31" sqref="L31"/>
    </sheetView>
  </sheetViews>
  <sheetFormatPr baseColWidth="10" defaultColWidth="8.83203125" defaultRowHeight="15"/>
  <cols>
    <col min="1" max="1" width="11.1640625" customWidth="1"/>
    <col min="2" max="2" width="10" customWidth="1"/>
    <col min="3" max="3" width="19.33203125" customWidth="1"/>
    <col min="4" max="4" width="6.1640625" style="42" customWidth="1"/>
    <col min="5" max="5" width="11" customWidth="1"/>
    <col min="6" max="6" width="2.83203125" style="42" customWidth="1"/>
    <col min="7" max="7" width="18.6640625" customWidth="1"/>
    <col min="8" max="8" width="9.1640625" customWidth="1"/>
    <col min="9" max="9" width="11.33203125" customWidth="1"/>
    <col min="10" max="10" width="6" style="42" customWidth="1"/>
    <col min="11" max="11" width="8.33203125" customWidth="1"/>
    <col min="13" max="13" width="4.5" customWidth="1"/>
  </cols>
  <sheetData>
    <row r="1" spans="1:20" ht="15.5" customHeight="1">
      <c r="A1" s="44"/>
      <c r="B1" s="45"/>
      <c r="C1" s="45"/>
      <c r="D1" s="54"/>
      <c r="E1" s="201" t="s">
        <v>34</v>
      </c>
      <c r="F1" s="201"/>
      <c r="G1" s="202"/>
      <c r="H1" s="44"/>
      <c r="I1" s="196" t="s">
        <v>35</v>
      </c>
      <c r="J1" s="196"/>
      <c r="K1" s="196"/>
      <c r="L1" s="197"/>
      <c r="M1" s="44"/>
      <c r="N1" s="196" t="s">
        <v>36</v>
      </c>
      <c r="O1" s="196"/>
      <c r="P1" s="197"/>
    </row>
    <row r="2" spans="1:20">
      <c r="A2" s="190" t="s">
        <v>37</v>
      </c>
      <c r="B2" s="191"/>
      <c r="C2" s="191"/>
      <c r="G2" s="47"/>
      <c r="H2" s="190" t="s">
        <v>38</v>
      </c>
      <c r="I2" s="191"/>
      <c r="L2" s="47"/>
      <c r="M2" s="60"/>
      <c r="N2" s="123">
        <f>ROUNDUP(данные!D16/100,0)</f>
        <v>0</v>
      </c>
      <c r="P2" s="47"/>
    </row>
    <row r="3" spans="1:20" s="43" customFormat="1" ht="15" customHeight="1">
      <c r="A3" s="48"/>
      <c r="B3" s="43">
        <f>данные!D4/5.45</f>
        <v>0</v>
      </c>
      <c r="C3" s="137">
        <f>ROUNDUP(B3,0)*5.85</f>
        <v>0</v>
      </c>
      <c r="D3" s="55" t="s">
        <v>39</v>
      </c>
      <c r="F3" s="55"/>
      <c r="G3" s="49"/>
      <c r="H3" s="58">
        <f>данные!D4*(данные!D5+0.1)*(0.1+данные!D14+данные!D15+данные!D13/2)+данные!D6*(данные!D7+0.1)*(0.1+данные!D14+данные!D15+данные!D13/2)</f>
        <v>0</v>
      </c>
      <c r="I3" s="123">
        <f>H3</f>
        <v>0</v>
      </c>
      <c r="J3" s="55" t="s">
        <v>40</v>
      </c>
      <c r="L3" s="49"/>
      <c r="M3" s="66"/>
      <c r="N3" s="67"/>
      <c r="O3" s="67"/>
      <c r="P3" s="68"/>
    </row>
    <row r="4" spans="1:20">
      <c r="A4" s="190" t="s">
        <v>41</v>
      </c>
      <c r="B4" s="191"/>
      <c r="C4" s="191"/>
      <c r="G4" s="47"/>
      <c r="H4" s="190" t="s">
        <v>42</v>
      </c>
      <c r="I4" s="191"/>
      <c r="L4" s="47"/>
    </row>
    <row r="5" spans="1:20" s="43" customFormat="1">
      <c r="A5" s="48"/>
      <c r="B5" s="43">
        <f>данные!D6/5.45</f>
        <v>0</v>
      </c>
      <c r="C5" s="137">
        <f>ROUNDUP(B5,0)*5.85</f>
        <v>0</v>
      </c>
      <c r="D5" s="55" t="s">
        <v>39</v>
      </c>
      <c r="F5" s="55"/>
      <c r="G5" s="49"/>
      <c r="H5" s="58">
        <f>данные!D4*(данные!D5+0.1)+данные!D6*(данные!D7+0.1)</f>
        <v>0</v>
      </c>
      <c r="I5" s="123">
        <f>H5</f>
        <v>0</v>
      </c>
      <c r="J5" s="55" t="s">
        <v>22</v>
      </c>
      <c r="L5" s="49"/>
    </row>
    <row r="6" spans="1:20">
      <c r="A6" s="190" t="s">
        <v>43</v>
      </c>
      <c r="B6" s="191"/>
      <c r="C6" s="191"/>
      <c r="G6" s="47"/>
      <c r="H6" s="203" t="s">
        <v>44</v>
      </c>
      <c r="I6" s="204"/>
      <c r="L6" s="47"/>
    </row>
    <row r="7" spans="1:20" s="43" customFormat="1">
      <c r="A7" s="48"/>
      <c r="B7" s="43">
        <f>(данные!D5-0.06)/0.17</f>
        <v>-0.3529411764705882</v>
      </c>
      <c r="C7" s="137">
        <f>ROUNDUP(B7,0)</f>
        <v>-1</v>
      </c>
      <c r="D7" s="55" t="s">
        <v>45</v>
      </c>
      <c r="F7" s="55"/>
      <c r="G7" s="49"/>
      <c r="H7" s="58">
        <f>H5*данные!D14</f>
        <v>0</v>
      </c>
      <c r="I7" s="123">
        <f>H7</f>
        <v>0</v>
      </c>
      <c r="J7" s="55" t="s">
        <v>40</v>
      </c>
      <c r="L7" s="49"/>
    </row>
    <row r="8" spans="1:20">
      <c r="A8" s="190" t="s">
        <v>46</v>
      </c>
      <c r="B8" s="191"/>
      <c r="C8" s="191"/>
      <c r="G8" s="47"/>
      <c r="H8" s="60" t="s">
        <v>47</v>
      </c>
      <c r="L8" s="47"/>
    </row>
    <row r="9" spans="1:20" s="43" customFormat="1">
      <c r="A9" s="48"/>
      <c r="B9" s="43">
        <f>IF(данные!D6=0,0,(данные!D7-0.06)/0.15)</f>
        <v>0</v>
      </c>
      <c r="C9" s="137">
        <f>ROUNDUP(B9,0)</f>
        <v>0</v>
      </c>
      <c r="D9" s="55" t="s">
        <v>45</v>
      </c>
      <c r="F9" s="55"/>
      <c r="G9" s="49"/>
      <c r="H9" s="58">
        <f>I5*данные!D15</f>
        <v>0</v>
      </c>
      <c r="I9" s="123">
        <f>H9</f>
        <v>0</v>
      </c>
      <c r="J9" s="55" t="s">
        <v>40</v>
      </c>
      <c r="L9" s="49"/>
    </row>
    <row r="10" spans="1:20" s="43" customFormat="1">
      <c r="A10" s="190" t="s">
        <v>48</v>
      </c>
      <c r="B10" s="191"/>
      <c r="C10" s="191"/>
      <c r="D10" s="42"/>
      <c r="E10" t="s">
        <v>49</v>
      </c>
      <c r="F10" s="42"/>
      <c r="G10" s="47"/>
      <c r="H10" s="205" t="s">
        <v>50</v>
      </c>
      <c r="I10" s="206"/>
      <c r="J10" s="55"/>
      <c r="L10" s="49"/>
    </row>
    <row r="11" spans="1:20" s="43" customFormat="1" ht="29.5" customHeight="1">
      <c r="A11" s="48"/>
      <c r="B11" s="43">
        <f>(данные!D8+данные!D13)/0.3+1</f>
        <v>1</v>
      </c>
      <c r="C11" s="137">
        <f>ROUNDUP(B11,0)</f>
        <v>1</v>
      </c>
      <c r="D11" s="55" t="s">
        <v>45</v>
      </c>
      <c r="E11" s="120">
        <f>(C11*C7*C3+C11*C9*C5)*0.889/1000*1.05</f>
        <v>0</v>
      </c>
      <c r="F11" s="55" t="s">
        <v>51</v>
      </c>
      <c r="G11" s="50" t="s">
        <v>52</v>
      </c>
      <c r="H11" s="124">
        <f>(данные!D4)*(данные!D5+0.1+0.1*2+данные!D13+(данные!D14+данные!D15)*2)+(данные!D6*(данные!D7+0.1+0.1*2+данные!D13+(данные!D14+данные!D15)*2))+(данные!D9+данные!D10+данные!D11+данные!D12)*((данные!D5+0.1)*2)</f>
        <v>0</v>
      </c>
      <c r="I11" s="59">
        <f>ROUNDUP((данные!D4+данные!D6)/1000/48,0)</f>
        <v>0</v>
      </c>
      <c r="J11" s="55" t="s">
        <v>22</v>
      </c>
      <c r="K11" s="122">
        <f>IF((данные!D5+0.1+0.1*2+данные!D13+(данные!D14+данные!D15)*2)&lt;1.5,1500,2000)</f>
        <v>1500</v>
      </c>
      <c r="L11" s="49"/>
      <c r="N11" s="61" t="s">
        <v>53</v>
      </c>
    </row>
    <row r="12" spans="1:20">
      <c r="A12" s="190" t="s">
        <v>54</v>
      </c>
      <c r="B12" s="191"/>
      <c r="C12" s="191"/>
      <c r="G12" s="47"/>
      <c r="H12" s="62"/>
      <c r="I12" s="45"/>
      <c r="J12" s="54"/>
      <c r="K12" s="45"/>
      <c r="L12" s="45"/>
      <c r="M12" s="45"/>
      <c r="N12" s="196" t="s">
        <v>55</v>
      </c>
      <c r="O12" s="196"/>
      <c r="P12" s="197"/>
    </row>
    <row r="13" spans="1:20" s="43" customFormat="1" ht="57.5" customHeight="1">
      <c r="A13" s="48"/>
      <c r="B13" s="123">
        <f>данные!D9*расчеты!C11*4</f>
        <v>0</v>
      </c>
      <c r="C13" s="137">
        <f>данные!D7+1.4</f>
        <v>1.4</v>
      </c>
      <c r="D13" s="55" t="s">
        <v>39</v>
      </c>
      <c r="E13" s="120">
        <f>данные!D5*5*B13*0.889/1000*1.02</f>
        <v>0</v>
      </c>
      <c r="F13" s="55" t="s">
        <v>51</v>
      </c>
      <c r="G13" s="50" t="s">
        <v>56</v>
      </c>
      <c r="H13" s="124">
        <f>(данные!D4+данные!D6)*2*(ROUNDUP((данные!D8+0.1+данные!D13)/0.1,0)*0.1)</f>
        <v>0</v>
      </c>
      <c r="J13" s="55">
        <f>ROUNDUP((данные!D4+данные!D6)/0.9,0)*2</f>
        <v>0</v>
      </c>
      <c r="K13" s="43">
        <f>J13/2</f>
        <v>0</v>
      </c>
      <c r="L13" s="43">
        <f>(данные!D8+0.1+данные!D13)*2</f>
        <v>0.2</v>
      </c>
      <c r="N13" s="61" t="s">
        <v>57</v>
      </c>
      <c r="P13" s="125">
        <f>(H13*0.05+J13*(данные!D8+0.1+данные!D13)*0.05*0.1+K13*L13*0.05*0.1)*1.05</f>
        <v>0</v>
      </c>
      <c r="Q13" s="139"/>
    </row>
    <row r="14" spans="1:20" ht="72" customHeight="1">
      <c r="A14" s="190" t="s">
        <v>58</v>
      </c>
      <c r="B14" s="191"/>
      <c r="C14" s="191"/>
      <c r="G14" s="47"/>
      <c r="H14" s="58">
        <f>(данные!D5+0.3)*1000</f>
        <v>300</v>
      </c>
      <c r="I14" s="55" t="s">
        <v>59</v>
      </c>
      <c r="K14" s="63">
        <f>ROUNDUP(данные!D4/0.9,0)*2</f>
        <v>0</v>
      </c>
      <c r="M14" s="43" t="s">
        <v>60</v>
      </c>
      <c r="N14" s="64" t="s">
        <v>61</v>
      </c>
      <c r="O14" s="123">
        <f>CEILING(K14/ROUNDDOWN(2000/H14,0),1)</f>
        <v>0</v>
      </c>
      <c r="P14" s="65">
        <f>K14*2</f>
        <v>0</v>
      </c>
      <c r="Q14" s="55">
        <f>FLOOR(2000/H14,1)</f>
        <v>6</v>
      </c>
      <c r="R14" s="55">
        <f>2000-H14*Q14</f>
        <v>200</v>
      </c>
      <c r="S14" s="55">
        <f>IF(R14&gt;H15-1,O14,0)</f>
        <v>0</v>
      </c>
      <c r="T14" s="55">
        <f>S14/FLOOR(2000/H15,1)</f>
        <v>0</v>
      </c>
    </row>
    <row r="15" spans="1:20" s="43" customFormat="1" ht="72" customHeight="1">
      <c r="A15" s="48"/>
      <c r="B15" s="123">
        <f>данные!D10*C11*2</f>
        <v>0</v>
      </c>
      <c r="C15" s="137">
        <f>данные!D5+1.4</f>
        <v>1.4</v>
      </c>
      <c r="D15" s="55" t="s">
        <v>39</v>
      </c>
      <c r="E15" s="120">
        <f>данные!D5*6*B15*0.889/1000*1.02</f>
        <v>0</v>
      </c>
      <c r="F15" s="55" t="s">
        <v>51</v>
      </c>
      <c r="G15" s="50" t="s">
        <v>56</v>
      </c>
      <c r="H15" s="58">
        <f>(данные!D7+0.3)*1000</f>
        <v>300</v>
      </c>
      <c r="I15" s="43" t="s">
        <v>62</v>
      </c>
      <c r="J15" s="55"/>
      <c r="K15" s="63">
        <f>ROUNDUP(данные!D6/0.9,0)*2</f>
        <v>0</v>
      </c>
      <c r="M15" s="43" t="s">
        <v>60</v>
      </c>
      <c r="N15" s="64" t="s">
        <v>61</v>
      </c>
      <c r="O15" s="123">
        <f>CEILING(K15/ROUNDDOWN(2000/H15,0),1)-Q15</f>
        <v>0</v>
      </c>
      <c r="P15" s="65">
        <f>K15*2</f>
        <v>0</v>
      </c>
      <c r="Q15" s="43">
        <f>T14</f>
        <v>0</v>
      </c>
    </row>
    <row r="16" spans="1:20" ht="28.75" customHeight="1">
      <c r="A16" s="190" t="s">
        <v>63</v>
      </c>
      <c r="B16" s="191"/>
      <c r="C16" s="191"/>
      <c r="G16" s="47"/>
      <c r="H16" s="60"/>
      <c r="K16" s="123">
        <f>ROUNDUP(K14*H14/1000+K15*H15/1000,0)</f>
        <v>0</v>
      </c>
      <c r="M16" t="s">
        <v>39</v>
      </c>
      <c r="N16" s="64" t="s">
        <v>64</v>
      </c>
      <c r="P16" s="47"/>
    </row>
    <row r="17" spans="1:16" s="43" customFormat="1" ht="28.75" customHeight="1">
      <c r="A17" s="48"/>
      <c r="B17" s="123">
        <f>данные!D11*C11*2</f>
        <v>0</v>
      </c>
      <c r="C17" s="137">
        <f>данные!D5+1.4</f>
        <v>1.4</v>
      </c>
      <c r="D17" s="55" t="s">
        <v>39</v>
      </c>
      <c r="E17" s="120">
        <f>C17*B17*0.889/1000*1.02</f>
        <v>0</v>
      </c>
      <c r="F17" s="55" t="s">
        <v>51</v>
      </c>
      <c r="G17" s="50" t="s">
        <v>56</v>
      </c>
      <c r="H17" s="126">
        <f>H13+данные!D4*данные!D5+данные!D6*данные!D7+(данные!D4+данные!D6)*0.2</f>
        <v>0</v>
      </c>
      <c r="I17" s="42"/>
      <c r="J17" s="55"/>
      <c r="N17" s="43" t="s">
        <v>65</v>
      </c>
      <c r="P17" s="49"/>
    </row>
    <row r="18" spans="1:16" s="43" customFormat="1" ht="28.75" customHeight="1">
      <c r="A18" s="48"/>
      <c r="B18" s="123">
        <f>данные!D11*C11</f>
        <v>0</v>
      </c>
      <c r="C18" s="137">
        <f>данные!D5*2+1.4</f>
        <v>1.4</v>
      </c>
      <c r="D18" s="55" t="s">
        <v>39</v>
      </c>
      <c r="E18" s="120">
        <f>C18*B18*0.889/1000*1.02</f>
        <v>0</v>
      </c>
      <c r="F18" s="55" t="s">
        <v>51</v>
      </c>
      <c r="G18" s="50" t="s">
        <v>56</v>
      </c>
      <c r="H18" s="138"/>
      <c r="I18" s="42"/>
      <c r="J18" s="55"/>
      <c r="P18" s="49"/>
    </row>
    <row r="19" spans="1:16" ht="28.75" customHeight="1">
      <c r="A19" s="190" t="s">
        <v>66</v>
      </c>
      <c r="B19" s="191"/>
      <c r="C19" s="191"/>
      <c r="G19" s="47"/>
      <c r="H19" s="60"/>
      <c r="K19" s="123">
        <f>(ROUNDUP((данные!D8+данные!D13)/0.1,0))*J13*2/102</f>
        <v>0</v>
      </c>
      <c r="M19" s="43" t="s">
        <v>67</v>
      </c>
      <c r="N19" s="64" t="s">
        <v>68</v>
      </c>
      <c r="P19" s="47"/>
    </row>
    <row r="20" spans="1:16" s="43" customFormat="1" ht="28.75" customHeight="1">
      <c r="A20" s="48"/>
      <c r="B20" s="123">
        <f>данные!D12*C11*2</f>
        <v>0</v>
      </c>
      <c r="C20" s="137">
        <f>1.6</f>
        <v>1.6</v>
      </c>
      <c r="D20" s="55" t="s">
        <v>39</v>
      </c>
      <c r="E20" s="120">
        <f>C20*B20*0.889/1000*1.02</f>
        <v>0</v>
      </c>
      <c r="F20" s="55" t="s">
        <v>51</v>
      </c>
      <c r="G20" s="50" t="s">
        <v>56</v>
      </c>
      <c r="H20" s="48"/>
      <c r="J20" s="55"/>
      <c r="K20" s="123">
        <f>K13*4/130</f>
        <v>0</v>
      </c>
      <c r="M20" s="43" t="s">
        <v>67</v>
      </c>
      <c r="N20" s="61" t="s">
        <v>69</v>
      </c>
      <c r="P20" s="49"/>
    </row>
    <row r="21" spans="1:16">
      <c r="A21" s="190" t="s">
        <v>70</v>
      </c>
      <c r="B21" s="191"/>
      <c r="C21" s="191"/>
      <c r="G21" s="47"/>
      <c r="H21" s="60"/>
      <c r="P21" s="47"/>
    </row>
    <row r="22" spans="1:16" s="43" customFormat="1">
      <c r="A22" s="48" t="s">
        <v>59</v>
      </c>
      <c r="B22" s="123">
        <f>данные!D4/0.2</f>
        <v>0</v>
      </c>
      <c r="C22" s="137">
        <f>(данные!D8+данные!D13-0.1)*2+(данные!D5-0.06)*2+0.12*2</f>
        <v>-8.0000000000000016E-2</v>
      </c>
      <c r="D22" s="55" t="s">
        <v>39</v>
      </c>
      <c r="E22" s="120">
        <f>B22*C22*0.395/1000*1.05</f>
        <v>0</v>
      </c>
      <c r="F22" s="55" t="s">
        <v>51</v>
      </c>
      <c r="G22" s="49" t="s">
        <v>71</v>
      </c>
      <c r="H22" s="48">
        <f>данные!D5</f>
        <v>0</v>
      </c>
      <c r="I22" s="43">
        <f>ROUNDUP(данные!D4/5*2,0)</f>
        <v>0</v>
      </c>
      <c r="J22" s="43">
        <f>данные!D5*I22</f>
        <v>0</v>
      </c>
      <c r="K22" s="43" t="e">
        <f>CEILING(I22/ROUNDDOWN(2/H22,0),1)</f>
        <v>#DIV/0!</v>
      </c>
      <c r="L22" s="194" t="e">
        <f>K22+K23</f>
        <v>#DIV/0!</v>
      </c>
      <c r="N22" s="43" t="s">
        <v>72</v>
      </c>
      <c r="P22" s="176" t="s">
        <v>73</v>
      </c>
    </row>
    <row r="23" spans="1:16" s="43" customFormat="1" ht="15" customHeight="1">
      <c r="A23" s="48" t="s">
        <v>62</v>
      </c>
      <c r="B23" s="123">
        <f>данные!D6/0.2</f>
        <v>0</v>
      </c>
      <c r="C23" s="137">
        <f>(данные!D8+данные!D13-0.1)*2+(данные!D7-0.06)*2+0.12*2</f>
        <v>-8.0000000000000016E-2</v>
      </c>
      <c r="D23" s="55" t="s">
        <v>39</v>
      </c>
      <c r="E23" s="120">
        <f>B23*C23*0.395/1000*1.05</f>
        <v>0</v>
      </c>
      <c r="F23" s="55" t="s">
        <v>51</v>
      </c>
      <c r="G23" s="49" t="s">
        <v>71</v>
      </c>
      <c r="H23" s="66">
        <f>данные!D7</f>
        <v>0</v>
      </c>
      <c r="I23" s="67">
        <f>ROUNDUP(данные!D6/5*3,0)</f>
        <v>0</v>
      </c>
      <c r="J23" s="67">
        <f>данные!D7*I23</f>
        <v>0</v>
      </c>
      <c r="K23" s="67">
        <f>IF(данные!D6=0,0,CEILING(I23/ROUNDDOWN(2/H23,0),1))</f>
        <v>0</v>
      </c>
      <c r="L23" s="195"/>
      <c r="M23" s="67"/>
      <c r="N23" s="67" t="s">
        <v>74</v>
      </c>
      <c r="O23" s="67"/>
      <c r="P23" s="177" t="s">
        <v>73</v>
      </c>
    </row>
    <row r="24" spans="1:16">
      <c r="A24" s="190" t="s">
        <v>75</v>
      </c>
      <c r="B24" s="191"/>
      <c r="C24" s="191"/>
      <c r="G24" s="47"/>
      <c r="H24" s="44"/>
      <c r="I24" s="45"/>
      <c r="J24" s="54"/>
      <c r="K24" s="45"/>
      <c r="L24" s="196" t="s">
        <v>76</v>
      </c>
      <c r="M24" s="196"/>
      <c r="N24" s="196"/>
      <c r="O24" s="196"/>
      <c r="P24" s="197"/>
    </row>
    <row r="25" spans="1:16" s="43" customFormat="1" ht="31.25" customHeight="1">
      <c r="A25" s="48"/>
      <c r="B25" s="123">
        <f>ROUNDUP(C25/((данные!D8+данные!D13-0.05)),0)+1</f>
        <v>1</v>
      </c>
      <c r="C25" s="137">
        <f>ROUNDUP(((данные!D4/0.6*расчеты!C7+данные!D6/0.6*расчеты!C9)*(данные!D8+данные!D13-0.05)),0)</f>
        <v>0</v>
      </c>
      <c r="D25" s="55" t="s">
        <v>39</v>
      </c>
      <c r="E25" s="120">
        <f>C25*0.889/1000*1.02</f>
        <v>0</v>
      </c>
      <c r="F25" s="55" t="s">
        <v>51</v>
      </c>
      <c r="G25" s="50" t="s">
        <v>77</v>
      </c>
      <c r="H25" s="70" t="e">
        <f>данные!D4/9/I25</f>
        <v>#DIV/0!</v>
      </c>
      <c r="I25" s="43" t="e">
        <f>ROUNDDOWN(1/данные!D5,0)</f>
        <v>#DIV/0!</v>
      </c>
      <c r="J25" s="198" t="e">
        <f>CEILING(H25+H26,1)</f>
        <v>#DIV/0!</v>
      </c>
      <c r="K25" t="s">
        <v>78</v>
      </c>
      <c r="L25" s="43">
        <f>данные!D4*данные!D5</f>
        <v>0</v>
      </c>
      <c r="N25" s="198">
        <f>L25+L26</f>
        <v>0</v>
      </c>
      <c r="O25" t="s">
        <v>22</v>
      </c>
      <c r="P25" s="49"/>
    </row>
    <row r="26" spans="1:16">
      <c r="A26" s="190" t="s">
        <v>79</v>
      </c>
      <c r="B26" s="191"/>
      <c r="C26" s="191"/>
      <c r="G26" s="47"/>
      <c r="H26" s="69">
        <f>IF(данные!D6=0,0,данные!D6/9/I26)</f>
        <v>0</v>
      </c>
      <c r="I26" s="43">
        <f>IF(данные!D7=0,0,ROUNDDOWN(1/данные!D7,0))</f>
        <v>0</v>
      </c>
      <c r="J26" s="194"/>
      <c r="L26" s="43">
        <f>данные!D6*данные!D7</f>
        <v>0</v>
      </c>
      <c r="N26" s="198"/>
      <c r="P26" s="47"/>
    </row>
    <row r="27" spans="1:16" ht="15" customHeight="1">
      <c r="A27" s="51"/>
      <c r="B27" s="52"/>
      <c r="C27" s="52"/>
      <c r="D27" s="56"/>
      <c r="E27" s="121">
        <f>(E11+E13+E15+E17+E20+E22+E23+E25)*0.03</f>
        <v>0</v>
      </c>
      <c r="F27" s="57" t="s">
        <v>51</v>
      </c>
      <c r="G27" s="53" t="s">
        <v>80</v>
      </c>
      <c r="H27" s="51"/>
      <c r="I27" s="52"/>
      <c r="J27" s="56"/>
      <c r="K27" s="52"/>
      <c r="L27" s="52"/>
      <c r="M27" s="52"/>
      <c r="N27" s="128">
        <f>ROUNDUP(N25*1.2/20,0)</f>
        <v>0</v>
      </c>
      <c r="O27" s="52" t="s">
        <v>81</v>
      </c>
      <c r="P27" s="53"/>
    </row>
    <row r="28" spans="1:16">
      <c r="A28" s="44"/>
      <c r="B28" s="45"/>
      <c r="C28" s="71" t="s">
        <v>82</v>
      </c>
      <c r="D28" s="72"/>
      <c r="E28" s="45"/>
      <c r="F28" s="54"/>
      <c r="G28" s="45"/>
      <c r="H28" s="45"/>
      <c r="I28" s="45"/>
      <c r="J28" s="54"/>
      <c r="K28" s="45"/>
      <c r="L28" s="45"/>
      <c r="M28" s="45"/>
      <c r="N28" s="192" t="s">
        <v>83</v>
      </c>
      <c r="O28" s="192"/>
      <c r="P28" s="193"/>
    </row>
    <row r="29" spans="1:16">
      <c r="A29" s="127">
        <f>данные!D4*данные!D5*((данные!D8+данные!D13+0.1))+данные!D6*данные!D7*((данные!D8+данные!D13+0.1))</f>
        <v>0</v>
      </c>
      <c r="C29" s="47"/>
      <c r="D29" s="46"/>
      <c r="E29" t="s">
        <v>84</v>
      </c>
      <c r="G29" s="42" t="s">
        <v>85</v>
      </c>
      <c r="H29" s="42" t="s">
        <v>86</v>
      </c>
      <c r="I29" s="42" t="s">
        <v>87</v>
      </c>
      <c r="J29" s="42" t="s">
        <v>88</v>
      </c>
      <c r="L29" s="42" t="s">
        <v>89</v>
      </c>
      <c r="P29" s="47"/>
    </row>
    <row r="30" spans="1:16">
      <c r="A30" s="60"/>
      <c r="C30" s="47"/>
      <c r="D30" s="46"/>
      <c r="G30" s="55" t="s">
        <v>51</v>
      </c>
      <c r="H30" s="55" t="s">
        <v>51</v>
      </c>
      <c r="I30" s="42"/>
      <c r="P30" s="47"/>
    </row>
    <row r="31" spans="1:16" ht="15" customHeight="1">
      <c r="A31" s="51"/>
      <c r="B31" s="52"/>
      <c r="C31" s="53"/>
      <c r="D31" s="73"/>
      <c r="E31" s="128">
        <f>CEILING((G31+H31)/8,1)</f>
        <v>0</v>
      </c>
      <c r="F31" s="56"/>
      <c r="G31" s="74">
        <f>E11+E13+E15+E17+E20+E22+E23+E25+E27</f>
        <v>0</v>
      </c>
      <c r="H31" s="75">
        <f>P13*0.8</f>
        <v>0</v>
      </c>
      <c r="I31" s="129">
        <v>1</v>
      </c>
      <c r="J31" s="129">
        <f>IF(H3&gt;20,1,0)</f>
        <v>0</v>
      </c>
      <c r="K31" s="130">
        <f>+CEILING(H3/34,1)</f>
        <v>0</v>
      </c>
      <c r="L31" s="130">
        <f>ROUNDUP(A29/54,0)</f>
        <v>0</v>
      </c>
      <c r="M31" s="52"/>
      <c r="N31" s="52"/>
      <c r="O31" s="52"/>
      <c r="P31" s="53"/>
    </row>
    <row r="34" spans="2:6" ht="15.5" customHeight="1">
      <c r="B34" s="199" t="s">
        <v>90</v>
      </c>
      <c r="C34" s="199"/>
      <c r="D34" s="199"/>
      <c r="E34" s="171"/>
      <c r="F34" s="171"/>
    </row>
    <row r="35" spans="2:6" ht="15.5" customHeight="1">
      <c r="B35" s="200" t="s">
        <v>91</v>
      </c>
      <c r="C35" s="200"/>
      <c r="D35" s="200"/>
      <c r="E35" s="171"/>
      <c r="F35" s="171"/>
    </row>
  </sheetData>
  <mergeCells count="27">
    <mergeCell ref="B34:D34"/>
    <mergeCell ref="B35:D35"/>
    <mergeCell ref="N1:P1"/>
    <mergeCell ref="N12:P12"/>
    <mergeCell ref="A10:C10"/>
    <mergeCell ref="A6:C6"/>
    <mergeCell ref="A8:C8"/>
    <mergeCell ref="A4:C4"/>
    <mergeCell ref="A12:C12"/>
    <mergeCell ref="A14:C14"/>
    <mergeCell ref="E1:G1"/>
    <mergeCell ref="H2:I2"/>
    <mergeCell ref="H4:I4"/>
    <mergeCell ref="H6:I6"/>
    <mergeCell ref="H10:I10"/>
    <mergeCell ref="I1:L1"/>
    <mergeCell ref="A2:C2"/>
    <mergeCell ref="N28:P28"/>
    <mergeCell ref="A16:C16"/>
    <mergeCell ref="A19:C19"/>
    <mergeCell ref="L22:L23"/>
    <mergeCell ref="A26:C26"/>
    <mergeCell ref="L24:P24"/>
    <mergeCell ref="J25:J26"/>
    <mergeCell ref="N25:N26"/>
    <mergeCell ref="A24:C24"/>
    <mergeCell ref="A21:C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G56"/>
  <sheetViews>
    <sheetView zoomScale="120" zoomScaleNormal="120" workbookViewId="0">
      <selection activeCell="F27" sqref="F27"/>
    </sheetView>
  </sheetViews>
  <sheetFormatPr baseColWidth="10" defaultColWidth="8.83203125" defaultRowHeight="15"/>
  <cols>
    <col min="2" max="2" width="54.1640625" customWidth="1"/>
    <col min="3" max="3" width="9.83203125" customWidth="1"/>
    <col min="4" max="4" width="9.6640625" style="42" customWidth="1"/>
    <col min="5" max="5" width="11.1640625" style="55" customWidth="1"/>
    <col min="6" max="6" width="8.1640625" customWidth="1"/>
    <col min="7" max="7" width="8.83203125" style="55" customWidth="1"/>
  </cols>
  <sheetData>
    <row r="2" spans="2:7" ht="16">
      <c r="B2" s="179" t="s">
        <v>92</v>
      </c>
      <c r="D2" s="98" t="s">
        <v>93</v>
      </c>
      <c r="E2" s="55" t="s">
        <v>94</v>
      </c>
      <c r="F2" s="55" t="s">
        <v>95</v>
      </c>
    </row>
    <row r="3" spans="2:7">
      <c r="B3" s="207" t="s">
        <v>96</v>
      </c>
      <c r="C3" s="208"/>
      <c r="D3" s="42" t="s">
        <v>40</v>
      </c>
      <c r="E3" s="59">
        <v>1300</v>
      </c>
    </row>
    <row r="4" spans="2:7" ht="28.75" customHeight="1">
      <c r="B4" s="96" t="s">
        <v>97</v>
      </c>
      <c r="C4" s="95">
        <v>1500</v>
      </c>
      <c r="D4" s="55" t="s">
        <v>22</v>
      </c>
      <c r="E4" s="59">
        <v>65</v>
      </c>
    </row>
    <row r="5" spans="2:7" ht="28.75" customHeight="1">
      <c r="B5" s="96" t="s">
        <v>97</v>
      </c>
      <c r="C5" s="97">
        <v>2000</v>
      </c>
      <c r="D5" s="55" t="s">
        <v>22</v>
      </c>
      <c r="E5" s="59">
        <v>65</v>
      </c>
    </row>
    <row r="6" spans="2:7">
      <c r="B6" s="207" t="s">
        <v>98</v>
      </c>
      <c r="C6" s="209"/>
      <c r="D6" s="42" t="s">
        <v>40</v>
      </c>
      <c r="E6" s="59">
        <v>3150</v>
      </c>
    </row>
    <row r="7" spans="2:7">
      <c r="B7" s="210" t="s">
        <v>99</v>
      </c>
      <c r="C7" s="211"/>
      <c r="D7" s="42" t="s">
        <v>40</v>
      </c>
      <c r="E7" s="59">
        <v>16500</v>
      </c>
      <c r="G7" s="59">
        <f>E7/33</f>
        <v>500</v>
      </c>
    </row>
    <row r="8" spans="2:7">
      <c r="B8" s="210" t="s">
        <v>100</v>
      </c>
      <c r="C8" s="211"/>
      <c r="D8" s="42" t="s">
        <v>8</v>
      </c>
      <c r="E8" s="59">
        <v>240</v>
      </c>
    </row>
    <row r="9" spans="2:7">
      <c r="B9" s="210" t="s">
        <v>101</v>
      </c>
      <c r="C9" s="211"/>
      <c r="D9" s="42" t="s">
        <v>67</v>
      </c>
      <c r="E9" s="59">
        <v>360</v>
      </c>
    </row>
    <row r="10" spans="2:7">
      <c r="B10" s="210" t="s">
        <v>102</v>
      </c>
      <c r="C10" s="211"/>
      <c r="D10" s="42" t="s">
        <v>67</v>
      </c>
      <c r="E10" s="59">
        <v>360</v>
      </c>
    </row>
    <row r="11" spans="2:7">
      <c r="B11" s="210" t="s">
        <v>103</v>
      </c>
      <c r="C11" s="211"/>
      <c r="D11" s="42" t="s">
        <v>39</v>
      </c>
      <c r="E11" s="59">
        <v>60</v>
      </c>
    </row>
    <row r="12" spans="2:7">
      <c r="B12" s="207" t="s">
        <v>104</v>
      </c>
      <c r="C12" s="212"/>
      <c r="D12" s="42" t="s">
        <v>67</v>
      </c>
      <c r="E12" s="59">
        <v>160</v>
      </c>
    </row>
    <row r="13" spans="2:7">
      <c r="B13" s="210" t="s">
        <v>105</v>
      </c>
      <c r="C13" s="211"/>
      <c r="D13" s="42" t="s">
        <v>67</v>
      </c>
      <c r="E13" s="59">
        <v>390</v>
      </c>
    </row>
    <row r="14" spans="2:7">
      <c r="B14" s="210" t="s">
        <v>106</v>
      </c>
      <c r="C14" s="211"/>
      <c r="D14" s="42" t="s">
        <v>22</v>
      </c>
      <c r="E14" s="59">
        <v>100</v>
      </c>
    </row>
    <row r="15" spans="2:7">
      <c r="B15" s="216" t="s">
        <v>107</v>
      </c>
      <c r="C15" s="217"/>
      <c r="D15" s="42" t="s">
        <v>51</v>
      </c>
      <c r="E15" s="131">
        <f>1000/1.21*G15</f>
        <v>61735.53719008265</v>
      </c>
      <c r="G15" s="59">
        <v>74.7</v>
      </c>
    </row>
    <row r="16" spans="2:7">
      <c r="B16" s="218" t="s">
        <v>108</v>
      </c>
      <c r="C16" s="217"/>
      <c r="D16" s="42" t="s">
        <v>51</v>
      </c>
      <c r="E16" s="131">
        <f>1000/0.395*G16</f>
        <v>70886.075949367078</v>
      </c>
      <c r="G16" s="59">
        <v>28</v>
      </c>
    </row>
    <row r="17" spans="2:7">
      <c r="B17" s="219" t="s">
        <v>109</v>
      </c>
      <c r="C17" s="220"/>
      <c r="D17" s="42" t="s">
        <v>51</v>
      </c>
      <c r="E17" s="100">
        <f>G17*1000</f>
        <v>130000</v>
      </c>
      <c r="G17" s="59">
        <v>130</v>
      </c>
    </row>
    <row r="18" spans="2:7">
      <c r="B18" s="213" t="s">
        <v>110</v>
      </c>
      <c r="C18" s="214"/>
      <c r="D18" s="42" t="s">
        <v>40</v>
      </c>
      <c r="E18" s="59">
        <v>7200</v>
      </c>
    </row>
    <row r="19" spans="2:7">
      <c r="B19" s="213" t="s">
        <v>111</v>
      </c>
      <c r="C19" s="214"/>
      <c r="D19" s="42" t="s">
        <v>8</v>
      </c>
      <c r="E19" s="59">
        <v>11</v>
      </c>
    </row>
    <row r="20" spans="2:7">
      <c r="B20" s="221" t="s">
        <v>112</v>
      </c>
      <c r="C20" s="221"/>
      <c r="D20" s="42" t="s">
        <v>8</v>
      </c>
      <c r="E20" s="59">
        <v>1200</v>
      </c>
    </row>
    <row r="21" spans="2:7">
      <c r="B21" s="109" t="s">
        <v>113</v>
      </c>
      <c r="C21" s="109"/>
      <c r="D21" s="42" t="s">
        <v>78</v>
      </c>
      <c r="E21" s="59">
        <v>980</v>
      </c>
    </row>
    <row r="22" spans="2:7">
      <c r="B22" s="221" t="s">
        <v>114</v>
      </c>
      <c r="C22" s="221"/>
      <c r="D22" s="42" t="s">
        <v>115</v>
      </c>
      <c r="E22" s="59">
        <v>3968</v>
      </c>
    </row>
    <row r="23" spans="2:7">
      <c r="B23" s="213" t="s">
        <v>116</v>
      </c>
      <c r="C23" s="214"/>
      <c r="D23" s="42" t="s">
        <v>117</v>
      </c>
      <c r="E23" s="100">
        <f>E25*F25+E26*F26+E27*F27</f>
        <v>45</v>
      </c>
    </row>
    <row r="24" spans="2:7">
      <c r="E24" s="59"/>
    </row>
    <row r="25" spans="2:7">
      <c r="B25" s="215" t="s">
        <v>118</v>
      </c>
      <c r="C25" s="215"/>
      <c r="D25" s="42" t="s">
        <v>8</v>
      </c>
      <c r="E25" s="59">
        <v>45</v>
      </c>
      <c r="F25" s="99">
        <f>CEILING((расчеты!B13+расчеты!B15+расчеты!B17+расчеты!B20+расчеты!B25)/20+(расчеты!B22+расчеты!B23)/30,1)</f>
        <v>1</v>
      </c>
    </row>
    <row r="26" spans="2:7">
      <c r="B26" s="215" t="s">
        <v>119</v>
      </c>
      <c r="C26" s="215"/>
      <c r="D26" s="42" t="s">
        <v>120</v>
      </c>
      <c r="E26" s="59">
        <v>55</v>
      </c>
      <c r="F26" s="100">
        <f>ROUNDUP(расчеты!H17*8/1000,0)</f>
        <v>0</v>
      </c>
    </row>
    <row r="27" spans="2:7">
      <c r="B27" s="215" t="s">
        <v>121</v>
      </c>
      <c r="C27" s="215"/>
      <c r="D27" s="42" t="s">
        <v>122</v>
      </c>
      <c r="E27" s="59">
        <v>170</v>
      </c>
      <c r="F27" s="99">
        <f>ROUNDUP((данные!D4+данные!D6)*2.2/150,0)</f>
        <v>0</v>
      </c>
    </row>
    <row r="29" spans="2:7">
      <c r="B29" s="31" t="s">
        <v>123</v>
      </c>
      <c r="C29" s="103">
        <v>3500</v>
      </c>
      <c r="D29" s="15" t="s">
        <v>124</v>
      </c>
      <c r="E29" s="102">
        <v>120</v>
      </c>
    </row>
    <row r="30" spans="2:7">
      <c r="B30" s="31" t="s">
        <v>125</v>
      </c>
      <c r="C30" s="103">
        <v>5000</v>
      </c>
      <c r="D30" s="15" t="s">
        <v>124</v>
      </c>
      <c r="E30" s="102">
        <v>120</v>
      </c>
    </row>
    <row r="31" spans="2:7">
      <c r="B31" s="31" t="s">
        <v>126</v>
      </c>
      <c r="C31" s="103">
        <v>18500</v>
      </c>
      <c r="D31" s="15" t="s">
        <v>124</v>
      </c>
      <c r="E31" s="32"/>
    </row>
    <row r="32" spans="2:7">
      <c r="B32" s="33" t="s">
        <v>127</v>
      </c>
      <c r="C32" s="104">
        <v>23500</v>
      </c>
      <c r="D32" s="34" t="s">
        <v>124</v>
      </c>
      <c r="E32" s="34"/>
    </row>
    <row r="35" spans="2:4">
      <c r="B35" s="178" t="s">
        <v>128</v>
      </c>
      <c r="C35" s="179" t="s">
        <v>93</v>
      </c>
      <c r="D35" s="179" t="s">
        <v>129</v>
      </c>
    </row>
    <row r="36" spans="2:4" ht="15" customHeight="1">
      <c r="B36" s="180" t="s">
        <v>130</v>
      </c>
      <c r="C36" s="179" t="s">
        <v>22</v>
      </c>
      <c r="D36" s="181">
        <v>50</v>
      </c>
    </row>
    <row r="37" spans="2:4" ht="15" customHeight="1">
      <c r="B37" s="180" t="s">
        <v>131</v>
      </c>
      <c r="C37" s="179" t="s">
        <v>40</v>
      </c>
      <c r="D37" s="181">
        <v>1250</v>
      </c>
    </row>
    <row r="38" spans="2:4" ht="15" customHeight="1">
      <c r="B38" s="180" t="s">
        <v>132</v>
      </c>
      <c r="C38" s="179" t="s">
        <v>22</v>
      </c>
      <c r="D38" s="181">
        <v>150</v>
      </c>
    </row>
    <row r="39" spans="2:4" ht="15" customHeight="1">
      <c r="B39" s="180" t="s">
        <v>133</v>
      </c>
      <c r="C39" s="179" t="s">
        <v>40</v>
      </c>
      <c r="D39" s="181">
        <v>800</v>
      </c>
    </row>
    <row r="40" spans="2:4" ht="15" customHeight="1">
      <c r="B40" s="180" t="s">
        <v>134</v>
      </c>
      <c r="C40" s="179" t="s">
        <v>22</v>
      </c>
      <c r="D40" s="181">
        <v>50</v>
      </c>
    </row>
    <row r="41" spans="2:4" ht="15" customHeight="1">
      <c r="B41" s="180" t="s">
        <v>135</v>
      </c>
      <c r="C41" s="179" t="s">
        <v>40</v>
      </c>
      <c r="D41" s="181">
        <v>800</v>
      </c>
    </row>
    <row r="42" spans="2:4" ht="15" customHeight="1">
      <c r="B42" s="180" t="s">
        <v>136</v>
      </c>
      <c r="C42" s="179" t="s">
        <v>22</v>
      </c>
      <c r="D42" s="181">
        <v>240</v>
      </c>
    </row>
    <row r="43" spans="2:4" ht="15" customHeight="1">
      <c r="B43" s="180" t="s">
        <v>137</v>
      </c>
      <c r="C43" s="179" t="s">
        <v>51</v>
      </c>
      <c r="D43" s="181">
        <v>17500</v>
      </c>
    </row>
    <row r="44" spans="2:4" ht="15" customHeight="1">
      <c r="B44" s="180" t="s">
        <v>138</v>
      </c>
      <c r="C44" s="179" t="s">
        <v>8</v>
      </c>
      <c r="D44" s="181">
        <v>12</v>
      </c>
    </row>
    <row r="45" spans="2:4" ht="15" customHeight="1">
      <c r="B45" s="180" t="s">
        <v>139</v>
      </c>
      <c r="C45" s="179" t="s">
        <v>8</v>
      </c>
      <c r="D45" s="181">
        <v>7</v>
      </c>
    </row>
    <row r="46" spans="2:4" ht="15" customHeight="1">
      <c r="B46" s="180" t="s">
        <v>140</v>
      </c>
      <c r="C46" s="179" t="s">
        <v>8</v>
      </c>
      <c r="D46" s="181">
        <v>7</v>
      </c>
    </row>
    <row r="47" spans="2:4" ht="15" customHeight="1">
      <c r="B47" s="180" t="s">
        <v>141</v>
      </c>
      <c r="C47" s="179" t="s">
        <v>8</v>
      </c>
      <c r="D47" s="181">
        <v>7</v>
      </c>
    </row>
    <row r="48" spans="2:4" ht="15" customHeight="1">
      <c r="B48" s="180" t="s">
        <v>142</v>
      </c>
      <c r="C48" s="179" t="s">
        <v>8</v>
      </c>
      <c r="D48" s="181">
        <v>7</v>
      </c>
    </row>
    <row r="49" spans="2:4" ht="15" customHeight="1">
      <c r="B49" s="180" t="s">
        <v>143</v>
      </c>
      <c r="C49" s="179" t="s">
        <v>8</v>
      </c>
      <c r="D49" s="181">
        <v>3</v>
      </c>
    </row>
    <row r="50" spans="2:4" ht="15" customHeight="1">
      <c r="B50" s="180" t="s">
        <v>144</v>
      </c>
      <c r="C50" s="179" t="s">
        <v>8</v>
      </c>
      <c r="D50" s="181">
        <v>50</v>
      </c>
    </row>
    <row r="51" spans="2:4" ht="15" customHeight="1">
      <c r="B51" s="180" t="s">
        <v>145</v>
      </c>
      <c r="C51" s="179" t="s">
        <v>40</v>
      </c>
      <c r="D51" s="181">
        <v>5000</v>
      </c>
    </row>
    <row r="52" spans="2:4" ht="15" customHeight="1">
      <c r="B52" s="180" t="s">
        <v>146</v>
      </c>
      <c r="C52" s="179" t="s">
        <v>22</v>
      </c>
      <c r="D52" s="181">
        <v>450</v>
      </c>
    </row>
    <row r="53" spans="2:4" ht="15" customHeight="1">
      <c r="B53" s="180" t="s">
        <v>147</v>
      </c>
      <c r="C53" s="179" t="s">
        <v>148</v>
      </c>
      <c r="D53" s="181">
        <v>4500</v>
      </c>
    </row>
    <row r="54" spans="2:4">
      <c r="B54" s="33"/>
    </row>
    <row r="55" spans="2:4">
      <c r="B55" s="33"/>
    </row>
    <row r="56" spans="2:4">
      <c r="B56" s="33"/>
    </row>
  </sheetData>
  <sheetProtection formatCells="0" formatColumns="0" formatRows="0" insertColumns="0" insertRows="0" insertHyperlinks="0" deleteColumns="0" deleteRows="0" sort="0" autoFilter="0" pivotTables="0"/>
  <mergeCells count="21">
    <mergeCell ref="B23:C23"/>
    <mergeCell ref="B25:C25"/>
    <mergeCell ref="B26:C26"/>
    <mergeCell ref="B27:C27"/>
    <mergeCell ref="B14:C14"/>
    <mergeCell ref="B15:C15"/>
    <mergeCell ref="B16:C16"/>
    <mergeCell ref="B17:C17"/>
    <mergeCell ref="B18:C18"/>
    <mergeCell ref="B19:C19"/>
    <mergeCell ref="B20:C20"/>
    <mergeCell ref="B22:C22"/>
    <mergeCell ref="B3:C3"/>
    <mergeCell ref="B6:C6"/>
    <mergeCell ref="B7:C7"/>
    <mergeCell ref="B12:C12"/>
    <mergeCell ref="B13:C13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topLeftCell="A10" zoomScale="110" zoomScaleNormal="110" workbookViewId="0">
      <selection activeCell="H66" sqref="H66"/>
    </sheetView>
  </sheetViews>
  <sheetFormatPr baseColWidth="10" defaultColWidth="8.83203125" defaultRowHeight="15"/>
  <cols>
    <col min="1" max="1" width="4.33203125" customWidth="1"/>
    <col min="2" max="2" width="43.83203125" customWidth="1"/>
    <col min="3" max="3" width="7.33203125" style="55" customWidth="1"/>
    <col min="4" max="4" width="6.5" customWidth="1"/>
    <col min="5" max="5" width="9.1640625" customWidth="1"/>
    <col min="6" max="6" width="10.5" customWidth="1"/>
    <col min="7" max="7" width="11.6640625" customWidth="1"/>
    <col min="8" max="8" width="34.5" customWidth="1"/>
    <col min="9" max="9" width="6.6640625" customWidth="1"/>
    <col min="10" max="10" width="7" customWidth="1"/>
    <col min="11" max="11" width="8.33203125" customWidth="1"/>
    <col min="12" max="13" width="12.33203125" customWidth="1"/>
  </cols>
  <sheetData>
    <row r="1" spans="1:15" s="140" customFormat="1" ht="14.5" customHeight="1">
      <c r="B1" s="174"/>
      <c r="C1" s="174"/>
      <c r="D1" s="174"/>
      <c r="E1" s="174"/>
      <c r="F1" s="174"/>
      <c r="G1" s="174"/>
      <c r="H1" s="267" t="s">
        <v>149</v>
      </c>
      <c r="I1" s="267"/>
      <c r="J1" s="267"/>
      <c r="K1" s="267"/>
      <c r="L1" s="267"/>
      <c r="M1" s="267"/>
    </row>
    <row r="2" spans="1:15" s="140" customFormat="1" ht="14.5" customHeight="1">
      <c r="A2" s="265" t="s">
        <v>150</v>
      </c>
      <c r="B2" s="265"/>
      <c r="C2" s="141"/>
      <c r="D2" s="266"/>
      <c r="E2" s="266"/>
      <c r="F2" s="266"/>
      <c r="G2" s="142"/>
      <c r="H2" s="267" t="s">
        <v>151</v>
      </c>
      <c r="I2" s="267"/>
      <c r="J2" s="267"/>
      <c r="K2" s="267"/>
      <c r="L2" s="267"/>
      <c r="M2" s="267"/>
    </row>
    <row r="3" spans="1:15" s="140" customFormat="1" ht="13.75" customHeight="1">
      <c r="A3" s="268" t="s">
        <v>152</v>
      </c>
      <c r="B3" s="268"/>
      <c r="C3" s="141"/>
      <c r="D3" s="269"/>
      <c r="E3" s="269"/>
      <c r="F3" s="269"/>
      <c r="G3" s="142"/>
      <c r="H3" s="267" t="s">
        <v>153</v>
      </c>
      <c r="I3" s="267"/>
      <c r="J3" s="267"/>
      <c r="K3" s="142"/>
    </row>
    <row r="4" spans="1:15" s="140" customFormat="1" ht="14.5" customHeight="1">
      <c r="A4" s="143" t="s">
        <v>154</v>
      </c>
      <c r="B4" s="143"/>
      <c r="C4" s="141"/>
      <c r="D4" s="144">
        <v>85.4</v>
      </c>
      <c r="E4" s="147"/>
      <c r="F4" s="147"/>
      <c r="G4" s="142"/>
      <c r="H4" s="271" t="s">
        <v>155</v>
      </c>
      <c r="I4" s="271"/>
      <c r="J4" s="271"/>
      <c r="K4" s="271"/>
      <c r="L4" s="271"/>
      <c r="M4" s="271"/>
    </row>
    <row r="5" spans="1:15" s="140" customFormat="1" ht="13.75" customHeight="1">
      <c r="A5" s="268" t="s">
        <v>156</v>
      </c>
      <c r="B5" s="268"/>
      <c r="C5" s="141"/>
      <c r="D5" s="269">
        <v>1</v>
      </c>
      <c r="E5" s="269"/>
      <c r="F5" s="269"/>
      <c r="G5" s="142"/>
      <c r="H5" s="142"/>
      <c r="I5" s="270" t="s">
        <v>157</v>
      </c>
      <c r="J5" s="270"/>
      <c r="K5" s="270"/>
      <c r="L5" s="270"/>
      <c r="M5" s="270"/>
    </row>
    <row r="6" spans="1:15" s="140" customFormat="1" ht="15.5" customHeight="1">
      <c r="A6" s="273" t="s">
        <v>158</v>
      </c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</row>
    <row r="7" spans="1:15" s="140" customFormat="1" ht="15.5" customHeight="1">
      <c r="A7" s="276" t="s">
        <v>159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</row>
    <row r="8" spans="1:15" s="140" customFormat="1" ht="15.5" customHeight="1">
      <c r="B8" s="175"/>
      <c r="C8" s="175"/>
      <c r="D8" s="273">
        <v>0.9</v>
      </c>
      <c r="E8" s="273"/>
      <c r="F8" s="273"/>
      <c r="G8" s="273"/>
      <c r="H8" s="273"/>
      <c r="I8" s="273"/>
      <c r="J8" s="172">
        <f>IF(данные!D13=0,данные!D8+0.1,данные!D8+0.1+данные!D13)*1000</f>
        <v>100</v>
      </c>
      <c r="K8" s="173">
        <f>данные!D5*1000</f>
        <v>0</v>
      </c>
      <c r="L8" s="164"/>
      <c r="M8" s="163"/>
    </row>
    <row r="9" spans="1:15" s="140" customFormat="1" ht="15.5" customHeight="1">
      <c r="A9" s="163"/>
      <c r="B9" s="277"/>
      <c r="C9" s="277"/>
      <c r="D9" s="277">
        <v>3</v>
      </c>
      <c r="E9" s="171"/>
      <c r="F9" s="171"/>
      <c r="G9" s="163"/>
      <c r="H9" s="163"/>
      <c r="I9" s="163"/>
      <c r="J9" s="163"/>
      <c r="K9" s="164"/>
      <c r="L9" s="164"/>
      <c r="M9" s="163"/>
    </row>
    <row r="10" spans="1:15" s="140" customFormat="1" ht="52.75" customHeight="1">
      <c r="A10" s="165" t="s">
        <v>160</v>
      </c>
      <c r="B10" s="272" t="s">
        <v>161</v>
      </c>
      <c r="C10" s="272"/>
      <c r="D10" s="165">
        <v>12</v>
      </c>
      <c r="E10" s="166" t="s">
        <v>162</v>
      </c>
      <c r="F10" s="167" t="s">
        <v>163</v>
      </c>
      <c r="G10" s="167" t="s">
        <v>164</v>
      </c>
      <c r="H10" s="272" t="s">
        <v>165</v>
      </c>
      <c r="I10" s="272"/>
      <c r="J10" s="165" t="s">
        <v>1</v>
      </c>
      <c r="K10" s="166" t="s">
        <v>162</v>
      </c>
      <c r="L10" s="166" t="s">
        <v>166</v>
      </c>
      <c r="M10" s="167" t="s">
        <v>167</v>
      </c>
    </row>
    <row r="11" spans="1:15" s="140" customFormat="1" ht="13.25" customHeight="1">
      <c r="A11" s="168">
        <v>1</v>
      </c>
      <c r="B11" s="275">
        <v>2</v>
      </c>
      <c r="C11" s="275"/>
      <c r="D11" s="168">
        <v>4</v>
      </c>
      <c r="E11" s="169">
        <v>4</v>
      </c>
      <c r="F11" s="170">
        <v>5</v>
      </c>
      <c r="G11" s="170">
        <v>6</v>
      </c>
      <c r="H11" s="274">
        <v>7</v>
      </c>
      <c r="I11" s="274"/>
      <c r="J11" s="169">
        <v>8</v>
      </c>
      <c r="K11" s="169">
        <v>9</v>
      </c>
      <c r="L11" s="169">
        <v>10</v>
      </c>
      <c r="M11" s="170">
        <v>11</v>
      </c>
    </row>
    <row r="12" spans="1:15">
      <c r="A12" s="223" t="s">
        <v>168</v>
      </c>
      <c r="B12" s="223"/>
      <c r="C12" s="28"/>
      <c r="D12" s="1"/>
      <c r="E12" s="148"/>
      <c r="F12" s="148"/>
      <c r="G12" s="2"/>
      <c r="H12" s="3"/>
      <c r="I12" s="3"/>
      <c r="J12" s="2"/>
      <c r="K12" s="148"/>
      <c r="L12" s="148"/>
      <c r="M12" s="4"/>
    </row>
    <row r="13" spans="1:15">
      <c r="A13" s="86">
        <v>1</v>
      </c>
      <c r="B13" s="222" t="s">
        <v>130</v>
      </c>
      <c r="C13" s="222"/>
      <c r="D13" s="80" t="s">
        <v>22</v>
      </c>
      <c r="E13" s="116">
        <f>данные!D16</f>
        <v>0</v>
      </c>
      <c r="F13" s="117">
        <f>'Ст-сть Матер-Работ'!D36</f>
        <v>50</v>
      </c>
      <c r="G13" s="6">
        <f t="shared" ref="G13:G18" si="0">E13*F13</f>
        <v>0</v>
      </c>
      <c r="H13" s="207" t="s">
        <v>169</v>
      </c>
      <c r="I13" s="212"/>
      <c r="J13" s="7" t="s">
        <v>170</v>
      </c>
      <c r="K13" s="116">
        <f>расчеты!N2</f>
        <v>0</v>
      </c>
      <c r="L13" s="146">
        <v>3850</v>
      </c>
      <c r="M13" s="6">
        <f>K13*L13</f>
        <v>0</v>
      </c>
    </row>
    <row r="14" spans="1:15" ht="27.5" customHeight="1">
      <c r="A14" s="86">
        <v>2</v>
      </c>
      <c r="B14" s="222" t="s">
        <v>171</v>
      </c>
      <c r="C14" s="222"/>
      <c r="D14" s="80">
        <v>0.2</v>
      </c>
      <c r="E14" s="116">
        <f>расчеты!I3</f>
        <v>0</v>
      </c>
      <c r="F14" s="117">
        <f>'Ст-сть Матер-Работ'!D37</f>
        <v>1250</v>
      </c>
      <c r="G14" s="6">
        <f t="shared" si="0"/>
        <v>0</v>
      </c>
      <c r="H14" s="245"/>
      <c r="I14" s="246"/>
      <c r="J14" s="7"/>
      <c r="K14" s="116"/>
      <c r="L14" s="146"/>
      <c r="M14" s="6"/>
    </row>
    <row r="15" spans="1:15">
      <c r="A15" s="5">
        <v>3</v>
      </c>
      <c r="B15" s="224" t="s">
        <v>132</v>
      </c>
      <c r="C15" s="225"/>
      <c r="D15" s="80">
        <v>0.2</v>
      </c>
      <c r="E15" s="116">
        <f>расчеты!I5</f>
        <v>0</v>
      </c>
      <c r="F15" s="117">
        <f>'Ст-сть Матер-Работ'!D38</f>
        <v>150</v>
      </c>
      <c r="G15" s="6">
        <f t="shared" si="0"/>
        <v>0</v>
      </c>
      <c r="H15" s="245"/>
      <c r="I15" s="246"/>
      <c r="J15" s="7"/>
      <c r="K15" s="116"/>
      <c r="L15" s="146"/>
      <c r="M15" s="6"/>
    </row>
    <row r="16" spans="1:15" ht="27.5" customHeight="1">
      <c r="A16" s="87">
        <v>4</v>
      </c>
      <c r="B16" s="145" t="s">
        <v>172</v>
      </c>
      <c r="C16" s="23">
        <f>данные!D14*1000</f>
        <v>0</v>
      </c>
      <c r="D16" s="81">
        <v>111.69</v>
      </c>
      <c r="E16" s="132">
        <f>расчеты!I7</f>
        <v>0</v>
      </c>
      <c r="F16" s="118">
        <f>'Ст-сть Матер-Работ'!D39</f>
        <v>800</v>
      </c>
      <c r="G16" s="8">
        <f t="shared" si="0"/>
        <v>0</v>
      </c>
      <c r="H16" s="207" t="s">
        <v>96</v>
      </c>
      <c r="I16" s="212"/>
      <c r="J16" s="9" t="s">
        <v>40</v>
      </c>
      <c r="K16" s="132">
        <f>E16*1.15</f>
        <v>0</v>
      </c>
      <c r="L16" s="160">
        <f>'Ст-сть Матер-Работ'!E3</f>
        <v>1300</v>
      </c>
      <c r="M16" s="10">
        <f>K16*L16</f>
        <v>0</v>
      </c>
      <c r="O16" s="101"/>
    </row>
    <row r="17" spans="1:13" ht="28.75" customHeight="1">
      <c r="A17" s="87">
        <v>5</v>
      </c>
      <c r="B17" s="222" t="s">
        <v>173</v>
      </c>
      <c r="C17" s="222"/>
      <c r="D17" s="81" t="s">
        <v>174</v>
      </c>
      <c r="E17" s="132">
        <f>расчеты!H11</f>
        <v>0</v>
      </c>
      <c r="F17" s="118">
        <f>'Ст-сть Матер-Работ'!D40</f>
        <v>50</v>
      </c>
      <c r="G17" s="8">
        <f t="shared" si="0"/>
        <v>0</v>
      </c>
      <c r="H17" s="110" t="s">
        <v>97</v>
      </c>
      <c r="I17" s="79">
        <f>расчеты!K11</f>
        <v>1500</v>
      </c>
      <c r="J17" s="9" t="s">
        <v>22</v>
      </c>
      <c r="K17" s="132">
        <f>расчеты!H11*1.1</f>
        <v>0</v>
      </c>
      <c r="L17" s="160">
        <f>IF(I17=1500,'Ст-сть Матер-Работ'!E4,'Ст-сть Матер-Работ'!E5)</f>
        <v>65</v>
      </c>
      <c r="M17" s="8">
        <f>K17*L17</f>
        <v>0</v>
      </c>
    </row>
    <row r="18" spans="1:13" ht="27.5" customHeight="1">
      <c r="A18" s="86">
        <v>6</v>
      </c>
      <c r="B18" s="108" t="s">
        <v>175</v>
      </c>
      <c r="C18" s="23">
        <f>данные!D15*1000</f>
        <v>0</v>
      </c>
      <c r="D18" s="80" t="s">
        <v>40</v>
      </c>
      <c r="E18" s="116">
        <f>расчеты!I9</f>
        <v>0</v>
      </c>
      <c r="F18" s="117">
        <f>'Ст-сть Матер-Работ'!D41</f>
        <v>800</v>
      </c>
      <c r="G18" s="6">
        <f t="shared" si="0"/>
        <v>0</v>
      </c>
      <c r="H18" s="207" t="s">
        <v>98</v>
      </c>
      <c r="I18" s="212"/>
      <c r="J18" s="7" t="s">
        <v>40</v>
      </c>
      <c r="K18" s="116">
        <f>E18*1.15</f>
        <v>0</v>
      </c>
      <c r="L18" s="146">
        <f>'Ст-сть Матер-Работ'!E6</f>
        <v>3150</v>
      </c>
      <c r="M18" s="6">
        <f>K18*L18</f>
        <v>0</v>
      </c>
    </row>
    <row r="19" spans="1:13">
      <c r="A19" s="2"/>
      <c r="B19" s="12"/>
      <c r="C19" s="2"/>
      <c r="D19" s="2"/>
      <c r="E19" s="252" t="s">
        <v>176</v>
      </c>
      <c r="F19" s="252"/>
      <c r="G19" s="13">
        <f>SUM(G13:G18)</f>
        <v>0</v>
      </c>
      <c r="H19" s="3"/>
      <c r="I19" s="3"/>
      <c r="J19" s="2"/>
      <c r="K19" s="253" t="s">
        <v>177</v>
      </c>
      <c r="L19" s="253"/>
      <c r="M19" s="13">
        <f>SUM(M13:M18)</f>
        <v>0</v>
      </c>
    </row>
    <row r="20" spans="1:13">
      <c r="A20" s="254" t="s">
        <v>178</v>
      </c>
      <c r="B20" s="254"/>
      <c r="C20" s="254"/>
      <c r="D20" s="254"/>
      <c r="E20" s="254"/>
      <c r="F20" s="148"/>
      <c r="G20" s="2"/>
      <c r="H20" s="3"/>
      <c r="I20" s="3"/>
      <c r="J20" s="2"/>
      <c r="K20" s="148"/>
      <c r="L20" s="148"/>
      <c r="M20" s="2"/>
    </row>
    <row r="21" spans="1:13">
      <c r="A21" s="15" t="s">
        <v>179</v>
      </c>
      <c r="B21" s="210" t="s">
        <v>136</v>
      </c>
      <c r="C21" s="211"/>
      <c r="D21" s="76" t="s">
        <v>22</v>
      </c>
      <c r="E21" s="117">
        <f>расчеты!H13</f>
        <v>0</v>
      </c>
      <c r="F21" s="117">
        <f>'Ст-сть Матер-Работ'!D42</f>
        <v>240</v>
      </c>
      <c r="G21" s="6">
        <f>E21*F21</f>
        <v>0</v>
      </c>
      <c r="H21" s="210" t="s">
        <v>180</v>
      </c>
      <c r="I21" s="211"/>
      <c r="J21" s="15" t="s">
        <v>40</v>
      </c>
      <c r="K21" s="117">
        <f>расчеты!P13</f>
        <v>0</v>
      </c>
      <c r="L21" s="117">
        <f>'Ст-сть Матер-Работ'!E7</f>
        <v>16500</v>
      </c>
      <c r="M21" s="17">
        <f t="shared" ref="M21:M39" si="1">K21*L21</f>
        <v>0</v>
      </c>
    </row>
    <row r="22" spans="1:13">
      <c r="A22" s="15"/>
      <c r="B22" s="106"/>
      <c r="C22" s="107"/>
      <c r="D22" s="76"/>
      <c r="E22" s="117"/>
      <c r="F22" s="117"/>
      <c r="G22" s="116"/>
      <c r="H22" s="210" t="s">
        <v>100</v>
      </c>
      <c r="I22" s="211"/>
      <c r="J22" s="15" t="s">
        <v>8</v>
      </c>
      <c r="K22" s="117">
        <f>расчеты!O14+расчеты!O15</f>
        <v>0</v>
      </c>
      <c r="L22" s="117">
        <f>'Ст-сть Матер-Работ'!E8</f>
        <v>240</v>
      </c>
      <c r="M22" s="17">
        <f t="shared" si="1"/>
        <v>0</v>
      </c>
    </row>
    <row r="23" spans="1:13">
      <c r="A23" s="15"/>
      <c r="B23" s="106"/>
      <c r="C23" s="107"/>
      <c r="D23" s="76"/>
      <c r="E23" s="117"/>
      <c r="F23" s="117"/>
      <c r="G23" s="116"/>
      <c r="H23" s="210" t="s">
        <v>101</v>
      </c>
      <c r="I23" s="211"/>
      <c r="J23" s="15" t="s">
        <v>67</v>
      </c>
      <c r="K23" s="117">
        <f>(расчеты!P14+расчеты!P15)/48</f>
        <v>0</v>
      </c>
      <c r="L23" s="117">
        <f>'Ст-сть Матер-Работ'!E9</f>
        <v>360</v>
      </c>
      <c r="M23" s="17">
        <f t="shared" si="1"/>
        <v>0</v>
      </c>
    </row>
    <row r="24" spans="1:13">
      <c r="A24" s="15"/>
      <c r="B24" s="106"/>
      <c r="C24" s="107"/>
      <c r="D24" s="76"/>
      <c r="E24" s="117"/>
      <c r="F24" s="117"/>
      <c r="G24" s="116"/>
      <c r="H24" s="210" t="s">
        <v>102</v>
      </c>
      <c r="I24" s="211"/>
      <c r="J24" s="15" t="s">
        <v>67</v>
      </c>
      <c r="K24" s="117">
        <f>(расчеты!P14+расчеты!P15)/62</f>
        <v>0</v>
      </c>
      <c r="L24" s="117">
        <f>'Ст-сть Матер-Работ'!E10</f>
        <v>360</v>
      </c>
      <c r="M24" s="17">
        <f t="shared" si="1"/>
        <v>0</v>
      </c>
    </row>
    <row r="25" spans="1:13">
      <c r="A25" s="15"/>
      <c r="B25" s="106"/>
      <c r="C25" s="107"/>
      <c r="D25" s="76"/>
      <c r="E25" s="117"/>
      <c r="F25" s="117"/>
      <c r="G25" s="116"/>
      <c r="H25" s="210" t="s">
        <v>103</v>
      </c>
      <c r="I25" s="211"/>
      <c r="J25" s="15" t="s">
        <v>39</v>
      </c>
      <c r="K25" s="117">
        <f>расчеты!K16</f>
        <v>0</v>
      </c>
      <c r="L25" s="117">
        <f>'Ст-сть Матер-Работ'!E11</f>
        <v>60</v>
      </c>
      <c r="M25" s="17">
        <f t="shared" si="1"/>
        <v>0</v>
      </c>
    </row>
    <row r="26" spans="1:13">
      <c r="A26" s="14"/>
      <c r="B26" s="210"/>
      <c r="C26" s="211"/>
      <c r="D26" s="76"/>
      <c r="E26" s="117"/>
      <c r="F26" s="117"/>
      <c r="G26" s="116"/>
      <c r="H26" s="247" t="s">
        <v>104</v>
      </c>
      <c r="I26" s="247"/>
      <c r="J26" s="15" t="s">
        <v>67</v>
      </c>
      <c r="K26" s="117">
        <f>расчеты!K19</f>
        <v>0</v>
      </c>
      <c r="L26" s="117">
        <f>'Ст-сть Матер-Работ'!E12</f>
        <v>160</v>
      </c>
      <c r="M26" s="17">
        <f t="shared" si="1"/>
        <v>0</v>
      </c>
    </row>
    <row r="27" spans="1:13">
      <c r="A27" s="18"/>
      <c r="B27" s="255"/>
      <c r="C27" s="256"/>
      <c r="D27" s="82"/>
      <c r="E27" s="118"/>
      <c r="F27" s="118"/>
      <c r="G27" s="119"/>
      <c r="H27" s="248" t="s">
        <v>105</v>
      </c>
      <c r="I27" s="249"/>
      <c r="J27" s="111" t="s">
        <v>67</v>
      </c>
      <c r="K27" s="150">
        <f>расчеты!K20</f>
        <v>0</v>
      </c>
      <c r="L27" s="150">
        <f>'Ст-сть Матер-Работ'!E13</f>
        <v>390</v>
      </c>
      <c r="M27" s="112">
        <f t="shared" si="1"/>
        <v>0</v>
      </c>
    </row>
    <row r="28" spans="1:13">
      <c r="A28" s="14"/>
      <c r="B28" s="255"/>
      <c r="C28" s="256"/>
      <c r="D28" s="76"/>
      <c r="E28" s="117"/>
      <c r="F28" s="117"/>
      <c r="G28" s="116"/>
      <c r="H28" s="210" t="s">
        <v>106</v>
      </c>
      <c r="I28" s="211"/>
      <c r="J28" s="15" t="s">
        <v>22</v>
      </c>
      <c r="K28" s="117">
        <f>расчеты!H17</f>
        <v>0</v>
      </c>
      <c r="L28" s="117">
        <f>'Ст-сть Матер-Работ'!E14</f>
        <v>100</v>
      </c>
      <c r="M28" s="17">
        <f t="shared" si="1"/>
        <v>0</v>
      </c>
    </row>
    <row r="29" spans="1:13" ht="27.5" customHeight="1">
      <c r="A29" s="88" t="s">
        <v>181</v>
      </c>
      <c r="B29" s="222" t="s">
        <v>137</v>
      </c>
      <c r="C29" s="222"/>
      <c r="D29" s="83" t="s">
        <v>51</v>
      </c>
      <c r="E29" s="158">
        <f>K29+K30+K31+K32+K36+K35</f>
        <v>0</v>
      </c>
      <c r="F29" s="133">
        <f>'Ст-сть Матер-Работ'!D43</f>
        <v>17500</v>
      </c>
      <c r="G29" s="6">
        <f t="shared" ref="G29:G35" si="2">E29*F29</f>
        <v>0</v>
      </c>
      <c r="H29" s="216" t="s">
        <v>107</v>
      </c>
      <c r="I29" s="217"/>
      <c r="J29" s="19" t="s">
        <v>51</v>
      </c>
      <c r="K29" s="151">
        <f>расчеты!E11</f>
        <v>0</v>
      </c>
      <c r="L29" s="161">
        <f>'Ст-сть Матер-Работ'!E15</f>
        <v>61735.53719008265</v>
      </c>
      <c r="M29" s="17">
        <f t="shared" si="1"/>
        <v>0</v>
      </c>
    </row>
    <row r="30" spans="1:13">
      <c r="A30" s="89" t="s">
        <v>182</v>
      </c>
      <c r="B30" s="257" t="s">
        <v>138</v>
      </c>
      <c r="C30" s="258"/>
      <c r="D30" s="84" t="s">
        <v>8</v>
      </c>
      <c r="E30" s="119">
        <f>расчеты!B22+расчеты!B23</f>
        <v>0</v>
      </c>
      <c r="F30" s="134">
        <f>'Ст-сть Матер-Работ'!D44</f>
        <v>12</v>
      </c>
      <c r="G30" s="21">
        <f t="shared" si="2"/>
        <v>0</v>
      </c>
      <c r="H30" s="218" t="s">
        <v>108</v>
      </c>
      <c r="I30" s="217"/>
      <c r="J30" s="7" t="s">
        <v>51</v>
      </c>
      <c r="K30" s="152">
        <f>расчеты!E22+расчеты!E23</f>
        <v>0</v>
      </c>
      <c r="L30" s="157">
        <f>'Ст-сть Матер-Работ'!E16</f>
        <v>70886.075949367078</v>
      </c>
      <c r="M30" s="17">
        <f t="shared" si="1"/>
        <v>0</v>
      </c>
    </row>
    <row r="31" spans="1:13">
      <c r="A31" s="90" t="s">
        <v>183</v>
      </c>
      <c r="B31" s="224" t="s">
        <v>139</v>
      </c>
      <c r="C31" s="225"/>
      <c r="D31" s="81" t="s">
        <v>8</v>
      </c>
      <c r="E31" s="132">
        <f>расчеты!B17+расчеты!B18</f>
        <v>0</v>
      </c>
      <c r="F31" s="132">
        <f>'Ст-сть Матер-Работ'!D45</f>
        <v>7</v>
      </c>
      <c r="G31" s="91">
        <f t="shared" si="2"/>
        <v>0</v>
      </c>
      <c r="H31" s="218" t="s">
        <v>107</v>
      </c>
      <c r="I31" s="217"/>
      <c r="J31" s="19" t="s">
        <v>51</v>
      </c>
      <c r="K31" s="151">
        <f>расчеты!E17+расчеты!E18</f>
        <v>0</v>
      </c>
      <c r="L31" s="161">
        <f>'Ст-сть Матер-Работ'!E15</f>
        <v>61735.53719008265</v>
      </c>
      <c r="M31" s="17">
        <f t="shared" si="1"/>
        <v>0</v>
      </c>
    </row>
    <row r="32" spans="1:13">
      <c r="A32" s="20" t="s">
        <v>184</v>
      </c>
      <c r="B32" s="222" t="s">
        <v>140</v>
      </c>
      <c r="C32" s="222"/>
      <c r="D32" s="80" t="s">
        <v>8</v>
      </c>
      <c r="E32" s="116">
        <f>расчеты!B20</f>
        <v>0</v>
      </c>
      <c r="F32" s="116">
        <f>'Ст-сть Матер-Работ'!D46</f>
        <v>7</v>
      </c>
      <c r="G32" s="6">
        <f t="shared" si="2"/>
        <v>0</v>
      </c>
      <c r="H32" s="218" t="s">
        <v>107</v>
      </c>
      <c r="I32" s="217"/>
      <c r="J32" s="7" t="s">
        <v>51</v>
      </c>
      <c r="K32" s="152">
        <f>расчеты!E20</f>
        <v>0</v>
      </c>
      <c r="L32" s="157">
        <f>'Ст-сть Матер-Работ'!E15</f>
        <v>61735.53719008265</v>
      </c>
      <c r="M32" s="17">
        <f t="shared" si="1"/>
        <v>0</v>
      </c>
    </row>
    <row r="33" spans="1:13">
      <c r="A33" s="20"/>
      <c r="B33" s="257" t="s">
        <v>141</v>
      </c>
      <c r="C33" s="258"/>
      <c r="D33" s="80" t="s">
        <v>8</v>
      </c>
      <c r="E33" s="116">
        <f>расчеты!B13</f>
        <v>0</v>
      </c>
      <c r="F33" s="116">
        <f>'Ст-сть Матер-Работ'!D47</f>
        <v>7</v>
      </c>
      <c r="G33" s="6">
        <f t="shared" si="2"/>
        <v>0</v>
      </c>
      <c r="H33" s="218" t="s">
        <v>107</v>
      </c>
      <c r="I33" s="217"/>
      <c r="J33" s="19" t="s">
        <v>51</v>
      </c>
      <c r="K33" s="152">
        <f>расчеты!E13</f>
        <v>0</v>
      </c>
      <c r="L33" s="157">
        <f>'Ст-сть Матер-Работ'!E15</f>
        <v>61735.53719008265</v>
      </c>
      <c r="M33" s="17">
        <f t="shared" si="1"/>
        <v>0</v>
      </c>
    </row>
    <row r="34" spans="1:13">
      <c r="A34" s="20"/>
      <c r="B34" s="257" t="s">
        <v>142</v>
      </c>
      <c r="C34" s="258"/>
      <c r="D34" s="80" t="s">
        <v>8</v>
      </c>
      <c r="E34" s="116">
        <f>расчеты!B15</f>
        <v>0</v>
      </c>
      <c r="F34" s="116">
        <f>'Ст-сть Матер-Работ'!D48</f>
        <v>7</v>
      </c>
      <c r="G34" s="6">
        <f t="shared" si="2"/>
        <v>0</v>
      </c>
      <c r="H34" s="218" t="s">
        <v>107</v>
      </c>
      <c r="I34" s="217"/>
      <c r="J34" s="7" t="s">
        <v>51</v>
      </c>
      <c r="K34" s="152">
        <f>расчеты!E15</f>
        <v>0</v>
      </c>
      <c r="L34" s="157">
        <f>'Ст-сть Матер-Работ'!E15</f>
        <v>61735.53719008265</v>
      </c>
      <c r="M34" s="17">
        <f t="shared" si="1"/>
        <v>0</v>
      </c>
    </row>
    <row r="35" spans="1:13">
      <c r="A35" s="20" t="s">
        <v>185</v>
      </c>
      <c r="B35" s="259" t="s">
        <v>143</v>
      </c>
      <c r="C35" s="260"/>
      <c r="D35" s="11" t="s">
        <v>8</v>
      </c>
      <c r="E35" s="116">
        <f>расчеты!B25</f>
        <v>1</v>
      </c>
      <c r="F35" s="116">
        <f>'Ст-сть Матер-Работ'!D49</f>
        <v>3</v>
      </c>
      <c r="G35" s="6">
        <f t="shared" si="2"/>
        <v>3</v>
      </c>
      <c r="H35" s="218" t="s">
        <v>107</v>
      </c>
      <c r="I35" s="217"/>
      <c r="J35" s="7" t="s">
        <v>51</v>
      </c>
      <c r="K35" s="152">
        <f>расчеты!E25</f>
        <v>0</v>
      </c>
      <c r="L35" s="157">
        <f>'Ст-сть Матер-Работ'!E15</f>
        <v>61735.53719008265</v>
      </c>
      <c r="M35" s="17">
        <f t="shared" si="1"/>
        <v>0</v>
      </c>
    </row>
    <row r="36" spans="1:13">
      <c r="A36" s="92"/>
      <c r="B36" s="230"/>
      <c r="C36" s="230"/>
      <c r="D36" s="11"/>
      <c r="E36" s="116"/>
      <c r="F36" s="116"/>
      <c r="G36" s="6"/>
      <c r="H36" s="250" t="s">
        <v>109</v>
      </c>
      <c r="I36" s="250"/>
      <c r="J36" s="7" t="s">
        <v>51</v>
      </c>
      <c r="K36" s="152">
        <f>расчеты!E27</f>
        <v>0</v>
      </c>
      <c r="L36" s="157">
        <f>'Ст-сть Матер-Работ'!E17</f>
        <v>130000</v>
      </c>
      <c r="M36" s="17">
        <f t="shared" si="1"/>
        <v>0</v>
      </c>
    </row>
    <row r="37" spans="1:13">
      <c r="A37" s="105" t="s">
        <v>186</v>
      </c>
      <c r="B37" s="230" t="s">
        <v>144</v>
      </c>
      <c r="C37" s="230"/>
      <c r="D37" s="11" t="s">
        <v>8</v>
      </c>
      <c r="E37" s="116">
        <f>расчеты!I22+расчеты!I23</f>
        <v>0</v>
      </c>
      <c r="F37" s="116">
        <f>'Ст-сть Матер-Работ'!D50</f>
        <v>50</v>
      </c>
      <c r="G37" s="6">
        <f>E37*F37</f>
        <v>0</v>
      </c>
      <c r="H37" s="218" t="s">
        <v>187</v>
      </c>
      <c r="I37" s="217"/>
      <c r="J37" s="7" t="s">
        <v>8</v>
      </c>
      <c r="K37" s="152" t="e">
        <f>расчеты!L22</f>
        <v>#DIV/0!</v>
      </c>
      <c r="L37" s="157">
        <f>'Ст-сть Матер-Работ'!E20</f>
        <v>1200</v>
      </c>
      <c r="M37" s="17" t="e">
        <f t="shared" si="1"/>
        <v>#DIV/0!</v>
      </c>
    </row>
    <row r="38" spans="1:13">
      <c r="A38" s="93" t="s">
        <v>188</v>
      </c>
      <c r="B38" s="222" t="s">
        <v>145</v>
      </c>
      <c r="C38" s="222"/>
      <c r="D38" s="23" t="s">
        <v>40</v>
      </c>
      <c r="E38" s="116">
        <f>расчеты!A29</f>
        <v>0</v>
      </c>
      <c r="F38" s="117">
        <f>'Ст-сть Матер-Работ'!D51</f>
        <v>5000</v>
      </c>
      <c r="G38" s="6">
        <f>E38*F38</f>
        <v>0</v>
      </c>
      <c r="H38" s="251" t="s">
        <v>110</v>
      </c>
      <c r="I38" s="251"/>
      <c r="J38" s="22" t="s">
        <v>40</v>
      </c>
      <c r="K38" s="146">
        <f>E38*1.1</f>
        <v>0</v>
      </c>
      <c r="L38" s="157">
        <f>'Ст-сть Матер-Работ'!E18</f>
        <v>7200</v>
      </c>
      <c r="M38" s="17">
        <f t="shared" si="1"/>
        <v>0</v>
      </c>
    </row>
    <row r="39" spans="1:13">
      <c r="A39" s="94"/>
      <c r="B39" s="222"/>
      <c r="C39" s="222"/>
      <c r="D39" s="23"/>
      <c r="E39" s="116"/>
      <c r="F39" s="117"/>
      <c r="G39" s="6"/>
      <c r="H39" s="251" t="s">
        <v>111</v>
      </c>
      <c r="I39" s="251"/>
      <c r="J39" s="22" t="s">
        <v>8</v>
      </c>
      <c r="K39" s="146">
        <f>расчеты!B25</f>
        <v>1</v>
      </c>
      <c r="L39" s="157">
        <f>'Ст-сть Матер-Работ'!E19</f>
        <v>11</v>
      </c>
      <c r="M39" s="17">
        <f t="shared" si="1"/>
        <v>11</v>
      </c>
    </row>
    <row r="40" spans="1:13">
      <c r="A40" s="94"/>
      <c r="B40" s="222"/>
      <c r="C40" s="222"/>
      <c r="D40" s="85"/>
      <c r="E40" s="116"/>
      <c r="F40" s="117"/>
      <c r="G40" s="6"/>
      <c r="H40" s="213" t="s">
        <v>116</v>
      </c>
      <c r="I40" s="214"/>
      <c r="J40" s="22"/>
      <c r="K40" s="146"/>
      <c r="L40" s="157"/>
      <c r="M40" s="17"/>
    </row>
    <row r="41" spans="1:13">
      <c r="A41" s="23"/>
      <c r="B41" s="261"/>
      <c r="C41" s="262"/>
      <c r="D41" s="23"/>
      <c r="E41" s="116"/>
      <c r="F41" s="117"/>
      <c r="G41" s="6"/>
      <c r="H41" s="231" t="s">
        <v>118</v>
      </c>
      <c r="I41" s="231"/>
      <c r="J41" s="22" t="s">
        <v>8</v>
      </c>
      <c r="K41" s="146">
        <f>'Ст-сть Матер-Работ'!F25</f>
        <v>1</v>
      </c>
      <c r="L41" s="157">
        <f>'Ст-сть Матер-Работ'!E25</f>
        <v>45</v>
      </c>
      <c r="M41" s="17">
        <f>K41*L41</f>
        <v>45</v>
      </c>
    </row>
    <row r="42" spans="1:13">
      <c r="A42" s="23"/>
      <c r="B42" s="261"/>
      <c r="C42" s="262"/>
      <c r="D42" s="23"/>
      <c r="E42" s="116"/>
      <c r="F42" s="117"/>
      <c r="G42" s="6"/>
      <c r="H42" s="231" t="s">
        <v>119</v>
      </c>
      <c r="I42" s="231"/>
      <c r="J42" s="22" t="s">
        <v>189</v>
      </c>
      <c r="K42" s="146">
        <f>'Ст-сть Матер-Работ'!F26</f>
        <v>0</v>
      </c>
      <c r="L42" s="157">
        <f>'Ст-сть Матер-Работ'!E26</f>
        <v>55</v>
      </c>
      <c r="M42" s="17">
        <f>K42*L42</f>
        <v>0</v>
      </c>
    </row>
    <row r="43" spans="1:13">
      <c r="A43" s="23"/>
      <c r="B43" s="261"/>
      <c r="C43" s="262"/>
      <c r="D43" s="23"/>
      <c r="E43" s="116"/>
      <c r="F43" s="117"/>
      <c r="G43" s="6"/>
      <c r="H43" s="231" t="s">
        <v>121</v>
      </c>
      <c r="I43" s="231"/>
      <c r="J43" s="22" t="s">
        <v>190</v>
      </c>
      <c r="K43" s="146">
        <f>'Ст-сть Матер-Работ'!F27</f>
        <v>0</v>
      </c>
      <c r="L43" s="157">
        <f>'Ст-сть Матер-Работ'!E27</f>
        <v>170</v>
      </c>
      <c r="M43" s="17">
        <f>K43*L43</f>
        <v>0</v>
      </c>
    </row>
    <row r="44" spans="1:13">
      <c r="A44" s="23" t="s">
        <v>191</v>
      </c>
      <c r="B44" s="257" t="s">
        <v>146</v>
      </c>
      <c r="C44" s="258"/>
      <c r="D44" s="23" t="s">
        <v>22</v>
      </c>
      <c r="E44" s="116">
        <f>расчеты!N25</f>
        <v>0</v>
      </c>
      <c r="F44" s="117">
        <f>'Ст-сть Матер-Работ'!D52</f>
        <v>450</v>
      </c>
      <c r="G44" s="6">
        <f>E44*F44</f>
        <v>0</v>
      </c>
      <c r="H44" s="232" t="s">
        <v>113</v>
      </c>
      <c r="I44" s="233"/>
      <c r="J44" s="22" t="s">
        <v>78</v>
      </c>
      <c r="K44" s="146" t="e">
        <f>расчеты!J25</f>
        <v>#DIV/0!</v>
      </c>
      <c r="L44" s="157">
        <f>'Ст-сть Матер-Работ'!E21</f>
        <v>980</v>
      </c>
      <c r="M44" s="17" t="e">
        <f>K44*L44</f>
        <v>#DIV/0!</v>
      </c>
    </row>
    <row r="45" spans="1:13">
      <c r="A45" s="23"/>
      <c r="B45" s="108"/>
      <c r="C45" s="108"/>
      <c r="D45" s="23"/>
      <c r="E45" s="116"/>
      <c r="F45" s="117"/>
      <c r="G45" s="6"/>
      <c r="H45" s="234" t="s">
        <v>114</v>
      </c>
      <c r="I45" s="235"/>
      <c r="J45" s="22" t="s">
        <v>115</v>
      </c>
      <c r="K45" s="146">
        <f>расчеты!N27</f>
        <v>0</v>
      </c>
      <c r="L45" s="157">
        <f>'Ст-сть Матер-Работ'!E22</f>
        <v>3968</v>
      </c>
      <c r="M45" s="17">
        <f>K45*L45</f>
        <v>0</v>
      </c>
    </row>
    <row r="46" spans="1:13">
      <c r="A46" s="24"/>
      <c r="B46" s="25"/>
      <c r="C46" s="26"/>
      <c r="D46" s="26"/>
      <c r="E46" s="252" t="s">
        <v>176</v>
      </c>
      <c r="F46" s="253"/>
      <c r="G46" s="27">
        <f>SUM(G21:G45)</f>
        <v>3</v>
      </c>
      <c r="H46" s="3"/>
      <c r="I46" s="3"/>
      <c r="J46" s="2"/>
      <c r="K46" s="253" t="s">
        <v>177</v>
      </c>
      <c r="L46" s="253"/>
      <c r="M46" s="115" t="e">
        <f>SUM(M21:M45)</f>
        <v>#DIV/0!</v>
      </c>
    </row>
    <row r="47" spans="1:13">
      <c r="A47" s="263" t="s">
        <v>192</v>
      </c>
      <c r="B47" s="264"/>
      <c r="C47" s="28"/>
      <c r="D47" s="2"/>
      <c r="E47" s="149"/>
      <c r="F47" s="149"/>
      <c r="G47" s="28"/>
      <c r="H47" s="12"/>
      <c r="I47" s="12"/>
      <c r="J47" s="2"/>
      <c r="K47" s="153"/>
      <c r="L47" s="153"/>
      <c r="M47" s="28"/>
    </row>
    <row r="48" spans="1:13">
      <c r="A48" s="15"/>
      <c r="B48" s="229" t="s">
        <v>147</v>
      </c>
      <c r="C48" s="229"/>
      <c r="D48" s="76" t="s">
        <v>193</v>
      </c>
      <c r="E48" s="117">
        <f>K50</f>
        <v>0</v>
      </c>
      <c r="F48" s="135">
        <f>'Ст-сть Матер-Работ'!D53</f>
        <v>4500</v>
      </c>
      <c r="G48" s="15">
        <f>E48*F48</f>
        <v>0</v>
      </c>
      <c r="H48" s="29"/>
      <c r="I48" s="29"/>
      <c r="J48" s="30"/>
      <c r="K48" s="154"/>
      <c r="L48" s="157"/>
      <c r="M48" s="15"/>
    </row>
    <row r="49" spans="1:13">
      <c r="A49" s="15"/>
      <c r="B49" s="229"/>
      <c r="C49" s="229"/>
      <c r="D49" s="76"/>
      <c r="E49" s="117"/>
      <c r="F49" s="135"/>
      <c r="G49" s="15"/>
      <c r="H49" s="31" t="s">
        <v>123</v>
      </c>
      <c r="I49" s="31"/>
      <c r="J49" s="15" t="s">
        <v>124</v>
      </c>
      <c r="K49" s="155">
        <f>расчеты!I31</f>
        <v>1</v>
      </c>
      <c r="L49" s="155">
        <f>'Ст-сть Матер-Работ'!C29+'Ст-сть Матер-Работ'!E29*данные!D17</f>
        <v>3500</v>
      </c>
      <c r="M49" s="15">
        <f>K49*L49</f>
        <v>3500</v>
      </c>
    </row>
    <row r="50" spans="1:13">
      <c r="A50" s="15"/>
      <c r="B50" s="229"/>
      <c r="C50" s="229"/>
      <c r="D50" s="76"/>
      <c r="E50" s="159"/>
      <c r="F50" s="136"/>
      <c r="G50" s="14"/>
      <c r="H50" s="31" t="s">
        <v>125</v>
      </c>
      <c r="I50" s="31"/>
      <c r="J50" s="15" t="s">
        <v>124</v>
      </c>
      <c r="K50" s="155">
        <f>расчеты!E31</f>
        <v>0</v>
      </c>
      <c r="L50" s="155">
        <f>'Ст-сть Матер-Работ'!C30+'Ст-сть Матер-Работ'!E30*данные!D17</f>
        <v>5000</v>
      </c>
      <c r="M50" s="15">
        <f>K50*L50</f>
        <v>0</v>
      </c>
    </row>
    <row r="51" spans="1:13">
      <c r="A51" s="15"/>
      <c r="B51" s="16"/>
      <c r="C51" s="16"/>
      <c r="D51" s="76"/>
      <c r="E51" s="159"/>
      <c r="F51" s="136"/>
      <c r="G51" s="14"/>
      <c r="H51" s="31" t="s">
        <v>126</v>
      </c>
      <c r="I51" s="31"/>
      <c r="J51" s="15" t="s">
        <v>124</v>
      </c>
      <c r="K51" s="155">
        <f>расчеты!J31*расчеты!K31</f>
        <v>0</v>
      </c>
      <c r="L51" s="155">
        <f>'Ст-сть Матер-Работ'!C31</f>
        <v>18500</v>
      </c>
      <c r="M51" s="15">
        <f>K51*L51</f>
        <v>0</v>
      </c>
    </row>
    <row r="52" spans="1:13">
      <c r="A52" s="15"/>
      <c r="B52" s="229"/>
      <c r="C52" s="229"/>
      <c r="D52" s="76"/>
      <c r="E52" s="159"/>
      <c r="F52" s="136"/>
      <c r="G52" s="14"/>
      <c r="H52" s="33" t="s">
        <v>127</v>
      </c>
      <c r="I52" s="33"/>
      <c r="J52" s="34" t="s">
        <v>124</v>
      </c>
      <c r="K52" s="117">
        <f>расчеты!L31</f>
        <v>0</v>
      </c>
      <c r="L52" s="117">
        <f>'Ст-сть Матер-Работ'!C32</f>
        <v>23500</v>
      </c>
      <c r="M52" s="15">
        <f>K52*L52</f>
        <v>0</v>
      </c>
    </row>
    <row r="53" spans="1:13">
      <c r="A53" s="2"/>
      <c r="B53" s="12"/>
      <c r="C53" s="2"/>
      <c r="D53" s="2"/>
      <c r="E53" s="227" t="s">
        <v>176</v>
      </c>
      <c r="F53" s="228"/>
      <c r="G53" s="14">
        <f>SUM(G48:G52)</f>
        <v>0</v>
      </c>
      <c r="H53" s="12"/>
      <c r="I53" s="12"/>
      <c r="J53" s="2"/>
      <c r="K53" s="243" t="s">
        <v>177</v>
      </c>
      <c r="L53" s="244"/>
      <c r="M53" s="14">
        <f>SUM(M48:M52)</f>
        <v>3500</v>
      </c>
    </row>
    <row r="54" spans="1:13">
      <c r="A54" s="2"/>
      <c r="B54" s="12"/>
      <c r="C54" s="2"/>
      <c r="D54" s="2"/>
      <c r="E54" s="149"/>
      <c r="F54" s="149"/>
      <c r="G54" s="28"/>
      <c r="H54" s="12"/>
      <c r="I54" s="12"/>
      <c r="J54" s="2"/>
      <c r="K54" s="153"/>
      <c r="L54" s="153"/>
      <c r="M54" s="28"/>
    </row>
    <row r="56" spans="1:13">
      <c r="F56" s="226" t="s">
        <v>194</v>
      </c>
      <c r="G56" s="226"/>
      <c r="H56" s="35">
        <f>G19+G46+G53</f>
        <v>3</v>
      </c>
      <c r="I56" s="77"/>
    </row>
    <row r="57" spans="1:13" ht="28.25" customHeight="1">
      <c r="F57" s="226" t="s">
        <v>195</v>
      </c>
      <c r="G57" s="226"/>
      <c r="H57" s="35">
        <f>H56*0.03</f>
        <v>0.09</v>
      </c>
      <c r="I57" s="77"/>
    </row>
    <row r="58" spans="1:13" ht="30" customHeight="1">
      <c r="F58" s="226" t="s">
        <v>196</v>
      </c>
      <c r="G58" s="226"/>
      <c r="H58" s="35">
        <f>H56*0.16</f>
        <v>0.48</v>
      </c>
      <c r="I58" s="77"/>
    </row>
    <row r="59" spans="1:13">
      <c r="F59" s="226" t="s">
        <v>197</v>
      </c>
      <c r="G59" s="226"/>
      <c r="H59" s="35">
        <f>H56+H57+H58</f>
        <v>3.57</v>
      </c>
      <c r="I59" s="77"/>
    </row>
    <row r="60" spans="1:13">
      <c r="F60" s="226" t="s">
        <v>198</v>
      </c>
      <c r="G60" s="226"/>
      <c r="H60" s="35" t="e">
        <f>M19+M46</f>
        <v>#DIV/0!</v>
      </c>
      <c r="I60" s="77"/>
    </row>
    <row r="61" spans="1:13" ht="30" customHeight="1">
      <c r="F61" s="241" t="s">
        <v>199</v>
      </c>
      <c r="G61" s="242"/>
      <c r="H61" s="35" t="e">
        <f>H60*0.035</f>
        <v>#DIV/0!</v>
      </c>
      <c r="I61" s="77"/>
    </row>
    <row r="62" spans="1:13">
      <c r="F62" s="226" t="s">
        <v>200</v>
      </c>
      <c r="G62" s="226"/>
      <c r="H62" s="35">
        <f>M53</f>
        <v>3500</v>
      </c>
      <c r="I62" s="77"/>
    </row>
    <row r="63" spans="1:13">
      <c r="F63" s="226" t="s">
        <v>197</v>
      </c>
      <c r="G63" s="226"/>
      <c r="H63" s="35" t="e">
        <f>H60+H61+H62</f>
        <v>#DIV/0!</v>
      </c>
      <c r="I63" s="77"/>
    </row>
    <row r="64" spans="1:13">
      <c r="F64" s="238" t="s">
        <v>201</v>
      </c>
      <c r="G64" s="238"/>
      <c r="H64" s="36" t="e">
        <f>H59+H63</f>
        <v>#DIV/0!</v>
      </c>
      <c r="I64" s="78"/>
    </row>
    <row r="65" spans="6:12" ht="15" customHeight="1">
      <c r="F65" s="239" t="s">
        <v>202</v>
      </c>
      <c r="G65" s="240"/>
      <c r="H65" s="36">
        <f>H56*0.03</f>
        <v>0.09</v>
      </c>
      <c r="I65" s="78"/>
    </row>
    <row r="66" spans="6:12" ht="16.25" customHeight="1">
      <c r="F66" s="236" t="s">
        <v>203</v>
      </c>
      <c r="G66" s="237"/>
      <c r="H66" s="37" t="e">
        <f>H64+H65</f>
        <v>#DIV/0!</v>
      </c>
      <c r="I66" s="78"/>
      <c r="K66" s="156"/>
      <c r="L66" s="162"/>
    </row>
  </sheetData>
  <sheetProtection formatCells="0"/>
  <mergeCells count="97">
    <mergeCell ref="H11:I11"/>
    <mergeCell ref="B10:C10"/>
    <mergeCell ref="B11:C11"/>
    <mergeCell ref="A7:M7"/>
    <mergeCell ref="B9:D9"/>
    <mergeCell ref="D8:I8"/>
    <mergeCell ref="A5:B5"/>
    <mergeCell ref="D5:F5"/>
    <mergeCell ref="I5:M5"/>
    <mergeCell ref="H4:M4"/>
    <mergeCell ref="H10:I10"/>
    <mergeCell ref="A6:M6"/>
    <mergeCell ref="A2:B2"/>
    <mergeCell ref="D2:F2"/>
    <mergeCell ref="H3:J3"/>
    <mergeCell ref="H1:M1"/>
    <mergeCell ref="H2:M2"/>
    <mergeCell ref="A3:B3"/>
    <mergeCell ref="D3:F3"/>
    <mergeCell ref="B48:C48"/>
    <mergeCell ref="H22:I22"/>
    <mergeCell ref="H23:I23"/>
    <mergeCell ref="H24:I24"/>
    <mergeCell ref="H25:I25"/>
    <mergeCell ref="H37:I37"/>
    <mergeCell ref="H30:I30"/>
    <mergeCell ref="H31:I31"/>
    <mergeCell ref="H32:I32"/>
    <mergeCell ref="H33:I33"/>
    <mergeCell ref="H34:I34"/>
    <mergeCell ref="B31:C31"/>
    <mergeCell ref="B32:C32"/>
    <mergeCell ref="B33:C33"/>
    <mergeCell ref="B34:C34"/>
    <mergeCell ref="A47:B47"/>
    <mergeCell ref="E19:F19"/>
    <mergeCell ref="K19:L19"/>
    <mergeCell ref="A20:E20"/>
    <mergeCell ref="E46:F46"/>
    <mergeCell ref="K46:L46"/>
    <mergeCell ref="B21:C21"/>
    <mergeCell ref="B26:C26"/>
    <mergeCell ref="B27:C27"/>
    <mergeCell ref="B28:C28"/>
    <mergeCell ref="B29:C29"/>
    <mergeCell ref="B30:C30"/>
    <mergeCell ref="B35:C35"/>
    <mergeCell ref="B44:C44"/>
    <mergeCell ref="B41:C41"/>
    <mergeCell ref="B42:C42"/>
    <mergeCell ref="B43:C43"/>
    <mergeCell ref="K53:L53"/>
    <mergeCell ref="F56:G56"/>
    <mergeCell ref="F57:G57"/>
    <mergeCell ref="H13:I13"/>
    <mergeCell ref="H14:I14"/>
    <mergeCell ref="H15:I15"/>
    <mergeCell ref="H16:I16"/>
    <mergeCell ref="H18:I18"/>
    <mergeCell ref="H21:I21"/>
    <mergeCell ref="H26:I26"/>
    <mergeCell ref="H27:I27"/>
    <mergeCell ref="H28:I28"/>
    <mergeCell ref="H29:I29"/>
    <mergeCell ref="H36:I36"/>
    <mergeCell ref="H39:I39"/>
    <mergeCell ref="H38:I38"/>
    <mergeCell ref="F66:G66"/>
    <mergeCell ref="F59:G59"/>
    <mergeCell ref="F60:G60"/>
    <mergeCell ref="F62:G62"/>
    <mergeCell ref="F63:G63"/>
    <mergeCell ref="F64:G64"/>
    <mergeCell ref="F65:G65"/>
    <mergeCell ref="F61:G61"/>
    <mergeCell ref="F58:G58"/>
    <mergeCell ref="E53:F53"/>
    <mergeCell ref="H35:I35"/>
    <mergeCell ref="B49:C49"/>
    <mergeCell ref="B50:C50"/>
    <mergeCell ref="B37:C37"/>
    <mergeCell ref="H41:I41"/>
    <mergeCell ref="H42:I42"/>
    <mergeCell ref="H43:I43"/>
    <mergeCell ref="H44:I44"/>
    <mergeCell ref="H45:I45"/>
    <mergeCell ref="B52:C52"/>
    <mergeCell ref="H40:I40"/>
    <mergeCell ref="B36:C36"/>
    <mergeCell ref="B38:C38"/>
    <mergeCell ref="B39:C39"/>
    <mergeCell ref="B40:C40"/>
    <mergeCell ref="A12:B12"/>
    <mergeCell ref="B13:C13"/>
    <mergeCell ref="B14:C14"/>
    <mergeCell ref="B15:C15"/>
    <mergeCell ref="B17:C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данные</vt:lpstr>
      <vt:lpstr>расчеты</vt:lpstr>
      <vt:lpstr>Ст-сть Матер-Работ</vt:lpstr>
      <vt:lpstr>Смета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Konstantin Borodin</cp:lastModifiedBy>
  <dcterms:created xsi:type="dcterms:W3CDTF">2023-10-27T11:10:16Z</dcterms:created>
  <dcterms:modified xsi:type="dcterms:W3CDTF">2024-04-06T16:08:15Z</dcterms:modified>
  <cp:category/>
</cp:coreProperties>
</file>