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koss/Downloads/"/>
    </mc:Choice>
  </mc:AlternateContent>
  <xr:revisionPtr revIDLastSave="0" documentId="8_{3060DB60-1E16-B44B-957C-1A0BFC7D3088}" xr6:coauthVersionLast="47" xr6:coauthVersionMax="47" xr10:uidLastSave="{00000000-0000-0000-0000-000000000000}"/>
  <bookViews>
    <workbookView xWindow="-140" yWindow="500" windowWidth="31920" windowHeight="16820" tabRatio="765" activeTab="2" xr2:uid="{00000000-000D-0000-FFFF-FFFF00000000}"/>
  </bookViews>
  <sheets>
    <sheet name="Лист1" sheetId="7" r:id="rId1"/>
    <sheet name="балки" sheetId="108" r:id="rId2"/>
    <sheet name="data" sheetId="129" r:id="rId3"/>
    <sheet name="Балки - Этажи 45 и 95мм" sheetId="101" r:id="rId4"/>
    <sheet name="Балки - КС и ПБКЛ" sheetId="102" r:id="rId5"/>
    <sheet name="Балки - ест. влахность" sheetId="107" r:id="rId6"/>
    <sheet name="Смета Мягкая" sheetId="112" r:id="rId7"/>
    <sheet name="Смета Железо" sheetId="113" r:id="rId8"/>
    <sheet name="Смета винты 89х2500" sheetId="118" r:id="rId9"/>
    <sheet name="Смета винты 89х3000" sheetId="117" r:id="rId10"/>
    <sheet name="Смета винты 108х2500" sheetId="119" r:id="rId11"/>
    <sheet name="Смета винты 108х3000" sheetId="120" r:id="rId12"/>
    <sheet name="Смета ЖБ 150х3000" sheetId="121" r:id="rId13"/>
    <sheet name="Смета ЖБ 200х3000" sheetId="122" r:id="rId14"/>
    <sheet name="Смета ЖБ 150х4000" sheetId="123" r:id="rId15"/>
    <sheet name="Смета ЖБ 200х4000" sheetId="124" r:id="rId16"/>
    <sheet name="Смета - Рубероид" sheetId="114" r:id="rId17"/>
    <sheet name="Смета СВ-Рост 600х300" sheetId="127" r:id="rId18"/>
    <sheet name="Смета лента 600х300" sheetId="106" r:id="rId19"/>
    <sheet name="Смета лента 700х300" sheetId="109" r:id="rId20"/>
    <sheet name="Смета плита" sheetId="132" r:id="rId21"/>
    <sheet name="Смета ХВ 200" sheetId="50" r:id="rId22"/>
    <sheet name="Смета брус КС 145х45" sheetId="16" r:id="rId23"/>
    <sheet name="Смета брус КС 145х95" sheetId="20" r:id="rId24"/>
    <sheet name="Смета брус КС 145х145" sheetId="17" r:id="rId25"/>
    <sheet name="Смета брус КС 145х195" sheetId="19" r:id="rId26"/>
    <sheet name="Смета брус КС 195х195" sheetId="21" r:id="rId27"/>
    <sheet name="Смета брус ЕВ 145х140" sheetId="22" r:id="rId28"/>
    <sheet name="Смета брус ЕВ 145х190" sheetId="23" r:id="rId29"/>
    <sheet name="Смета брус ЕВ 195х190" sheetId="24" r:id="rId30"/>
    <sheet name="Смета брус ЕВ-Л 145х140" sheetId="25" r:id="rId31"/>
    <sheet name="Смета брус ЕВ-Л 145х190" sheetId="26" r:id="rId32"/>
    <sheet name="Смета брус ЕВ-Л 195х190" sheetId="27" r:id="rId33"/>
    <sheet name="Смета брус ЕВ-К 145х140" sheetId="28" r:id="rId34"/>
    <sheet name="Смета брус ЕВ-К 145х190" sheetId="29" r:id="rId35"/>
    <sheet name="Смета брус ЕВ-К 195х190" sheetId="30" r:id="rId36"/>
    <sheet name="Смета КЛ 145х160" sheetId="31" r:id="rId37"/>
    <sheet name="Смета КЛ 145х200" sheetId="32" r:id="rId38"/>
    <sheet name="Смета КЛ 190х160" sheetId="33" r:id="rId39"/>
    <sheet name="Смета КЛ 190х200" sheetId="34" r:id="rId40"/>
    <sheet name="Смета КЛ 145х240" sheetId="35" r:id="rId41"/>
    <sheet name="Смета КЛ 190х240" sheetId="36" r:id="rId42"/>
    <sheet name="Смета КЛ 230х160" sheetId="37" r:id="rId43"/>
    <sheet name="Смета КЛ 230х200" sheetId="38" r:id="rId44"/>
    <sheet name="Смета КЛ 230х240" sheetId="39" r:id="rId45"/>
    <sheet name="Смета КЛ 250х160" sheetId="40" r:id="rId46"/>
    <sheet name="Смета КЛ 250х200" sheetId="41" r:id="rId47"/>
    <sheet name="Смета КЛ 280х200" sheetId="42" r:id="rId48"/>
    <sheet name="Смета ХВ 180" sheetId="49" r:id="rId49"/>
    <sheet name="Смета ХВ 220" sheetId="51" r:id="rId50"/>
    <sheet name="Смета ХВ 240" sheetId="52" r:id="rId51"/>
    <sheet name="Смета ХВ 260" sheetId="53" r:id="rId52"/>
    <sheet name="Смета ХВ 280" sheetId="54" r:id="rId53"/>
    <sheet name="Смета ХВ 300" sheetId="55" r:id="rId54"/>
    <sheet name="Смета Л 200" sheetId="56" r:id="rId55"/>
    <sheet name="Смета Л 220" sheetId="57" r:id="rId56"/>
    <sheet name="Смета Л 240" sheetId="58" r:id="rId57"/>
    <sheet name="Смета Л 260" sheetId="59" r:id="rId58"/>
    <sheet name="Смета Л 280" sheetId="60" r:id="rId59"/>
    <sheet name="Смета Л 300" sheetId="61" r:id="rId60"/>
    <sheet name="Смета К 200" sheetId="62" r:id="rId61"/>
    <sheet name="Смета К 220" sheetId="63" r:id="rId62"/>
    <sheet name="Смета К 240" sheetId="64" r:id="rId63"/>
    <sheet name="Смета К 260" sheetId="65" r:id="rId64"/>
    <sheet name="Смета К 280" sheetId="67" r:id="rId65"/>
    <sheet name="Смета К 300" sheetId="66" r:id="rId66"/>
    <sheet name="Смета ХВР 180" sheetId="68" r:id="rId67"/>
    <sheet name="Смета ХВР 200" sheetId="134" r:id="rId68"/>
    <sheet name="Смета ХВР 220" sheetId="69" r:id="rId69"/>
    <sheet name="Смета ХВР 240" sheetId="70" r:id="rId70"/>
    <sheet name="Смета ХВР 260" sheetId="73" r:id="rId71"/>
    <sheet name="Смета ХВР 280" sheetId="74" r:id="rId72"/>
    <sheet name="Смета ХВР 300" sheetId="75" r:id="rId73"/>
    <sheet name="Смета ХВР 320" sheetId="76" r:id="rId74"/>
    <sheet name="Смета ХВР 340" sheetId="77" r:id="rId75"/>
    <sheet name="Смета ХВР 360" sheetId="78" r:id="rId76"/>
    <sheet name="Смета ХВР 380" sheetId="79" r:id="rId77"/>
    <sheet name="Смета ХВР 400" sheetId="80" r:id="rId78"/>
    <sheet name="Смета ЛР 200" sheetId="81" r:id="rId79"/>
    <sheet name="Смета ЛР 220" sheetId="82" r:id="rId80"/>
    <sheet name="Смета ЛР 240" sheetId="83" r:id="rId81"/>
    <sheet name="Смета ЛР 260" sheetId="84" r:id="rId82"/>
    <sheet name="Смета ЛР 280" sheetId="85" r:id="rId83"/>
    <sheet name="Смета ЛР 300" sheetId="86" r:id="rId84"/>
    <sheet name="Смета ЛР 320" sheetId="87" r:id="rId85"/>
    <sheet name="Смета ЛР 340" sheetId="88" r:id="rId86"/>
    <sheet name="Смета ЛР 360" sheetId="89" r:id="rId87"/>
    <sheet name="Смета ЛР 380" sheetId="90" r:id="rId88"/>
    <sheet name="Смета ЛР 400" sheetId="91" r:id="rId89"/>
    <sheet name="Смета КР 200" sheetId="92" r:id="rId90"/>
    <sheet name="Смета КР 220" sheetId="93" r:id="rId91"/>
    <sheet name="Смета КР 240" sheetId="94" r:id="rId92"/>
    <sheet name="Смета КР 260" sheetId="71" r:id="rId93"/>
    <sheet name="Смета КР 280" sheetId="72" r:id="rId94"/>
    <sheet name="Смета КР 300" sheetId="95" r:id="rId95"/>
    <sheet name="Смета КР 320" sheetId="96" r:id="rId96"/>
    <sheet name="Смета КР 340" sheetId="97" r:id="rId97"/>
    <sheet name="Смета КР 360" sheetId="98" r:id="rId98"/>
    <sheet name="Смета КР 380" sheetId="99" r:id="rId99"/>
    <sheet name="Смета КР 400" sheetId="100" r:id="rId100"/>
    <sheet name="Out (Кратко)" sheetId="6" r:id="rId101"/>
  </sheets>
  <externalReferences>
    <externalReference r:id="rId102"/>
    <externalReference r:id="rId103"/>
    <externalReference r:id="rId104"/>
  </externalReferences>
  <definedNames>
    <definedName name="Code">#REF!</definedName>
    <definedName name="Parts">#REF!</definedName>
    <definedName name="Profile">#REF!</definedName>
    <definedName name="SetOut">#REF!</definedName>
    <definedName name="SetProfile">#REF!</definedName>
    <definedName name="SetRandomize">#REF!</definedName>
    <definedName name="SetSpeed">#REF!</definedName>
    <definedName name="SetTime">#REF!</definedName>
    <definedName name="SetTrim">#REF!</definedName>
    <definedName name="Stoc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6" i="132" l="1"/>
  <c r="K76" i="132"/>
  <c r="M76" i="132" s="1"/>
  <c r="K69" i="132"/>
  <c r="L69" i="132"/>
  <c r="L68" i="132"/>
  <c r="M68" i="132" s="1"/>
  <c r="L67" i="132"/>
  <c r="K68" i="132"/>
  <c r="K67" i="132"/>
  <c r="M67" i="132" s="1"/>
  <c r="F67" i="132"/>
  <c r="E67" i="132"/>
  <c r="G67" i="132" s="1"/>
  <c r="F54" i="132"/>
  <c r="M69" i="132" l="1"/>
  <c r="D64" i="129" l="1"/>
  <c r="L18" i="124"/>
  <c r="K18" i="124"/>
  <c r="M18" i="124" s="1"/>
  <c r="L17" i="124"/>
  <c r="K17" i="124"/>
  <c r="M17" i="124" s="1"/>
  <c r="L18" i="123"/>
  <c r="K18" i="123"/>
  <c r="L17" i="123"/>
  <c r="K17" i="123"/>
  <c r="M17" i="123" s="1"/>
  <c r="L18" i="122"/>
  <c r="K18" i="122"/>
  <c r="M18" i="122" s="1"/>
  <c r="L17" i="122"/>
  <c r="K17" i="122"/>
  <c r="M17" i="122" s="1"/>
  <c r="L18" i="121"/>
  <c r="K18" i="121"/>
  <c r="M18" i="121" s="1"/>
  <c r="L17" i="121"/>
  <c r="K17" i="121"/>
  <c r="M17" i="121" s="1"/>
  <c r="L18" i="120"/>
  <c r="K18" i="120"/>
  <c r="M18" i="120" s="1"/>
  <c r="L17" i="120"/>
  <c r="K17" i="120"/>
  <c r="M17" i="120" s="1"/>
  <c r="L18" i="119"/>
  <c r="K18" i="119"/>
  <c r="M18" i="119" s="1"/>
  <c r="L17" i="119"/>
  <c r="K17" i="119"/>
  <c r="M17" i="119" s="1"/>
  <c r="L18" i="117"/>
  <c r="K18" i="117"/>
  <c r="M18" i="117" s="1"/>
  <c r="L17" i="117"/>
  <c r="K17" i="117"/>
  <c r="M18" i="118"/>
  <c r="L18" i="118"/>
  <c r="L17" i="118"/>
  <c r="K18" i="118"/>
  <c r="K17" i="118"/>
  <c r="M17" i="118" s="1"/>
  <c r="F15" i="124"/>
  <c r="L16" i="124"/>
  <c r="L16" i="123"/>
  <c r="L16" i="122"/>
  <c r="L23" i="121"/>
  <c r="L16" i="121"/>
  <c r="L14" i="120"/>
  <c r="L13" i="120"/>
  <c r="L24" i="120"/>
  <c r="L24" i="119"/>
  <c r="L20" i="119"/>
  <c r="L20" i="120"/>
  <c r="L16" i="120"/>
  <c r="K13" i="120"/>
  <c r="L12" i="120"/>
  <c r="F24" i="120"/>
  <c r="F15" i="120"/>
  <c r="F14" i="120"/>
  <c r="F13" i="120"/>
  <c r="F12" i="120"/>
  <c r="E13" i="120"/>
  <c r="L15" i="120"/>
  <c r="L15" i="119"/>
  <c r="L14" i="119"/>
  <c r="L13" i="119"/>
  <c r="L12" i="119"/>
  <c r="F15" i="119"/>
  <c r="F14" i="119"/>
  <c r="F13" i="119"/>
  <c r="F12" i="119"/>
  <c r="E13" i="119"/>
  <c r="L16" i="119"/>
  <c r="L16" i="117"/>
  <c r="L16" i="118"/>
  <c r="F24" i="117"/>
  <c r="L24" i="117"/>
  <c r="L20" i="117"/>
  <c r="L14" i="117"/>
  <c r="L13" i="117"/>
  <c r="L12" i="117"/>
  <c r="F14" i="117"/>
  <c r="F13" i="117"/>
  <c r="F12" i="117"/>
  <c r="E13" i="117"/>
  <c r="F15" i="117"/>
  <c r="L15" i="117"/>
  <c r="D8" i="127"/>
  <c r="M17" i="117" l="1"/>
  <c r="M18" i="123"/>
  <c r="J16" i="129"/>
  <c r="E56" i="129"/>
  <c r="E57" i="129"/>
  <c r="E58" i="129"/>
  <c r="E221" i="129"/>
  <c r="E220" i="129"/>
  <c r="E219" i="129"/>
  <c r="E218" i="129"/>
  <c r="E217" i="129"/>
  <c r="E216" i="129"/>
  <c r="E215" i="129"/>
  <c r="E270" i="129"/>
  <c r="E271" i="129"/>
  <c r="E205" i="129"/>
  <c r="P94" i="129"/>
  <c r="I70" i="129"/>
  <c r="I72" i="129"/>
  <c r="I71" i="129"/>
  <c r="I62" i="129"/>
  <c r="J55" i="129"/>
  <c r="J54" i="129"/>
  <c r="E48" i="129"/>
  <c r="J48" i="129" l="1"/>
  <c r="L81" i="132"/>
  <c r="L78" i="132"/>
  <c r="L77" i="132"/>
  <c r="L75" i="132"/>
  <c r="L74" i="132"/>
  <c r="F79" i="132"/>
  <c r="F77" i="132"/>
  <c r="F74" i="132"/>
  <c r="J53" i="100"/>
  <c r="J52" i="100"/>
  <c r="J16" i="100"/>
  <c r="E15" i="100"/>
  <c r="E13" i="100"/>
  <c r="J13" i="100"/>
  <c r="E50" i="100"/>
  <c r="D50" i="100"/>
  <c r="J21" i="100"/>
  <c r="D21" i="100"/>
  <c r="J20" i="100"/>
  <c r="J19" i="100"/>
  <c r="I19" i="100"/>
  <c r="D19" i="100" s="1"/>
  <c r="J18" i="100"/>
  <c r="J17" i="100"/>
  <c r="E16" i="100"/>
  <c r="J14" i="100"/>
  <c r="E14" i="100"/>
  <c r="J53" i="99"/>
  <c r="J52" i="99"/>
  <c r="J16" i="99"/>
  <c r="E15" i="99"/>
  <c r="E13" i="99"/>
  <c r="J13" i="99"/>
  <c r="E50" i="99"/>
  <c r="D50" i="99"/>
  <c r="F50" i="99" s="1"/>
  <c r="J21" i="99"/>
  <c r="D21" i="99"/>
  <c r="J20" i="99"/>
  <c r="J19" i="99"/>
  <c r="I19" i="99"/>
  <c r="K19" i="99" s="1"/>
  <c r="J18" i="99"/>
  <c r="J17" i="99"/>
  <c r="E16" i="99"/>
  <c r="J14" i="99"/>
  <c r="E14" i="99"/>
  <c r="J53" i="98"/>
  <c r="J52" i="98"/>
  <c r="J16" i="98"/>
  <c r="E15" i="98"/>
  <c r="E13" i="98"/>
  <c r="J13" i="98"/>
  <c r="E50" i="98"/>
  <c r="D50" i="98"/>
  <c r="J21" i="98"/>
  <c r="D21" i="98"/>
  <c r="J20" i="98"/>
  <c r="J19" i="98"/>
  <c r="I19" i="98"/>
  <c r="J18" i="98"/>
  <c r="J17" i="98"/>
  <c r="E16" i="98"/>
  <c r="J14" i="98"/>
  <c r="E14" i="98"/>
  <c r="J53" i="97"/>
  <c r="J52" i="97"/>
  <c r="J16" i="97"/>
  <c r="E15" i="97"/>
  <c r="E13" i="97"/>
  <c r="J13" i="97"/>
  <c r="E50" i="97"/>
  <c r="D50" i="97"/>
  <c r="J21" i="97"/>
  <c r="D21" i="97"/>
  <c r="J20" i="97"/>
  <c r="J19" i="97"/>
  <c r="I19" i="97"/>
  <c r="D19" i="97" s="1"/>
  <c r="J18" i="97"/>
  <c r="J17" i="97"/>
  <c r="E16" i="97"/>
  <c r="J14" i="97"/>
  <c r="E14" i="97"/>
  <c r="J53" i="96"/>
  <c r="J52" i="96"/>
  <c r="J16" i="96"/>
  <c r="E15" i="96"/>
  <c r="E13" i="96"/>
  <c r="J13" i="96"/>
  <c r="E50" i="96"/>
  <c r="D50" i="96"/>
  <c r="J21" i="96"/>
  <c r="D21" i="96"/>
  <c r="J20" i="96"/>
  <c r="J19" i="96"/>
  <c r="I19" i="96"/>
  <c r="K19" i="96" s="1"/>
  <c r="J18" i="96"/>
  <c r="J17" i="96"/>
  <c r="E16" i="96"/>
  <c r="J14" i="96"/>
  <c r="E14" i="96"/>
  <c r="J53" i="95"/>
  <c r="J52" i="95"/>
  <c r="J16" i="95"/>
  <c r="E15" i="95"/>
  <c r="E13" i="95"/>
  <c r="J13" i="95"/>
  <c r="E50" i="95"/>
  <c r="D50" i="95"/>
  <c r="J21" i="95"/>
  <c r="D21" i="95"/>
  <c r="J20" i="95"/>
  <c r="J19" i="95"/>
  <c r="I19" i="95"/>
  <c r="J18" i="95"/>
  <c r="J17" i="95"/>
  <c r="E16" i="95"/>
  <c r="J14" i="95"/>
  <c r="E14" i="95"/>
  <c r="J53" i="72"/>
  <c r="J52" i="72"/>
  <c r="J16" i="72"/>
  <c r="E15" i="72"/>
  <c r="E13" i="72"/>
  <c r="J13" i="72"/>
  <c r="E50" i="72"/>
  <c r="D50" i="72"/>
  <c r="J21" i="72"/>
  <c r="D21" i="72"/>
  <c r="J20" i="72"/>
  <c r="J19" i="72"/>
  <c r="I19" i="72"/>
  <c r="K19" i="72" s="1"/>
  <c r="J18" i="72"/>
  <c r="J17" i="72"/>
  <c r="E16" i="72"/>
  <c r="J14" i="72"/>
  <c r="E14" i="72"/>
  <c r="J53" i="71"/>
  <c r="J52" i="71"/>
  <c r="J16" i="71"/>
  <c r="E15" i="71"/>
  <c r="E13" i="71"/>
  <c r="J13" i="71"/>
  <c r="E50" i="71"/>
  <c r="D50" i="71"/>
  <c r="F50" i="71" s="1"/>
  <c r="J21" i="71"/>
  <c r="D21" i="71"/>
  <c r="J20" i="71"/>
  <c r="J19" i="71"/>
  <c r="I19" i="71"/>
  <c r="J18" i="71"/>
  <c r="J17" i="71"/>
  <c r="E16" i="71"/>
  <c r="J14" i="71"/>
  <c r="E14" i="71"/>
  <c r="J53" i="94"/>
  <c r="J52" i="94"/>
  <c r="J16" i="94"/>
  <c r="E15" i="94"/>
  <c r="E13" i="94"/>
  <c r="J13" i="94"/>
  <c r="E50" i="94"/>
  <c r="D50" i="94"/>
  <c r="J21" i="94"/>
  <c r="D21" i="94"/>
  <c r="J20" i="94"/>
  <c r="J19" i="94"/>
  <c r="I19" i="94"/>
  <c r="J18" i="94"/>
  <c r="J17" i="94"/>
  <c r="E16" i="94"/>
  <c r="J14" i="94"/>
  <c r="E14" i="94"/>
  <c r="I54" i="93"/>
  <c r="J53" i="93"/>
  <c r="J52" i="93"/>
  <c r="J16" i="93"/>
  <c r="E15" i="93"/>
  <c r="E13" i="93"/>
  <c r="J13" i="93"/>
  <c r="E50" i="93"/>
  <c r="D50" i="93"/>
  <c r="J21" i="93"/>
  <c r="D21" i="93"/>
  <c r="J20" i="93"/>
  <c r="J19" i="93"/>
  <c r="I19" i="93"/>
  <c r="D19" i="93" s="1"/>
  <c r="J18" i="93"/>
  <c r="J17" i="93"/>
  <c r="E16" i="93"/>
  <c r="J14" i="93"/>
  <c r="E14" i="93"/>
  <c r="I54" i="92"/>
  <c r="J53" i="92"/>
  <c r="J52" i="92"/>
  <c r="J16" i="92"/>
  <c r="E15" i="92"/>
  <c r="E13" i="92"/>
  <c r="J13" i="92"/>
  <c r="E50" i="92"/>
  <c r="D50" i="92"/>
  <c r="J21" i="92"/>
  <c r="D21" i="92"/>
  <c r="J20" i="92"/>
  <c r="J19" i="92"/>
  <c r="I19" i="92"/>
  <c r="J18" i="92"/>
  <c r="J17" i="92"/>
  <c r="E16" i="92"/>
  <c r="J14" i="92"/>
  <c r="E14" i="92"/>
  <c r="J53" i="91"/>
  <c r="J52" i="91"/>
  <c r="J16" i="91"/>
  <c r="E15" i="91"/>
  <c r="E13" i="91"/>
  <c r="J13" i="91"/>
  <c r="E50" i="91"/>
  <c r="D50" i="91"/>
  <c r="J21" i="91"/>
  <c r="D21" i="91"/>
  <c r="J20" i="91"/>
  <c r="J19" i="91"/>
  <c r="I19" i="91"/>
  <c r="D19" i="91" s="1"/>
  <c r="J18" i="91"/>
  <c r="J17" i="91"/>
  <c r="E16" i="91"/>
  <c r="J14" i="91"/>
  <c r="E14" i="91"/>
  <c r="J53" i="90"/>
  <c r="J52" i="90"/>
  <c r="J16" i="90"/>
  <c r="E15" i="90"/>
  <c r="E13" i="90"/>
  <c r="J13" i="90"/>
  <c r="E50" i="90"/>
  <c r="D50" i="90"/>
  <c r="F50" i="90" s="1"/>
  <c r="J21" i="90"/>
  <c r="D21" i="90"/>
  <c r="J20" i="90"/>
  <c r="J19" i="90"/>
  <c r="I19" i="90"/>
  <c r="J18" i="90"/>
  <c r="J17" i="90"/>
  <c r="E16" i="90"/>
  <c r="J14" i="90"/>
  <c r="E14" i="90"/>
  <c r="J53" i="89"/>
  <c r="J52" i="89"/>
  <c r="J16" i="89"/>
  <c r="E15" i="89"/>
  <c r="E13" i="89"/>
  <c r="J13" i="89"/>
  <c r="E50" i="89"/>
  <c r="D50" i="89"/>
  <c r="J21" i="89"/>
  <c r="D21" i="89"/>
  <c r="J20" i="89"/>
  <c r="J19" i="89"/>
  <c r="I19" i="89"/>
  <c r="J18" i="89"/>
  <c r="J17" i="89"/>
  <c r="E16" i="89"/>
  <c r="J14" i="89"/>
  <c r="E14" i="89"/>
  <c r="J53" i="88"/>
  <c r="J52" i="88"/>
  <c r="J16" i="88"/>
  <c r="E15" i="88"/>
  <c r="E13" i="88"/>
  <c r="J13" i="88"/>
  <c r="E50" i="88"/>
  <c r="D50" i="88"/>
  <c r="J21" i="88"/>
  <c r="D21" i="88"/>
  <c r="J20" i="88"/>
  <c r="J19" i="88"/>
  <c r="I19" i="88"/>
  <c r="J18" i="88"/>
  <c r="J17" i="88"/>
  <c r="E16" i="88"/>
  <c r="J14" i="88"/>
  <c r="E14" i="88"/>
  <c r="J53" i="87"/>
  <c r="J52" i="87"/>
  <c r="J16" i="87"/>
  <c r="E15" i="87"/>
  <c r="E13" i="87"/>
  <c r="J13" i="87"/>
  <c r="E50" i="87"/>
  <c r="D50" i="87"/>
  <c r="J21" i="87"/>
  <c r="D21" i="87"/>
  <c r="J20" i="87"/>
  <c r="J19" i="87"/>
  <c r="I19" i="87"/>
  <c r="J18" i="87"/>
  <c r="J17" i="87"/>
  <c r="E16" i="87"/>
  <c r="J14" i="87"/>
  <c r="E14" i="87"/>
  <c r="J53" i="86"/>
  <c r="J52" i="86"/>
  <c r="J16" i="86"/>
  <c r="E15" i="86"/>
  <c r="E13" i="86"/>
  <c r="J13" i="86"/>
  <c r="E50" i="86"/>
  <c r="D50" i="86"/>
  <c r="J21" i="86"/>
  <c r="D21" i="86"/>
  <c r="J20" i="86"/>
  <c r="J19" i="86"/>
  <c r="I19" i="86"/>
  <c r="J18" i="86"/>
  <c r="J17" i="86"/>
  <c r="E16" i="86"/>
  <c r="J14" i="86"/>
  <c r="E14" i="86"/>
  <c r="J53" i="85"/>
  <c r="J52" i="85"/>
  <c r="J16" i="85"/>
  <c r="E15" i="85"/>
  <c r="E13" i="85"/>
  <c r="J13" i="85"/>
  <c r="E50" i="85"/>
  <c r="D50" i="85"/>
  <c r="J21" i="85"/>
  <c r="D21" i="85"/>
  <c r="J20" i="85"/>
  <c r="J19" i="85"/>
  <c r="I19" i="85"/>
  <c r="D19" i="85" s="1"/>
  <c r="J18" i="85"/>
  <c r="J17" i="85"/>
  <c r="E16" i="85"/>
  <c r="J14" i="85"/>
  <c r="E14" i="85"/>
  <c r="J53" i="84"/>
  <c r="J52" i="84"/>
  <c r="J16" i="84"/>
  <c r="E15" i="84"/>
  <c r="E13" i="84"/>
  <c r="J13" i="84"/>
  <c r="E50" i="84"/>
  <c r="D50" i="84"/>
  <c r="J21" i="84"/>
  <c r="D21" i="84"/>
  <c r="J20" i="84"/>
  <c r="J19" i="84"/>
  <c r="I19" i="84"/>
  <c r="J18" i="84"/>
  <c r="J17" i="84"/>
  <c r="E16" i="84"/>
  <c r="J14" i="84"/>
  <c r="E14" i="84"/>
  <c r="J53" i="83"/>
  <c r="J52" i="83"/>
  <c r="J16" i="83"/>
  <c r="E15" i="83"/>
  <c r="E13" i="83"/>
  <c r="J13" i="83"/>
  <c r="E50" i="83"/>
  <c r="D50" i="83"/>
  <c r="J21" i="83"/>
  <c r="D21" i="83"/>
  <c r="J20" i="83"/>
  <c r="J19" i="83"/>
  <c r="I19" i="83"/>
  <c r="D19" i="83"/>
  <c r="J18" i="83"/>
  <c r="J17" i="83"/>
  <c r="E16" i="83"/>
  <c r="J14" i="83"/>
  <c r="E14" i="83"/>
  <c r="J53" i="82"/>
  <c r="J52" i="82"/>
  <c r="J16" i="82"/>
  <c r="E15" i="82"/>
  <c r="E13" i="82"/>
  <c r="J13" i="82"/>
  <c r="E50" i="82"/>
  <c r="D50" i="82"/>
  <c r="J21" i="82"/>
  <c r="D21" i="82"/>
  <c r="J20" i="82"/>
  <c r="J19" i="82"/>
  <c r="I19" i="82"/>
  <c r="D19" i="82"/>
  <c r="J18" i="82"/>
  <c r="J17" i="82"/>
  <c r="E16" i="82"/>
  <c r="J14" i="82"/>
  <c r="E14" i="82"/>
  <c r="I54" i="81"/>
  <c r="J53" i="81"/>
  <c r="J52" i="81"/>
  <c r="J16" i="81"/>
  <c r="E15" i="81"/>
  <c r="E13" i="81"/>
  <c r="J13" i="81"/>
  <c r="E50" i="81"/>
  <c r="D50" i="81"/>
  <c r="J21" i="81"/>
  <c r="D21" i="81"/>
  <c r="J20" i="81"/>
  <c r="J19" i="81"/>
  <c r="I19" i="81"/>
  <c r="J18" i="81"/>
  <c r="J17" i="81"/>
  <c r="E16" i="81"/>
  <c r="J14" i="81"/>
  <c r="E14" i="81"/>
  <c r="J53" i="80"/>
  <c r="J52" i="80"/>
  <c r="J16" i="80"/>
  <c r="E15" i="80"/>
  <c r="E13" i="80"/>
  <c r="J13" i="80"/>
  <c r="E50" i="80"/>
  <c r="D50" i="80"/>
  <c r="J21" i="80"/>
  <c r="D21" i="80"/>
  <c r="J20" i="80"/>
  <c r="J19" i="80"/>
  <c r="I19" i="80"/>
  <c r="J18" i="80"/>
  <c r="J17" i="80"/>
  <c r="E16" i="80"/>
  <c r="J14" i="80"/>
  <c r="E14" i="80"/>
  <c r="J53" i="79"/>
  <c r="J52" i="79"/>
  <c r="J16" i="79"/>
  <c r="E16" i="79"/>
  <c r="E15" i="79"/>
  <c r="E13" i="79"/>
  <c r="J13" i="79"/>
  <c r="E50" i="79"/>
  <c r="D50" i="79"/>
  <c r="J21" i="79"/>
  <c r="D21" i="79"/>
  <c r="J20" i="79"/>
  <c r="J19" i="79"/>
  <c r="I19" i="79"/>
  <c r="K19" i="79" s="1"/>
  <c r="J18" i="79"/>
  <c r="J17" i="79"/>
  <c r="J14" i="79"/>
  <c r="E14" i="79"/>
  <c r="J53" i="78"/>
  <c r="J52" i="78"/>
  <c r="I52" i="78"/>
  <c r="J16" i="78"/>
  <c r="E15" i="78"/>
  <c r="E13" i="78"/>
  <c r="J13" i="78"/>
  <c r="E50" i="78"/>
  <c r="D50" i="78"/>
  <c r="J21" i="78"/>
  <c r="D21" i="78"/>
  <c r="J20" i="78"/>
  <c r="J19" i="78"/>
  <c r="I19" i="78"/>
  <c r="D19" i="78" s="1"/>
  <c r="J18" i="78"/>
  <c r="J17" i="78"/>
  <c r="E16" i="78"/>
  <c r="J14" i="78"/>
  <c r="E14" i="78"/>
  <c r="J53" i="77"/>
  <c r="J52" i="77"/>
  <c r="J16" i="77"/>
  <c r="E15" i="77"/>
  <c r="E13" i="77"/>
  <c r="J13" i="77"/>
  <c r="E50" i="77"/>
  <c r="D50" i="77"/>
  <c r="J21" i="77"/>
  <c r="D21" i="77"/>
  <c r="J20" i="77"/>
  <c r="J19" i="77"/>
  <c r="I19" i="77"/>
  <c r="J18" i="77"/>
  <c r="J17" i="77"/>
  <c r="E16" i="77"/>
  <c r="J14" i="77"/>
  <c r="E14" i="77"/>
  <c r="J53" i="76"/>
  <c r="J52" i="76"/>
  <c r="J16" i="76"/>
  <c r="E15" i="76"/>
  <c r="E13" i="76"/>
  <c r="J13" i="76"/>
  <c r="E50" i="76"/>
  <c r="D50" i="76"/>
  <c r="J21" i="76"/>
  <c r="D21" i="76"/>
  <c r="J20" i="76"/>
  <c r="J19" i="76"/>
  <c r="I19" i="76"/>
  <c r="D19" i="76" s="1"/>
  <c r="J18" i="76"/>
  <c r="J17" i="76"/>
  <c r="E16" i="76"/>
  <c r="J14" i="76"/>
  <c r="E14" i="76"/>
  <c r="J53" i="75"/>
  <c r="J52" i="75"/>
  <c r="E15" i="75"/>
  <c r="E13" i="75"/>
  <c r="J16" i="75"/>
  <c r="J13" i="75"/>
  <c r="E50" i="75"/>
  <c r="D50" i="75"/>
  <c r="J21" i="75"/>
  <c r="D21" i="75"/>
  <c r="J20" i="75"/>
  <c r="J19" i="75"/>
  <c r="I19" i="75"/>
  <c r="D19" i="75" s="1"/>
  <c r="J18" i="75"/>
  <c r="J17" i="75"/>
  <c r="E16" i="75"/>
  <c r="J14" i="75"/>
  <c r="E14" i="75"/>
  <c r="I54" i="74"/>
  <c r="J53" i="74"/>
  <c r="J52" i="74"/>
  <c r="J16" i="74"/>
  <c r="E15" i="74"/>
  <c r="E13" i="74"/>
  <c r="J13" i="74"/>
  <c r="E50" i="74"/>
  <c r="D50" i="74"/>
  <c r="E46" i="74"/>
  <c r="J21" i="74"/>
  <c r="D21" i="74"/>
  <c r="J20" i="74"/>
  <c r="J19" i="74"/>
  <c r="I19" i="74"/>
  <c r="D19" i="74" s="1"/>
  <c r="J18" i="74"/>
  <c r="J17" i="74"/>
  <c r="E16" i="74"/>
  <c r="J14" i="74"/>
  <c r="E14" i="74"/>
  <c r="E13" i="73"/>
  <c r="J13" i="73"/>
  <c r="J53" i="73"/>
  <c r="J52" i="73"/>
  <c r="J16" i="73"/>
  <c r="J16" i="70"/>
  <c r="E15" i="73"/>
  <c r="E50" i="73"/>
  <c r="D50" i="73"/>
  <c r="J21" i="73"/>
  <c r="D21" i="73"/>
  <c r="J20" i="73"/>
  <c r="J19" i="73"/>
  <c r="I19" i="73"/>
  <c r="K19" i="73" s="1"/>
  <c r="J18" i="73"/>
  <c r="J17" i="73"/>
  <c r="E16" i="73"/>
  <c r="J14" i="73"/>
  <c r="E14" i="73"/>
  <c r="J53" i="70"/>
  <c r="J52" i="70"/>
  <c r="E15" i="70"/>
  <c r="E13" i="70"/>
  <c r="J13" i="70"/>
  <c r="E50" i="70"/>
  <c r="D50" i="70"/>
  <c r="J21" i="70"/>
  <c r="D21" i="70"/>
  <c r="J20" i="70"/>
  <c r="J19" i="70"/>
  <c r="I19" i="70"/>
  <c r="J18" i="70"/>
  <c r="J17" i="70"/>
  <c r="E16" i="70"/>
  <c r="J14" i="70"/>
  <c r="E14" i="70"/>
  <c r="J53" i="69"/>
  <c r="J52" i="69"/>
  <c r="I54" i="69"/>
  <c r="J16" i="69"/>
  <c r="J16" i="134"/>
  <c r="E15" i="69"/>
  <c r="E13" i="69"/>
  <c r="J13" i="69"/>
  <c r="E50" i="69"/>
  <c r="D50" i="69"/>
  <c r="J21" i="69"/>
  <c r="D21" i="69"/>
  <c r="J20" i="69"/>
  <c r="J19" i="69"/>
  <c r="I19" i="69"/>
  <c r="D19" i="69" s="1"/>
  <c r="J18" i="69"/>
  <c r="J17" i="69"/>
  <c r="E16" i="69"/>
  <c r="J14" i="69"/>
  <c r="E14" i="69"/>
  <c r="I54" i="134"/>
  <c r="J53" i="134"/>
  <c r="J52" i="134"/>
  <c r="E15" i="134"/>
  <c r="J13" i="134"/>
  <c r="E13" i="134"/>
  <c r="E50" i="134"/>
  <c r="D50" i="134"/>
  <c r="J21" i="134"/>
  <c r="D21" i="134"/>
  <c r="J20" i="134"/>
  <c r="J19" i="134"/>
  <c r="I19" i="134"/>
  <c r="J18" i="134"/>
  <c r="J17" i="134"/>
  <c r="E16" i="134"/>
  <c r="J14" i="134"/>
  <c r="E14" i="134"/>
  <c r="E206" i="129"/>
  <c r="E40" i="90" s="1"/>
  <c r="I54" i="68"/>
  <c r="J53" i="68"/>
  <c r="J52" i="68"/>
  <c r="I49" i="85"/>
  <c r="E50" i="68"/>
  <c r="D50" i="68"/>
  <c r="J21" i="68"/>
  <c r="J20" i="68"/>
  <c r="J19" i="68"/>
  <c r="I19" i="68"/>
  <c r="J18" i="68"/>
  <c r="J17" i="68"/>
  <c r="E16" i="68"/>
  <c r="J16" i="68"/>
  <c r="E15" i="68"/>
  <c r="J14" i="68"/>
  <c r="E14" i="68"/>
  <c r="E13" i="68"/>
  <c r="J13" i="68"/>
  <c r="E28" i="68"/>
  <c r="L20" i="124"/>
  <c r="K20" i="124"/>
  <c r="L20" i="123"/>
  <c r="K20" i="123"/>
  <c r="L20" i="122"/>
  <c r="K20" i="122"/>
  <c r="L20" i="121"/>
  <c r="K20" i="121"/>
  <c r="L21" i="120"/>
  <c r="K21" i="120"/>
  <c r="L21" i="119"/>
  <c r="K21" i="119"/>
  <c r="L21" i="117"/>
  <c r="K21" i="117"/>
  <c r="L21" i="118"/>
  <c r="K21" i="118"/>
  <c r="E40" i="68" l="1"/>
  <c r="E46" i="68"/>
  <c r="E46" i="78"/>
  <c r="E28" i="73"/>
  <c r="E28" i="75"/>
  <c r="E46" i="69"/>
  <c r="K19" i="81"/>
  <c r="F50" i="89"/>
  <c r="K19" i="97"/>
  <c r="I49" i="78"/>
  <c r="I49" i="81"/>
  <c r="F50" i="96"/>
  <c r="F50" i="78"/>
  <c r="K19" i="90"/>
  <c r="K19" i="95"/>
  <c r="F50" i="100"/>
  <c r="F50" i="80"/>
  <c r="E34" i="134"/>
  <c r="E40" i="134"/>
  <c r="E40" i="70"/>
  <c r="K19" i="92"/>
  <c r="F50" i="86"/>
  <c r="F50" i="95"/>
  <c r="K19" i="74"/>
  <c r="E46" i="76"/>
  <c r="E34" i="80"/>
  <c r="K19" i="84"/>
  <c r="E34" i="70"/>
  <c r="E28" i="76"/>
  <c r="E46" i="80"/>
  <c r="I49" i="83"/>
  <c r="K19" i="94"/>
  <c r="E34" i="75"/>
  <c r="E34" i="77"/>
  <c r="E34" i="79"/>
  <c r="E46" i="82"/>
  <c r="E28" i="83"/>
  <c r="E34" i="69"/>
  <c r="E34" i="74"/>
  <c r="E40" i="83"/>
  <c r="F50" i="85"/>
  <c r="F50" i="72"/>
  <c r="E34" i="68"/>
  <c r="I49" i="134"/>
  <c r="I49" i="99"/>
  <c r="I49" i="96"/>
  <c r="I49" i="72"/>
  <c r="I49" i="97"/>
  <c r="I49" i="95"/>
  <c r="I49" i="71"/>
  <c r="I49" i="100"/>
  <c r="I49" i="98"/>
  <c r="I49" i="90"/>
  <c r="I49" i="89"/>
  <c r="I49" i="93"/>
  <c r="I49" i="88"/>
  <c r="I49" i="87"/>
  <c r="I49" i="94"/>
  <c r="I49" i="91"/>
  <c r="I49" i="92"/>
  <c r="I49" i="82"/>
  <c r="I49" i="77"/>
  <c r="E46" i="70"/>
  <c r="E40" i="74"/>
  <c r="F50" i="74"/>
  <c r="E34" i="78"/>
  <c r="I49" i="79"/>
  <c r="E28" i="84"/>
  <c r="I49" i="84"/>
  <c r="E40" i="85"/>
  <c r="F50" i="77"/>
  <c r="K19" i="78"/>
  <c r="D19" i="79"/>
  <c r="I49" i="80"/>
  <c r="E272" i="129"/>
  <c r="D341" i="129" s="1"/>
  <c r="E40" i="99"/>
  <c r="E28" i="99"/>
  <c r="E40" i="96"/>
  <c r="E40" i="72"/>
  <c r="E28" i="72"/>
  <c r="E28" i="71"/>
  <c r="E46" i="100"/>
  <c r="E46" i="98"/>
  <c r="E40" i="97"/>
  <c r="E28" i="97"/>
  <c r="E28" i="96"/>
  <c r="E40" i="95"/>
  <c r="E34" i="100"/>
  <c r="E34" i="98"/>
  <c r="E46" i="99"/>
  <c r="E34" i="99"/>
  <c r="E46" i="96"/>
  <c r="E46" i="72"/>
  <c r="E34" i="72"/>
  <c r="E40" i="100"/>
  <c r="E40" i="98"/>
  <c r="E46" i="97"/>
  <c r="E34" i="97"/>
  <c r="E34" i="96"/>
  <c r="E46" i="95"/>
  <c r="E34" i="95"/>
  <c r="E34" i="94"/>
  <c r="E34" i="92"/>
  <c r="E46" i="90"/>
  <c r="E34" i="90"/>
  <c r="E46" i="89"/>
  <c r="E40" i="91"/>
  <c r="E28" i="91"/>
  <c r="E28" i="89"/>
  <c r="E28" i="88"/>
  <c r="E28" i="98"/>
  <c r="E40" i="71"/>
  <c r="E46" i="92"/>
  <c r="E46" i="91"/>
  <c r="E34" i="91"/>
  <c r="E40" i="89"/>
  <c r="E34" i="88"/>
  <c r="E40" i="92"/>
  <c r="E46" i="85"/>
  <c r="E34" i="85"/>
  <c r="E46" i="84"/>
  <c r="E46" i="81"/>
  <c r="E34" i="81"/>
  <c r="E34" i="93"/>
  <c r="E28" i="95"/>
  <c r="E46" i="71"/>
  <c r="E46" i="93"/>
  <c r="E40" i="93"/>
  <c r="E28" i="85"/>
  <c r="E34" i="83"/>
  <c r="E40" i="82"/>
  <c r="E28" i="81"/>
  <c r="E28" i="79"/>
  <c r="E40" i="75"/>
  <c r="E40" i="79"/>
  <c r="E40" i="76"/>
  <c r="E40" i="73"/>
  <c r="E28" i="70"/>
  <c r="E28" i="69"/>
  <c r="E40" i="88"/>
  <c r="E40" i="87"/>
  <c r="E40" i="94"/>
  <c r="E28" i="93"/>
  <c r="E34" i="89"/>
  <c r="E46" i="88"/>
  <c r="E46" i="87"/>
  <c r="E34" i="87"/>
  <c r="E46" i="86"/>
  <c r="E40" i="86"/>
  <c r="E40" i="84"/>
  <c r="E46" i="83"/>
  <c r="E28" i="82"/>
  <c r="E40" i="80"/>
  <c r="E46" i="94"/>
  <c r="E28" i="94"/>
  <c r="E28" i="87"/>
  <c r="E34" i="84"/>
  <c r="E28" i="100"/>
  <c r="E28" i="92"/>
  <c r="E34" i="71"/>
  <c r="E28" i="90"/>
  <c r="E34" i="86"/>
  <c r="E28" i="86"/>
  <c r="E40" i="81"/>
  <c r="E28" i="80"/>
  <c r="E46" i="79"/>
  <c r="E40" i="78"/>
  <c r="E28" i="78"/>
  <c r="E40" i="77"/>
  <c r="E28" i="77"/>
  <c r="E34" i="76"/>
  <c r="E34" i="73"/>
  <c r="E28" i="134"/>
  <c r="E46" i="134"/>
  <c r="E40" i="69"/>
  <c r="E46" i="75"/>
  <c r="E46" i="73"/>
  <c r="E28" i="74"/>
  <c r="E46" i="77"/>
  <c r="K19" i="80"/>
  <c r="E34" i="82"/>
  <c r="I49" i="86"/>
  <c r="F50" i="134"/>
  <c r="K19" i="86"/>
  <c r="D19" i="86"/>
  <c r="F50" i="87"/>
  <c r="K19" i="82"/>
  <c r="F50" i="84"/>
  <c r="F50" i="73"/>
  <c r="K19" i="77"/>
  <c r="F50" i="79"/>
  <c r="F50" i="81"/>
  <c r="K19" i="83"/>
  <c r="F50" i="82"/>
  <c r="F50" i="83"/>
  <c r="K19" i="85"/>
  <c r="K19" i="87"/>
  <c r="K19" i="88"/>
  <c r="D19" i="88"/>
  <c r="K19" i="89"/>
  <c r="K19" i="91"/>
  <c r="K19" i="93"/>
  <c r="F50" i="88"/>
  <c r="F50" i="93"/>
  <c r="F50" i="91"/>
  <c r="F50" i="92"/>
  <c r="K19" i="71"/>
  <c r="K19" i="98"/>
  <c r="F50" i="98"/>
  <c r="K19" i="100"/>
  <c r="F50" i="94"/>
  <c r="D19" i="95"/>
  <c r="D19" i="96"/>
  <c r="F50" i="97"/>
  <c r="D19" i="99"/>
  <c r="D19" i="98"/>
  <c r="D19" i="72"/>
  <c r="D19" i="71"/>
  <c r="D19" i="94"/>
  <c r="D19" i="92"/>
  <c r="D19" i="90"/>
  <c r="D19" i="89"/>
  <c r="D19" i="87"/>
  <c r="D19" i="84"/>
  <c r="D19" i="81"/>
  <c r="D19" i="80"/>
  <c r="K52" i="78"/>
  <c r="D19" i="77"/>
  <c r="K19" i="69"/>
  <c r="F50" i="70"/>
  <c r="F50" i="75"/>
  <c r="I49" i="76"/>
  <c r="K19" i="134"/>
  <c r="F50" i="69"/>
  <c r="I49" i="74"/>
  <c r="I49" i="70"/>
  <c r="I49" i="73"/>
  <c r="K19" i="76"/>
  <c r="F50" i="76"/>
  <c r="I49" i="69"/>
  <c r="I49" i="75"/>
  <c r="K19" i="70"/>
  <c r="K19" i="75"/>
  <c r="D19" i="73"/>
  <c r="D19" i="70"/>
  <c r="D19" i="134"/>
  <c r="M21" i="120"/>
  <c r="M21" i="117"/>
  <c r="M21" i="118"/>
  <c r="M20" i="122"/>
  <c r="M20" i="124"/>
  <c r="M21" i="119"/>
  <c r="M20" i="121"/>
  <c r="M20" i="123"/>
  <c r="D213" i="129"/>
  <c r="D212" i="129"/>
  <c r="D15" i="92" l="1"/>
  <c r="F15" i="92" s="1"/>
  <c r="D15" i="81"/>
  <c r="I13" i="92"/>
  <c r="I13" i="81"/>
  <c r="I13" i="68"/>
  <c r="K13" i="68" s="1"/>
  <c r="I13" i="134"/>
  <c r="D15" i="134"/>
  <c r="D15" i="68"/>
  <c r="D15" i="93" l="1"/>
  <c r="D15" i="82"/>
  <c r="I16" i="134"/>
  <c r="D16" i="134" s="1"/>
  <c r="F16" i="134" s="1"/>
  <c r="I16" i="92"/>
  <c r="I16" i="81"/>
  <c r="I13" i="93"/>
  <c r="I13" i="82"/>
  <c r="D13" i="81"/>
  <c r="F13" i="81" s="1"/>
  <c r="K13" i="81"/>
  <c r="D13" i="92"/>
  <c r="F13" i="92" s="1"/>
  <c r="K13" i="92"/>
  <c r="F15" i="81"/>
  <c r="D13" i="68"/>
  <c r="F13" i="68" s="1"/>
  <c r="D15" i="69"/>
  <c r="F15" i="134"/>
  <c r="D13" i="134"/>
  <c r="F13" i="134" s="1"/>
  <c r="K13" i="134"/>
  <c r="I13" i="69"/>
  <c r="I16" i="68"/>
  <c r="I18" i="93" l="1"/>
  <c r="K18" i="93" s="1"/>
  <c r="I18" i="92"/>
  <c r="K18" i="92" s="1"/>
  <c r="I18" i="81"/>
  <c r="K18" i="81" s="1"/>
  <c r="D13" i="93"/>
  <c r="F13" i="93" s="1"/>
  <c r="K13" i="93"/>
  <c r="I16" i="93"/>
  <c r="I16" i="82"/>
  <c r="K16" i="134"/>
  <c r="D16" i="81"/>
  <c r="F16" i="81" s="1"/>
  <c r="K16" i="81"/>
  <c r="I17" i="93"/>
  <c r="K17" i="93" s="1"/>
  <c r="I17" i="82"/>
  <c r="K17" i="82" s="1"/>
  <c r="I13" i="94"/>
  <c r="I13" i="83"/>
  <c r="I17" i="134"/>
  <c r="K17" i="134" s="1"/>
  <c r="I17" i="92"/>
  <c r="K17" i="92" s="1"/>
  <c r="I17" i="81"/>
  <c r="K17" i="81" s="1"/>
  <c r="K16" i="92"/>
  <c r="D16" i="92"/>
  <c r="F16" i="92" s="1"/>
  <c r="D14" i="92"/>
  <c r="F14" i="92" s="1"/>
  <c r="D14" i="81"/>
  <c r="F14" i="81" s="1"/>
  <c r="F15" i="82"/>
  <c r="D15" i="94"/>
  <c r="D15" i="83"/>
  <c r="F15" i="93"/>
  <c r="D13" i="82"/>
  <c r="F13" i="82" s="1"/>
  <c r="K13" i="82"/>
  <c r="I16" i="69"/>
  <c r="D13" i="69"/>
  <c r="F13" i="69" s="1"/>
  <c r="K13" i="69"/>
  <c r="I17" i="69"/>
  <c r="K17" i="69" s="1"/>
  <c r="I17" i="68"/>
  <c r="I13" i="70"/>
  <c r="D14" i="134"/>
  <c r="F14" i="134" s="1"/>
  <c r="D15" i="70"/>
  <c r="F15" i="69"/>
  <c r="K16" i="68"/>
  <c r="D16" i="68"/>
  <c r="F16" i="68" s="1"/>
  <c r="I54" i="82"/>
  <c r="I18" i="69" l="1"/>
  <c r="K18" i="69" s="1"/>
  <c r="I18" i="82"/>
  <c r="K18" i="82" s="1"/>
  <c r="I16" i="73"/>
  <c r="D16" i="73" s="1"/>
  <c r="F16" i="73" s="1"/>
  <c r="D14" i="82"/>
  <c r="F14" i="82" s="1"/>
  <c r="D14" i="93"/>
  <c r="F14" i="93" s="1"/>
  <c r="D13" i="94"/>
  <c r="F13" i="94" s="1"/>
  <c r="K13" i="94"/>
  <c r="F15" i="83"/>
  <c r="D16" i="82"/>
  <c r="F16" i="82" s="1"/>
  <c r="K16" i="82"/>
  <c r="D15" i="73"/>
  <c r="F15" i="73" s="1"/>
  <c r="D15" i="71"/>
  <c r="D15" i="84"/>
  <c r="I16" i="70"/>
  <c r="D16" i="70" s="1"/>
  <c r="F16" i="70" s="1"/>
  <c r="I16" i="94"/>
  <c r="I16" i="83"/>
  <c r="I13" i="71"/>
  <c r="I13" i="84"/>
  <c r="K13" i="83"/>
  <c r="D13" i="83"/>
  <c r="F13" i="83" s="1"/>
  <c r="D16" i="93"/>
  <c r="F16" i="93" s="1"/>
  <c r="K16" i="93"/>
  <c r="D15" i="74"/>
  <c r="F15" i="74" s="1"/>
  <c r="D15" i="72"/>
  <c r="D15" i="85"/>
  <c r="F15" i="94"/>
  <c r="D14" i="68"/>
  <c r="F14" i="68" s="1"/>
  <c r="F15" i="70"/>
  <c r="D14" i="69"/>
  <c r="F14" i="69" s="1"/>
  <c r="D13" i="70"/>
  <c r="F13" i="70" s="1"/>
  <c r="K13" i="70"/>
  <c r="D16" i="69"/>
  <c r="F16" i="69" s="1"/>
  <c r="K16" i="69"/>
  <c r="I18" i="68"/>
  <c r="I18" i="134"/>
  <c r="K18" i="134" s="1"/>
  <c r="I13" i="73"/>
  <c r="I16" i="84" l="1"/>
  <c r="I16" i="71"/>
  <c r="K16" i="73"/>
  <c r="K16" i="70"/>
  <c r="K13" i="71"/>
  <c r="D13" i="71"/>
  <c r="F13" i="71" s="1"/>
  <c r="D15" i="75"/>
  <c r="F15" i="75" s="1"/>
  <c r="D15" i="95"/>
  <c r="D15" i="86"/>
  <c r="I16" i="74"/>
  <c r="D16" i="74" s="1"/>
  <c r="F16" i="74" s="1"/>
  <c r="I16" i="72"/>
  <c r="I16" i="85"/>
  <c r="I18" i="73"/>
  <c r="K18" i="73" s="1"/>
  <c r="I18" i="71"/>
  <c r="K18" i="71" s="1"/>
  <c r="I18" i="84"/>
  <c r="K18" i="84" s="1"/>
  <c r="F15" i="85"/>
  <c r="K13" i="84"/>
  <c r="D13" i="84"/>
  <c r="F13" i="84" s="1"/>
  <c r="F15" i="72"/>
  <c r="I13" i="72"/>
  <c r="I13" i="85"/>
  <c r="D16" i="83"/>
  <c r="F16" i="83" s="1"/>
  <c r="K16" i="83"/>
  <c r="D16" i="94"/>
  <c r="F16" i="94" s="1"/>
  <c r="K16" i="94"/>
  <c r="D16" i="84"/>
  <c r="F16" i="84" s="1"/>
  <c r="K16" i="84"/>
  <c r="F15" i="84"/>
  <c r="D16" i="71"/>
  <c r="F16" i="71" s="1"/>
  <c r="K16" i="71"/>
  <c r="F15" i="71"/>
  <c r="I17" i="70"/>
  <c r="K17" i="70" s="1"/>
  <c r="I17" i="94"/>
  <c r="K17" i="94" s="1"/>
  <c r="I17" i="83"/>
  <c r="K17" i="83" s="1"/>
  <c r="I18" i="70"/>
  <c r="K18" i="70" s="1"/>
  <c r="I18" i="94"/>
  <c r="K18" i="94" s="1"/>
  <c r="I18" i="83"/>
  <c r="K18" i="83" s="1"/>
  <c r="D13" i="73"/>
  <c r="F13" i="73" s="1"/>
  <c r="K13" i="73"/>
  <c r="I13" i="74"/>
  <c r="I54" i="70"/>
  <c r="N310" i="129"/>
  <c r="N309" i="129"/>
  <c r="N308" i="129"/>
  <c r="L321" i="129"/>
  <c r="L320" i="129"/>
  <c r="L319" i="129"/>
  <c r="L318" i="129"/>
  <c r="L310" i="129"/>
  <c r="L309" i="129"/>
  <c r="L308" i="129"/>
  <c r="E23" i="113"/>
  <c r="E23" i="112"/>
  <c r="E24" i="113"/>
  <c r="M357" i="129"/>
  <c r="M356" i="129"/>
  <c r="M355" i="129"/>
  <c r="M353" i="129"/>
  <c r="M352" i="129"/>
  <c r="M351" i="129"/>
  <c r="M350" i="129"/>
  <c r="M349" i="129"/>
  <c r="M348" i="129"/>
  <c r="M347" i="129"/>
  <c r="M346" i="129"/>
  <c r="M345" i="129"/>
  <c r="N338" i="129"/>
  <c r="N337" i="129"/>
  <c r="N336" i="129"/>
  <c r="N335" i="129"/>
  <c r="N334" i="129"/>
  <c r="N333" i="129"/>
  <c r="N332" i="129"/>
  <c r="N331" i="129"/>
  <c r="N330" i="129"/>
  <c r="N329" i="129"/>
  <c r="N328" i="129"/>
  <c r="N313" i="129"/>
  <c r="N326" i="129"/>
  <c r="N327" i="129"/>
  <c r="N321" i="129"/>
  <c r="N320" i="129"/>
  <c r="N319" i="129"/>
  <c r="N317" i="129"/>
  <c r="N316" i="129"/>
  <c r="N314" i="129"/>
  <c r="N318" i="129"/>
  <c r="E45" i="66"/>
  <c r="E39" i="66"/>
  <c r="E33" i="66"/>
  <c r="E27" i="66"/>
  <c r="J14" i="66"/>
  <c r="E14" i="66"/>
  <c r="E45" i="67"/>
  <c r="E39" i="67"/>
  <c r="E33" i="67"/>
  <c r="E27" i="67"/>
  <c r="J14" i="67"/>
  <c r="E14" i="67"/>
  <c r="E45" i="65"/>
  <c r="E39" i="65"/>
  <c r="E33" i="65"/>
  <c r="E27" i="65"/>
  <c r="J14" i="65"/>
  <c r="E14" i="65"/>
  <c r="E45" i="64"/>
  <c r="E39" i="64"/>
  <c r="E33" i="64"/>
  <c r="E27" i="64"/>
  <c r="J14" i="64"/>
  <c r="E14" i="64"/>
  <c r="E45" i="63"/>
  <c r="E39" i="63"/>
  <c r="E33" i="63"/>
  <c r="E27" i="63"/>
  <c r="J14" i="63"/>
  <c r="E14" i="63"/>
  <c r="E45" i="62"/>
  <c r="E39" i="62"/>
  <c r="E33" i="62"/>
  <c r="E27" i="62"/>
  <c r="J14" i="62"/>
  <c r="E14" i="62"/>
  <c r="E45" i="61"/>
  <c r="E39" i="61"/>
  <c r="E33" i="61"/>
  <c r="E27" i="61"/>
  <c r="J14" i="61"/>
  <c r="E14" i="61"/>
  <c r="E45" i="60"/>
  <c r="E39" i="60"/>
  <c r="E33" i="60"/>
  <c r="E27" i="60"/>
  <c r="J14" i="60"/>
  <c r="E14" i="60"/>
  <c r="E45" i="59"/>
  <c r="E39" i="59"/>
  <c r="E33" i="59"/>
  <c r="E27" i="59"/>
  <c r="J14" i="59"/>
  <c r="E14" i="59"/>
  <c r="E45" i="58"/>
  <c r="E39" i="58"/>
  <c r="E33" i="58"/>
  <c r="E27" i="58"/>
  <c r="J14" i="58"/>
  <c r="E14" i="58"/>
  <c r="E45" i="57"/>
  <c r="E39" i="57"/>
  <c r="E33" i="57"/>
  <c r="E27" i="57"/>
  <c r="J14" i="57"/>
  <c r="E14" i="57"/>
  <c r="E45" i="56"/>
  <c r="E39" i="56"/>
  <c r="E33" i="56"/>
  <c r="E27" i="56"/>
  <c r="J14" i="56"/>
  <c r="E14" i="56"/>
  <c r="E45" i="55"/>
  <c r="E39" i="55"/>
  <c r="E33" i="55"/>
  <c r="E27" i="55"/>
  <c r="J14" i="55"/>
  <c r="E14" i="55"/>
  <c r="E45" i="54"/>
  <c r="E39" i="54"/>
  <c r="E33" i="54"/>
  <c r="E27" i="54"/>
  <c r="J14" i="54"/>
  <c r="E14" i="54"/>
  <c r="E45" i="53"/>
  <c r="E39" i="53"/>
  <c r="E33" i="53"/>
  <c r="E27" i="53"/>
  <c r="J14" i="53"/>
  <c r="E14" i="53"/>
  <c r="E45" i="52"/>
  <c r="E39" i="52"/>
  <c r="E33" i="52"/>
  <c r="E27" i="52"/>
  <c r="J14" i="52"/>
  <c r="E14" i="52"/>
  <c r="E45" i="51"/>
  <c r="E39" i="51"/>
  <c r="E33" i="51"/>
  <c r="E27" i="51"/>
  <c r="J14" i="51"/>
  <c r="E14" i="51"/>
  <c r="E47" i="30"/>
  <c r="E41" i="30"/>
  <c r="E35" i="30"/>
  <c r="E29" i="30"/>
  <c r="E47" i="29"/>
  <c r="E41" i="29"/>
  <c r="E35" i="29"/>
  <c r="E29" i="29"/>
  <c r="E47" i="28"/>
  <c r="E41" i="28"/>
  <c r="E35" i="28"/>
  <c r="E29" i="28"/>
  <c r="E47" i="27"/>
  <c r="E41" i="27"/>
  <c r="E35" i="27"/>
  <c r="E29" i="27"/>
  <c r="E47" i="26"/>
  <c r="E41" i="26"/>
  <c r="E35" i="26"/>
  <c r="E29" i="26"/>
  <c r="E47" i="25"/>
  <c r="E41" i="25"/>
  <c r="E35" i="25"/>
  <c r="E29" i="25"/>
  <c r="E48" i="24"/>
  <c r="E42" i="24"/>
  <c r="E36" i="24"/>
  <c r="E29" i="24"/>
  <c r="E48" i="23"/>
  <c r="E42" i="23"/>
  <c r="E36" i="23"/>
  <c r="E29" i="23"/>
  <c r="J43" i="16"/>
  <c r="J36" i="16"/>
  <c r="J29" i="16"/>
  <c r="E48" i="22"/>
  <c r="E42" i="22"/>
  <c r="E36" i="22"/>
  <c r="E29" i="22"/>
  <c r="E48" i="21"/>
  <c r="E42" i="21"/>
  <c r="E36" i="21"/>
  <c r="E29" i="21"/>
  <c r="E48" i="19"/>
  <c r="E42" i="19"/>
  <c r="E36" i="19"/>
  <c r="E29" i="19"/>
  <c r="E48" i="17"/>
  <c r="E29" i="17"/>
  <c r="I17" i="74" l="1"/>
  <c r="K17" i="74" s="1"/>
  <c r="I17" i="72"/>
  <c r="K17" i="72" s="1"/>
  <c r="I17" i="85"/>
  <c r="K17" i="85" s="1"/>
  <c r="I18" i="74"/>
  <c r="K18" i="74" s="1"/>
  <c r="I18" i="72"/>
  <c r="K18" i="72" s="1"/>
  <c r="I18" i="85"/>
  <c r="K18" i="85" s="1"/>
  <c r="K16" i="74"/>
  <c r="D13" i="85"/>
  <c r="F13" i="85" s="1"/>
  <c r="K13" i="85"/>
  <c r="I13" i="95"/>
  <c r="I13" i="86"/>
  <c r="D14" i="71"/>
  <c r="F14" i="71" s="1"/>
  <c r="D14" i="84"/>
  <c r="F14" i="84" s="1"/>
  <c r="D13" i="72"/>
  <c r="F13" i="72" s="1"/>
  <c r="K13" i="72"/>
  <c r="F15" i="86"/>
  <c r="D14" i="94"/>
  <c r="F14" i="94" s="1"/>
  <c r="D14" i="83"/>
  <c r="F14" i="83" s="1"/>
  <c r="I17" i="73"/>
  <c r="K17" i="73" s="1"/>
  <c r="I17" i="71"/>
  <c r="K17" i="71" s="1"/>
  <c r="I17" i="84"/>
  <c r="K17" i="84" s="1"/>
  <c r="F15" i="95"/>
  <c r="D16" i="85"/>
  <c r="F16" i="85" s="1"/>
  <c r="K16" i="85"/>
  <c r="I16" i="75"/>
  <c r="K16" i="75" s="1"/>
  <c r="I16" i="95"/>
  <c r="I16" i="86"/>
  <c r="D16" i="72"/>
  <c r="F16" i="72" s="1"/>
  <c r="K16" i="72"/>
  <c r="D14" i="70"/>
  <c r="F14" i="70" s="1"/>
  <c r="I13" i="75"/>
  <c r="D13" i="74"/>
  <c r="F13" i="74" s="1"/>
  <c r="K13" i="74"/>
  <c r="D14" i="73"/>
  <c r="F14" i="73" s="1"/>
  <c r="I54" i="83"/>
  <c r="I54" i="94"/>
  <c r="I54" i="73"/>
  <c r="E24" i="112"/>
  <c r="E42" i="17"/>
  <c r="E36" i="17"/>
  <c r="E42" i="20"/>
  <c r="E36" i="20"/>
  <c r="E30" i="20"/>
  <c r="E47" i="16"/>
  <c r="E40" i="16"/>
  <c r="E33" i="16"/>
  <c r="E45" i="50"/>
  <c r="E39" i="50"/>
  <c r="E33" i="50"/>
  <c r="E27" i="50"/>
  <c r="J14" i="50"/>
  <c r="E14" i="50"/>
  <c r="E45" i="49"/>
  <c r="E39" i="49"/>
  <c r="E33" i="49"/>
  <c r="E27" i="49"/>
  <c r="J14" i="49"/>
  <c r="E14" i="49"/>
  <c r="J29" i="42"/>
  <c r="E29" i="42"/>
  <c r="J29" i="41"/>
  <c r="E29" i="41"/>
  <c r="J29" i="40"/>
  <c r="E29" i="40"/>
  <c r="J29" i="39"/>
  <c r="E29" i="39"/>
  <c r="J29" i="38"/>
  <c r="E29" i="38"/>
  <c r="J29" i="37"/>
  <c r="E29" i="37"/>
  <c r="J29" i="36"/>
  <c r="E29" i="36"/>
  <c r="J29" i="35"/>
  <c r="E29" i="35"/>
  <c r="J29" i="34"/>
  <c r="E29" i="34"/>
  <c r="J29" i="33"/>
  <c r="E29" i="33"/>
  <c r="J29" i="32"/>
  <c r="E29" i="32"/>
  <c r="J29" i="31"/>
  <c r="E29" i="31"/>
  <c r="J14" i="30"/>
  <c r="E14" i="30"/>
  <c r="J14" i="29"/>
  <c r="E14" i="29"/>
  <c r="J14" i="28"/>
  <c r="E14" i="28"/>
  <c r="J14" i="27"/>
  <c r="E14" i="27"/>
  <c r="J14" i="26"/>
  <c r="E14" i="26"/>
  <c r="J14" i="25"/>
  <c r="E14" i="25"/>
  <c r="J14" i="24"/>
  <c r="E14" i="24"/>
  <c r="J14" i="23"/>
  <c r="E14" i="23"/>
  <c r="J14" i="22"/>
  <c r="E14" i="22"/>
  <c r="J14" i="21"/>
  <c r="E14" i="21"/>
  <c r="D16" i="75" l="1"/>
  <c r="F16" i="75" s="1"/>
  <c r="D14" i="72"/>
  <c r="F14" i="72" s="1"/>
  <c r="D14" i="85"/>
  <c r="F14" i="85" s="1"/>
  <c r="I13" i="96"/>
  <c r="I13" i="87"/>
  <c r="D13" i="86"/>
  <c r="F13" i="86" s="1"/>
  <c r="K13" i="86"/>
  <c r="D13" i="95"/>
  <c r="F13" i="95" s="1"/>
  <c r="K13" i="95"/>
  <c r="D16" i="86"/>
  <c r="F16" i="86" s="1"/>
  <c r="K16" i="86"/>
  <c r="I18" i="75"/>
  <c r="K18" i="75" s="1"/>
  <c r="I18" i="95"/>
  <c r="K18" i="95" s="1"/>
  <c r="I18" i="86"/>
  <c r="K18" i="86" s="1"/>
  <c r="D16" i="95"/>
  <c r="F16" i="95" s="1"/>
  <c r="K16" i="95"/>
  <c r="I17" i="75"/>
  <c r="K17" i="75" s="1"/>
  <c r="I17" i="95"/>
  <c r="K17" i="95" s="1"/>
  <c r="I17" i="86"/>
  <c r="K17" i="86" s="1"/>
  <c r="D14" i="74"/>
  <c r="F14" i="74" s="1"/>
  <c r="I54" i="84"/>
  <c r="I54" i="71"/>
  <c r="I54" i="72"/>
  <c r="I54" i="85"/>
  <c r="I54" i="75"/>
  <c r="I13" i="76"/>
  <c r="D13" i="75"/>
  <c r="F13" i="75" s="1"/>
  <c r="K13" i="75"/>
  <c r="J14" i="19"/>
  <c r="E14" i="19"/>
  <c r="J14" i="17"/>
  <c r="E14" i="17"/>
  <c r="J13" i="20"/>
  <c r="E13" i="20"/>
  <c r="E14" i="16"/>
  <c r="J14" i="16"/>
  <c r="E14" i="114"/>
  <c r="I363" i="129"/>
  <c r="D14" i="95" l="1"/>
  <c r="F14" i="95" s="1"/>
  <c r="D14" i="86"/>
  <c r="F14" i="86" s="1"/>
  <c r="I13" i="97"/>
  <c r="I13" i="88"/>
  <c r="I13" i="77"/>
  <c r="D13" i="87"/>
  <c r="F13" i="87" s="1"/>
  <c r="K13" i="87"/>
  <c r="D13" i="96"/>
  <c r="F13" i="96" s="1"/>
  <c r="K13" i="96"/>
  <c r="D14" i="75"/>
  <c r="F14" i="75" s="1"/>
  <c r="K13" i="76"/>
  <c r="D13" i="76"/>
  <c r="F13" i="76" s="1"/>
  <c r="I54" i="95"/>
  <c r="I54" i="86"/>
  <c r="J14" i="114"/>
  <c r="J23" i="113"/>
  <c r="I23" i="113"/>
  <c r="J23" i="112"/>
  <c r="I23" i="112"/>
  <c r="L326" i="129"/>
  <c r="L305" i="129"/>
  <c r="L304" i="129"/>
  <c r="I9" i="132"/>
  <c r="D8" i="106"/>
  <c r="M13" i="132"/>
  <c r="L13" i="132"/>
  <c r="M11" i="132"/>
  <c r="L11" i="132"/>
  <c r="K13" i="132"/>
  <c r="K11" i="132"/>
  <c r="J13" i="132"/>
  <c r="J11" i="132"/>
  <c r="H13" i="132"/>
  <c r="H11" i="132"/>
  <c r="G13" i="132"/>
  <c r="G11" i="132"/>
  <c r="F13" i="132"/>
  <c r="F11" i="132"/>
  <c r="E13" i="132"/>
  <c r="E11" i="132"/>
  <c r="D13" i="132"/>
  <c r="D11" i="132"/>
  <c r="B13" i="132"/>
  <c r="B11" i="132"/>
  <c r="A13" i="132"/>
  <c r="A11" i="132"/>
  <c r="E49" i="66"/>
  <c r="D49" i="66"/>
  <c r="E49" i="67"/>
  <c r="D49" i="67"/>
  <c r="E49" i="65"/>
  <c r="D49" i="65"/>
  <c r="E49" i="64"/>
  <c r="D49" i="64"/>
  <c r="E49" i="63"/>
  <c r="D49" i="63"/>
  <c r="E49" i="62"/>
  <c r="D49" i="62"/>
  <c r="E49" i="61"/>
  <c r="D49" i="61"/>
  <c r="E49" i="60"/>
  <c r="D49" i="60"/>
  <c r="E49" i="59"/>
  <c r="D49" i="59"/>
  <c r="E49" i="58"/>
  <c r="D49" i="58"/>
  <c r="E49" i="57"/>
  <c r="D49" i="57"/>
  <c r="E49" i="56"/>
  <c r="D49" i="56"/>
  <c r="E49" i="55"/>
  <c r="D49" i="55"/>
  <c r="E49" i="54"/>
  <c r="D49" i="54"/>
  <c r="E49" i="53"/>
  <c r="D49" i="53"/>
  <c r="E49" i="52"/>
  <c r="D49" i="52"/>
  <c r="E49" i="51"/>
  <c r="D49" i="51"/>
  <c r="E49" i="50"/>
  <c r="D49" i="50"/>
  <c r="E49" i="49"/>
  <c r="D49" i="49"/>
  <c r="C112" i="129"/>
  <c r="E51" i="42"/>
  <c r="D51" i="42"/>
  <c r="E51" i="41"/>
  <c r="D51" i="41"/>
  <c r="E51" i="40"/>
  <c r="D51" i="40"/>
  <c r="E51" i="39"/>
  <c r="D51" i="39"/>
  <c r="E51" i="38"/>
  <c r="D51" i="38"/>
  <c r="E51" i="37"/>
  <c r="D51" i="37"/>
  <c r="E51" i="36"/>
  <c r="D51" i="36"/>
  <c r="E51" i="35"/>
  <c r="D51" i="35"/>
  <c r="E51" i="34"/>
  <c r="D51" i="34"/>
  <c r="E51" i="33"/>
  <c r="D51" i="33"/>
  <c r="E51" i="32"/>
  <c r="D51" i="32"/>
  <c r="E51" i="31"/>
  <c r="D51" i="31"/>
  <c r="E51" i="30"/>
  <c r="D51" i="30"/>
  <c r="E51" i="29"/>
  <c r="D51" i="29"/>
  <c r="E51" i="28"/>
  <c r="D51" i="28"/>
  <c r="E51" i="27"/>
  <c r="D51" i="27"/>
  <c r="E51" i="26"/>
  <c r="D51" i="26"/>
  <c r="E51" i="25"/>
  <c r="D51" i="25"/>
  <c r="E53" i="24"/>
  <c r="D53" i="24"/>
  <c r="E53" i="23"/>
  <c r="D53" i="23"/>
  <c r="E53" i="22"/>
  <c r="D53" i="22"/>
  <c r="E53" i="21"/>
  <c r="D53" i="21"/>
  <c r="I21" i="16"/>
  <c r="E53" i="19"/>
  <c r="D53" i="19"/>
  <c r="E53" i="17"/>
  <c r="D53" i="17"/>
  <c r="E47" i="20"/>
  <c r="E52" i="16"/>
  <c r="D47" i="20"/>
  <c r="D52" i="16"/>
  <c r="E17" i="16"/>
  <c r="E15" i="16"/>
  <c r="E13" i="16"/>
  <c r="J51" i="107"/>
  <c r="J45" i="107"/>
  <c r="J39" i="107"/>
  <c r="J32" i="107"/>
  <c r="J50" i="107"/>
  <c r="J44" i="107"/>
  <c r="J38" i="107"/>
  <c r="J31" i="107"/>
  <c r="J49" i="107"/>
  <c r="J43" i="107"/>
  <c r="J37" i="107"/>
  <c r="J30" i="107"/>
  <c r="J48" i="107"/>
  <c r="J42" i="107"/>
  <c r="J36" i="107"/>
  <c r="J29" i="107"/>
  <c r="E48" i="107"/>
  <c r="E42" i="107"/>
  <c r="E36" i="107"/>
  <c r="E29" i="107"/>
  <c r="D48" i="107"/>
  <c r="D42" i="107"/>
  <c r="D36" i="107"/>
  <c r="D29" i="107"/>
  <c r="E49" i="102"/>
  <c r="E43" i="102"/>
  <c r="E37" i="102"/>
  <c r="E29" i="102"/>
  <c r="D49" i="102"/>
  <c r="D43" i="102"/>
  <c r="D37" i="102"/>
  <c r="D29" i="102"/>
  <c r="J52" i="102"/>
  <c r="J46" i="102"/>
  <c r="J40" i="102"/>
  <c r="J32" i="102"/>
  <c r="J51" i="102"/>
  <c r="J45" i="102"/>
  <c r="J39" i="102"/>
  <c r="J31" i="102"/>
  <c r="J50" i="102"/>
  <c r="J44" i="102"/>
  <c r="J38" i="102"/>
  <c r="J30" i="102"/>
  <c r="J49" i="102"/>
  <c r="J43" i="102"/>
  <c r="J37" i="102"/>
  <c r="J29" i="102"/>
  <c r="E42" i="101"/>
  <c r="E35" i="101"/>
  <c r="E28" i="101"/>
  <c r="D42" i="101"/>
  <c r="D35" i="101"/>
  <c r="D28" i="101"/>
  <c r="J45" i="101"/>
  <c r="J38" i="101"/>
  <c r="J44" i="101"/>
  <c r="J37" i="101"/>
  <c r="J43" i="101"/>
  <c r="J36" i="101"/>
  <c r="J42" i="101"/>
  <c r="J35" i="101"/>
  <c r="J31" i="101"/>
  <c r="J30" i="101"/>
  <c r="J29" i="101"/>
  <c r="J28" i="101"/>
  <c r="D90" i="129"/>
  <c r="L66" i="132"/>
  <c r="L65" i="132"/>
  <c r="L64" i="132"/>
  <c r="L62" i="132"/>
  <c r="L61" i="132"/>
  <c r="K13" i="77" l="1"/>
  <c r="D13" i="77"/>
  <c r="F13" i="77" s="1"/>
  <c r="J44" i="99"/>
  <c r="J44" i="72"/>
  <c r="J44" i="96"/>
  <c r="J44" i="94"/>
  <c r="J44" i="97"/>
  <c r="J44" i="95"/>
  <c r="J44" i="100"/>
  <c r="J44" i="98"/>
  <c r="J44" i="92"/>
  <c r="J44" i="91"/>
  <c r="J44" i="89"/>
  <c r="J44" i="88"/>
  <c r="J44" i="79"/>
  <c r="J44" i="85"/>
  <c r="J44" i="71"/>
  <c r="J44" i="93"/>
  <c r="J44" i="90"/>
  <c r="J44" i="84"/>
  <c r="J44" i="80"/>
  <c r="J44" i="87"/>
  <c r="J44" i="86"/>
  <c r="J44" i="83"/>
  <c r="J44" i="78"/>
  <c r="J44" i="81"/>
  <c r="J44" i="77"/>
  <c r="J44" i="82"/>
  <c r="J46" i="100"/>
  <c r="J46" i="98"/>
  <c r="J46" i="99"/>
  <c r="J46" i="96"/>
  <c r="J46" i="72"/>
  <c r="J46" i="97"/>
  <c r="J46" i="95"/>
  <c r="J46" i="71"/>
  <c r="J46" i="87"/>
  <c r="J46" i="90"/>
  <c r="J46" i="89"/>
  <c r="J46" i="93"/>
  <c r="J46" i="88"/>
  <c r="J46" i="92"/>
  <c r="J46" i="82"/>
  <c r="J46" i="77"/>
  <c r="J46" i="86"/>
  <c r="J46" i="83"/>
  <c r="J46" i="78"/>
  <c r="J46" i="94"/>
  <c r="J46" i="81"/>
  <c r="J46" i="91"/>
  <c r="J46" i="85"/>
  <c r="J46" i="84"/>
  <c r="J46" i="80"/>
  <c r="J46" i="79"/>
  <c r="E43" i="100"/>
  <c r="E43" i="98"/>
  <c r="E43" i="99"/>
  <c r="E43" i="96"/>
  <c r="E43" i="72"/>
  <c r="E43" i="97"/>
  <c r="E43" i="95"/>
  <c r="E43" i="90"/>
  <c r="E43" i="89"/>
  <c r="E43" i="92"/>
  <c r="E43" i="88"/>
  <c r="E43" i="85"/>
  <c r="E43" i="94"/>
  <c r="E43" i="93"/>
  <c r="E43" i="81"/>
  <c r="E43" i="87"/>
  <c r="E43" i="86"/>
  <c r="E43" i="91"/>
  <c r="E43" i="71"/>
  <c r="E43" i="82"/>
  <c r="E43" i="80"/>
  <c r="E43" i="78"/>
  <c r="E43" i="84"/>
  <c r="E43" i="83"/>
  <c r="E43" i="79"/>
  <c r="E43" i="77"/>
  <c r="E19" i="100"/>
  <c r="F19" i="100" s="1"/>
  <c r="E19" i="99"/>
  <c r="F19" i="99" s="1"/>
  <c r="E19" i="72"/>
  <c r="F19" i="72" s="1"/>
  <c r="E19" i="98"/>
  <c r="F19" i="98" s="1"/>
  <c r="E19" i="97"/>
  <c r="F19" i="97" s="1"/>
  <c r="E19" i="94"/>
  <c r="F19" i="94" s="1"/>
  <c r="E19" i="90"/>
  <c r="F19" i="90" s="1"/>
  <c r="E19" i="96"/>
  <c r="F19" i="96" s="1"/>
  <c r="E19" i="86"/>
  <c r="F19" i="86" s="1"/>
  <c r="E19" i="89"/>
  <c r="F19" i="89" s="1"/>
  <c r="E19" i="88"/>
  <c r="F19" i="88" s="1"/>
  <c r="E19" i="87"/>
  <c r="F19" i="87" s="1"/>
  <c r="E19" i="82"/>
  <c r="F19" i="82" s="1"/>
  <c r="E19" i="81"/>
  <c r="F19" i="81" s="1"/>
  <c r="E19" i="92"/>
  <c r="F19" i="92" s="1"/>
  <c r="E19" i="91"/>
  <c r="F19" i="91" s="1"/>
  <c r="E19" i="85"/>
  <c r="F19" i="85" s="1"/>
  <c r="E19" i="95"/>
  <c r="F19" i="95" s="1"/>
  <c r="E19" i="83"/>
  <c r="F19" i="83" s="1"/>
  <c r="E19" i="71"/>
  <c r="F19" i="71" s="1"/>
  <c r="E19" i="93"/>
  <c r="F19" i="93" s="1"/>
  <c r="E19" i="79"/>
  <c r="F19" i="79" s="1"/>
  <c r="E19" i="80"/>
  <c r="F19" i="80" s="1"/>
  <c r="E19" i="84"/>
  <c r="F19" i="84" s="1"/>
  <c r="E19" i="78"/>
  <c r="F19" i="78" s="1"/>
  <c r="E19" i="77"/>
  <c r="F19" i="77" s="1"/>
  <c r="J54" i="99"/>
  <c r="J54" i="97"/>
  <c r="J54" i="96"/>
  <c r="J54" i="72"/>
  <c r="K54" i="72" s="1"/>
  <c r="J54" i="71"/>
  <c r="K54" i="71" s="1"/>
  <c r="J54" i="95"/>
  <c r="K54" i="95" s="1"/>
  <c r="J54" i="94"/>
  <c r="K54" i="94" s="1"/>
  <c r="J54" i="100"/>
  <c r="J54" i="91"/>
  <c r="J54" i="92"/>
  <c r="K54" i="92" s="1"/>
  <c r="J54" i="88"/>
  <c r="J54" i="84"/>
  <c r="K54" i="84" s="1"/>
  <c r="J54" i="86"/>
  <c r="K54" i="86" s="1"/>
  <c r="J54" i="83"/>
  <c r="K54" i="83" s="1"/>
  <c r="J54" i="80"/>
  <c r="J54" i="78"/>
  <c r="J54" i="93"/>
  <c r="K54" i="93" s="1"/>
  <c r="J54" i="81"/>
  <c r="K54" i="81" s="1"/>
  <c r="J54" i="98"/>
  <c r="J54" i="90"/>
  <c r="J54" i="87"/>
  <c r="J54" i="89"/>
  <c r="J54" i="82"/>
  <c r="K54" i="82" s="1"/>
  <c r="J54" i="77"/>
  <c r="J54" i="85"/>
  <c r="K54" i="85" s="1"/>
  <c r="J54" i="79"/>
  <c r="K13" i="88"/>
  <c r="D13" i="88"/>
  <c r="F13" i="88" s="1"/>
  <c r="J38" i="98"/>
  <c r="J38" i="100"/>
  <c r="J38" i="99"/>
  <c r="J38" i="72"/>
  <c r="J38" i="97"/>
  <c r="J38" i="96"/>
  <c r="J38" i="95"/>
  <c r="J38" i="90"/>
  <c r="J38" i="71"/>
  <c r="J38" i="88"/>
  <c r="J38" i="85"/>
  <c r="J38" i="91"/>
  <c r="J38" i="81"/>
  <c r="J38" i="94"/>
  <c r="J38" i="92"/>
  <c r="J38" i="80"/>
  <c r="J38" i="83"/>
  <c r="J38" i="82"/>
  <c r="J38" i="93"/>
  <c r="J38" i="89"/>
  <c r="J38" i="87"/>
  <c r="J38" i="86"/>
  <c r="J38" i="84"/>
  <c r="J38" i="79"/>
  <c r="J38" i="77"/>
  <c r="J38" i="78"/>
  <c r="D14" i="96"/>
  <c r="F14" i="96" s="1"/>
  <c r="D14" i="87"/>
  <c r="F14" i="87" s="1"/>
  <c r="D14" i="76"/>
  <c r="F14" i="76" s="1"/>
  <c r="J27" i="100"/>
  <c r="J27" i="98"/>
  <c r="J27" i="99"/>
  <c r="J27" i="72"/>
  <c r="J27" i="71"/>
  <c r="J27" i="97"/>
  <c r="J27" i="96"/>
  <c r="J27" i="87"/>
  <c r="J27" i="94"/>
  <c r="J27" i="90"/>
  <c r="J27" i="93"/>
  <c r="J27" i="89"/>
  <c r="J27" i="88"/>
  <c r="J27" i="85"/>
  <c r="J27" i="82"/>
  <c r="J27" i="86"/>
  <c r="J27" i="80"/>
  <c r="J27" i="78"/>
  <c r="J27" i="77"/>
  <c r="J27" i="95"/>
  <c r="J27" i="81"/>
  <c r="J27" i="91"/>
  <c r="J27" i="83"/>
  <c r="J27" i="92"/>
  <c r="J27" i="79"/>
  <c r="J27" i="84"/>
  <c r="D25" i="100"/>
  <c r="D25" i="98"/>
  <c r="D25" i="99"/>
  <c r="D25" i="97"/>
  <c r="D25" i="95"/>
  <c r="D25" i="71"/>
  <c r="D25" i="96"/>
  <c r="D25" i="72"/>
  <c r="D25" i="91"/>
  <c r="D25" i="89"/>
  <c r="D25" i="85"/>
  <c r="D25" i="81"/>
  <c r="D25" i="84"/>
  <c r="D25" i="78"/>
  <c r="D25" i="80"/>
  <c r="D25" i="79"/>
  <c r="D25" i="87"/>
  <c r="D25" i="94"/>
  <c r="D25" i="82"/>
  <c r="D25" i="90"/>
  <c r="D25" i="92"/>
  <c r="D25" i="88"/>
  <c r="D25" i="86"/>
  <c r="D25" i="83"/>
  <c r="D25" i="77"/>
  <c r="D25" i="93"/>
  <c r="J25" i="97"/>
  <c r="J25" i="95"/>
  <c r="J25" i="71"/>
  <c r="J25" i="96"/>
  <c r="J25" i="98"/>
  <c r="J25" i="100"/>
  <c r="J25" i="89"/>
  <c r="J25" i="93"/>
  <c r="J25" i="90"/>
  <c r="J25" i="72"/>
  <c r="J25" i="86"/>
  <c r="J25" i="84"/>
  <c r="J25" i="83"/>
  <c r="J25" i="91"/>
  <c r="J25" i="94"/>
  <c r="J25" i="87"/>
  <c r="J25" i="82"/>
  <c r="J25" i="99"/>
  <c r="J25" i="92"/>
  <c r="J25" i="88"/>
  <c r="J25" i="85"/>
  <c r="J25" i="81"/>
  <c r="J25" i="80"/>
  <c r="J25" i="79"/>
  <c r="J25" i="78"/>
  <c r="J25" i="77"/>
  <c r="D13" i="97"/>
  <c r="F13" i="97" s="1"/>
  <c r="K13" i="97"/>
  <c r="D31" i="100"/>
  <c r="D31" i="98"/>
  <c r="D31" i="99"/>
  <c r="D31" i="93"/>
  <c r="D31" i="97"/>
  <c r="D31" i="94"/>
  <c r="D31" i="92"/>
  <c r="D31" i="90"/>
  <c r="D31" i="72"/>
  <c r="D31" i="91"/>
  <c r="D31" i="88"/>
  <c r="D31" i="95"/>
  <c r="D31" i="71"/>
  <c r="D31" i="86"/>
  <c r="D31" i="85"/>
  <c r="D31" i="82"/>
  <c r="D31" i="84"/>
  <c r="D31" i="89"/>
  <c r="D31" i="83"/>
  <c r="D31" i="96"/>
  <c r="D31" i="87"/>
  <c r="D31" i="81"/>
  <c r="D31" i="79"/>
  <c r="D31" i="78"/>
  <c r="D31" i="77"/>
  <c r="D31" i="80"/>
  <c r="I13" i="98"/>
  <c r="I13" i="89"/>
  <c r="I13" i="78"/>
  <c r="J40" i="97"/>
  <c r="J40" i="95"/>
  <c r="J40" i="71"/>
  <c r="J40" i="94"/>
  <c r="J40" i="100"/>
  <c r="J40" i="98"/>
  <c r="J40" i="92"/>
  <c r="J40" i="93"/>
  <c r="J40" i="87"/>
  <c r="J40" i="72"/>
  <c r="J40" i="90"/>
  <c r="J40" i="86"/>
  <c r="J40" i="83"/>
  <c r="J40" i="99"/>
  <c r="J40" i="89"/>
  <c r="J40" i="88"/>
  <c r="J40" i="84"/>
  <c r="J40" i="80"/>
  <c r="J40" i="91"/>
  <c r="J40" i="81"/>
  <c r="J40" i="82"/>
  <c r="J40" i="96"/>
  <c r="J40" i="77"/>
  <c r="J40" i="78"/>
  <c r="J40" i="85"/>
  <c r="J40" i="79"/>
  <c r="J33" i="97"/>
  <c r="J33" i="96"/>
  <c r="J33" i="95"/>
  <c r="J33" i="100"/>
  <c r="J33" i="98"/>
  <c r="J33" i="99"/>
  <c r="J33" i="72"/>
  <c r="J33" i="71"/>
  <c r="J33" i="94"/>
  <c r="J33" i="93"/>
  <c r="J33" i="92"/>
  <c r="J33" i="90"/>
  <c r="J33" i="88"/>
  <c r="J33" i="91"/>
  <c r="J33" i="86"/>
  <c r="J33" i="89"/>
  <c r="J33" i="87"/>
  <c r="J33" i="85"/>
  <c r="J33" i="83"/>
  <c r="J33" i="82"/>
  <c r="J33" i="79"/>
  <c r="J33" i="80"/>
  <c r="J33" i="81"/>
  <c r="J33" i="77"/>
  <c r="J33" i="84"/>
  <c r="J33" i="78"/>
  <c r="J45" i="97"/>
  <c r="J45" i="95"/>
  <c r="J45" i="71"/>
  <c r="J45" i="100"/>
  <c r="J45" i="98"/>
  <c r="J45" i="99"/>
  <c r="J45" i="72"/>
  <c r="J45" i="94"/>
  <c r="J45" i="93"/>
  <c r="J45" i="90"/>
  <c r="J45" i="89"/>
  <c r="J45" i="96"/>
  <c r="J45" i="92"/>
  <c r="J45" i="87"/>
  <c r="J45" i="86"/>
  <c r="J45" i="91"/>
  <c r="J45" i="85"/>
  <c r="J45" i="84"/>
  <c r="J45" i="82"/>
  <c r="J45" i="80"/>
  <c r="J45" i="88"/>
  <c r="J45" i="83"/>
  <c r="J45" i="79"/>
  <c r="J45" i="77"/>
  <c r="J45" i="78"/>
  <c r="J45" i="81"/>
  <c r="D43" i="100"/>
  <c r="D43" i="98"/>
  <c r="D43" i="99"/>
  <c r="F43" i="99" s="1"/>
  <c r="D43" i="96"/>
  <c r="F43" i="96" s="1"/>
  <c r="D43" i="93"/>
  <c r="F43" i="93" s="1"/>
  <c r="D43" i="90"/>
  <c r="F43" i="90" s="1"/>
  <c r="D43" i="72"/>
  <c r="D43" i="91"/>
  <c r="D43" i="86"/>
  <c r="D43" i="89"/>
  <c r="D43" i="85"/>
  <c r="D43" i="82"/>
  <c r="F43" i="82" s="1"/>
  <c r="D43" i="92"/>
  <c r="D43" i="94"/>
  <c r="D43" i="87"/>
  <c r="F43" i="87" s="1"/>
  <c r="D43" i="84"/>
  <c r="F43" i="84" s="1"/>
  <c r="D43" i="80"/>
  <c r="D43" i="83"/>
  <c r="D43" i="81"/>
  <c r="F43" i="81" s="1"/>
  <c r="D43" i="95"/>
  <c r="F43" i="95" s="1"/>
  <c r="D43" i="71"/>
  <c r="D43" i="79"/>
  <c r="D43" i="77"/>
  <c r="D43" i="78"/>
  <c r="F43" i="78" s="1"/>
  <c r="D43" i="97"/>
  <c r="F43" i="97" s="1"/>
  <c r="D43" i="88"/>
  <c r="F43" i="88" s="1"/>
  <c r="J43" i="100"/>
  <c r="J43" i="98"/>
  <c r="J43" i="99"/>
  <c r="J43" i="96"/>
  <c r="J43" i="94"/>
  <c r="J43" i="97"/>
  <c r="J43" i="95"/>
  <c r="J43" i="71"/>
  <c r="J43" i="87"/>
  <c r="J43" i="89"/>
  <c r="J43" i="88"/>
  <c r="J43" i="91"/>
  <c r="J43" i="72"/>
  <c r="J43" i="90"/>
  <c r="J43" i="85"/>
  <c r="J43" i="82"/>
  <c r="J43" i="81"/>
  <c r="J43" i="83"/>
  <c r="J43" i="78"/>
  <c r="J43" i="92"/>
  <c r="J43" i="93"/>
  <c r="J43" i="80"/>
  <c r="J43" i="84"/>
  <c r="J43" i="86"/>
  <c r="J43" i="79"/>
  <c r="J43" i="77"/>
  <c r="J51" i="100"/>
  <c r="J51" i="98"/>
  <c r="J51" i="99"/>
  <c r="J51" i="96"/>
  <c r="J51" i="97"/>
  <c r="J51" i="95"/>
  <c r="J51" i="71"/>
  <c r="J51" i="94"/>
  <c r="J51" i="93"/>
  <c r="J51" i="88"/>
  <c r="J51" i="87"/>
  <c r="J51" i="85"/>
  <c r="J51" i="84"/>
  <c r="J51" i="92"/>
  <c r="J51" i="86"/>
  <c r="J51" i="83"/>
  <c r="J51" i="91"/>
  <c r="J51" i="77"/>
  <c r="J51" i="72"/>
  <c r="J51" i="80"/>
  <c r="J51" i="90"/>
  <c r="J51" i="81"/>
  <c r="J51" i="79"/>
  <c r="J51" i="89"/>
  <c r="J51" i="82"/>
  <c r="J51" i="78"/>
  <c r="D37" i="100"/>
  <c r="D37" i="98"/>
  <c r="D37" i="99"/>
  <c r="D37" i="97"/>
  <c r="D37" i="96"/>
  <c r="D37" i="95"/>
  <c r="D37" i="71"/>
  <c r="D37" i="94"/>
  <c r="D37" i="89"/>
  <c r="D37" i="72"/>
  <c r="F37" i="72" s="1"/>
  <c r="D37" i="84"/>
  <c r="D37" i="91"/>
  <c r="D37" i="85"/>
  <c r="D37" i="81"/>
  <c r="D37" i="93"/>
  <c r="D37" i="82"/>
  <c r="D37" i="78"/>
  <c r="D37" i="88"/>
  <c r="D37" i="87"/>
  <c r="D37" i="92"/>
  <c r="D37" i="86"/>
  <c r="D37" i="90"/>
  <c r="D37" i="80"/>
  <c r="D37" i="79"/>
  <c r="D37" i="77"/>
  <c r="D37" i="83"/>
  <c r="J49" i="96"/>
  <c r="K49" i="96" s="1"/>
  <c r="J49" i="72"/>
  <c r="K49" i="72" s="1"/>
  <c r="J49" i="97"/>
  <c r="K49" i="97" s="1"/>
  <c r="J49" i="95"/>
  <c r="K49" i="95" s="1"/>
  <c r="J49" i="94"/>
  <c r="K49" i="94" s="1"/>
  <c r="J49" i="100"/>
  <c r="K49" i="100" s="1"/>
  <c r="J49" i="98"/>
  <c r="K49" i="98" s="1"/>
  <c r="J49" i="92"/>
  <c r="K49" i="92" s="1"/>
  <c r="J49" i="91"/>
  <c r="K49" i="91" s="1"/>
  <c r="J49" i="87"/>
  <c r="K49" i="87" s="1"/>
  <c r="J49" i="89"/>
  <c r="K49" i="89" s="1"/>
  <c r="J49" i="99"/>
  <c r="K49" i="99" s="1"/>
  <c r="J49" i="88"/>
  <c r="K49" i="88" s="1"/>
  <c r="J49" i="90"/>
  <c r="K49" i="90" s="1"/>
  <c r="J49" i="81"/>
  <c r="K49" i="81" s="1"/>
  <c r="J49" i="80"/>
  <c r="K49" i="80" s="1"/>
  <c r="J49" i="79"/>
  <c r="K49" i="79" s="1"/>
  <c r="J49" i="82"/>
  <c r="K49" i="82" s="1"/>
  <c r="J49" i="85"/>
  <c r="K49" i="85" s="1"/>
  <c r="J49" i="84"/>
  <c r="K49" i="84" s="1"/>
  <c r="J49" i="71"/>
  <c r="K49" i="71" s="1"/>
  <c r="J49" i="93"/>
  <c r="K49" i="93" s="1"/>
  <c r="J49" i="86"/>
  <c r="K49" i="86" s="1"/>
  <c r="J49" i="83"/>
  <c r="K49" i="83" s="1"/>
  <c r="J49" i="78"/>
  <c r="K49" i="78" s="1"/>
  <c r="J49" i="77"/>
  <c r="K49" i="77" s="1"/>
  <c r="J26" i="98"/>
  <c r="J26" i="100"/>
  <c r="J26" i="99"/>
  <c r="J26" i="72"/>
  <c r="J26" i="97"/>
  <c r="J26" i="95"/>
  <c r="J26" i="94"/>
  <c r="J26" i="90"/>
  <c r="J26" i="71"/>
  <c r="J26" i="92"/>
  <c r="J26" i="89"/>
  <c r="J26" i="96"/>
  <c r="J26" i="85"/>
  <c r="J26" i="81"/>
  <c r="J26" i="86"/>
  <c r="J26" i="88"/>
  <c r="J26" i="93"/>
  <c r="J26" i="84"/>
  <c r="J26" i="91"/>
  <c r="J26" i="87"/>
  <c r="J26" i="83"/>
  <c r="J26" i="82"/>
  <c r="J26" i="78"/>
  <c r="J26" i="77"/>
  <c r="J26" i="80"/>
  <c r="J26" i="79"/>
  <c r="J28" i="97"/>
  <c r="J28" i="96"/>
  <c r="J28" i="95"/>
  <c r="J28" i="100"/>
  <c r="J28" i="98"/>
  <c r="J28" i="99"/>
  <c r="J28" i="93"/>
  <c r="J28" i="89"/>
  <c r="J28" i="71"/>
  <c r="J28" i="94"/>
  <c r="J28" i="86"/>
  <c r="J28" i="83"/>
  <c r="J28" i="88"/>
  <c r="J28" i="91"/>
  <c r="J28" i="82"/>
  <c r="J28" i="92"/>
  <c r="J28" i="87"/>
  <c r="J28" i="90"/>
  <c r="J28" i="72"/>
  <c r="J28" i="85"/>
  <c r="J28" i="81"/>
  <c r="J28" i="79"/>
  <c r="J28" i="84"/>
  <c r="J28" i="78"/>
  <c r="J28" i="77"/>
  <c r="J28" i="80"/>
  <c r="E25" i="100"/>
  <c r="E25" i="98"/>
  <c r="E25" i="99"/>
  <c r="E25" i="72"/>
  <c r="E25" i="97"/>
  <c r="E25" i="96"/>
  <c r="E25" i="95"/>
  <c r="E25" i="88"/>
  <c r="E25" i="92"/>
  <c r="E25" i="91"/>
  <c r="E25" i="94"/>
  <c r="E25" i="93"/>
  <c r="E25" i="87"/>
  <c r="E25" i="80"/>
  <c r="E25" i="79"/>
  <c r="E25" i="83"/>
  <c r="E25" i="90"/>
  <c r="E25" i="89"/>
  <c r="E25" i="81"/>
  <c r="E25" i="77"/>
  <c r="E25" i="82"/>
  <c r="E25" i="85"/>
  <c r="E25" i="84"/>
  <c r="E25" i="78"/>
  <c r="E25" i="71"/>
  <c r="E25" i="86"/>
  <c r="E37" i="99"/>
  <c r="E37" i="72"/>
  <c r="E37" i="97"/>
  <c r="E37" i="96"/>
  <c r="E37" i="95"/>
  <c r="E37" i="100"/>
  <c r="E37" i="84"/>
  <c r="E37" i="71"/>
  <c r="E37" i="94"/>
  <c r="E37" i="92"/>
  <c r="E37" i="90"/>
  <c r="E37" i="87"/>
  <c r="E37" i="98"/>
  <c r="E37" i="89"/>
  <c r="E37" i="88"/>
  <c r="E37" i="79"/>
  <c r="E37" i="86"/>
  <c r="E37" i="91"/>
  <c r="E37" i="83"/>
  <c r="E37" i="81"/>
  <c r="E37" i="85"/>
  <c r="E37" i="77"/>
  <c r="E37" i="80"/>
  <c r="E37" i="78"/>
  <c r="E37" i="93"/>
  <c r="E37" i="82"/>
  <c r="J31" i="100"/>
  <c r="J31" i="98"/>
  <c r="J31" i="99"/>
  <c r="J31" i="71"/>
  <c r="J31" i="97"/>
  <c r="J31" i="96"/>
  <c r="J31" i="95"/>
  <c r="J31" i="89"/>
  <c r="J31" i="87"/>
  <c r="J31" i="94"/>
  <c r="J31" i="85"/>
  <c r="J31" i="82"/>
  <c r="J31" i="81"/>
  <c r="J31" i="92"/>
  <c r="J31" i="80"/>
  <c r="J31" i="78"/>
  <c r="J31" i="84"/>
  <c r="J31" i="86"/>
  <c r="J31" i="72"/>
  <c r="J31" i="90"/>
  <c r="J31" i="88"/>
  <c r="J31" i="93"/>
  <c r="J31" i="77"/>
  <c r="J31" i="91"/>
  <c r="J31" i="79"/>
  <c r="J31" i="83"/>
  <c r="J22" i="100"/>
  <c r="J22" i="98"/>
  <c r="J22" i="99"/>
  <c r="J22" i="72"/>
  <c r="J22" i="97"/>
  <c r="J22" i="96"/>
  <c r="J22" i="92"/>
  <c r="J22" i="87"/>
  <c r="J22" i="94"/>
  <c r="J22" i="90"/>
  <c r="J22" i="71"/>
  <c r="J22" i="93"/>
  <c r="J22" i="88"/>
  <c r="J22" i="82"/>
  <c r="J22" i="91"/>
  <c r="J22" i="85"/>
  <c r="J22" i="77"/>
  <c r="J22" i="84"/>
  <c r="J22" i="78"/>
  <c r="J22" i="83"/>
  <c r="J22" i="95"/>
  <c r="J22" i="80"/>
  <c r="J22" i="79"/>
  <c r="J22" i="89"/>
  <c r="J22" i="81"/>
  <c r="J22" i="86"/>
  <c r="J39" i="100"/>
  <c r="J39" i="98"/>
  <c r="J39" i="99"/>
  <c r="J39" i="96"/>
  <c r="J39" i="72"/>
  <c r="J39" i="97"/>
  <c r="J39" i="94"/>
  <c r="J39" i="89"/>
  <c r="J39" i="87"/>
  <c r="J39" i="90"/>
  <c r="J39" i="95"/>
  <c r="J39" i="85"/>
  <c r="J39" i="82"/>
  <c r="J39" i="71"/>
  <c r="J39" i="78"/>
  <c r="J39" i="77"/>
  <c r="J39" i="93"/>
  <c r="J39" i="88"/>
  <c r="J39" i="91"/>
  <c r="J39" i="92"/>
  <c r="J39" i="79"/>
  <c r="J39" i="83"/>
  <c r="J39" i="86"/>
  <c r="J39" i="80"/>
  <c r="J39" i="84"/>
  <c r="J39" i="81"/>
  <c r="J37" i="97"/>
  <c r="J37" i="96"/>
  <c r="J37" i="95"/>
  <c r="J37" i="71"/>
  <c r="J37" i="94"/>
  <c r="J37" i="98"/>
  <c r="J37" i="100"/>
  <c r="J37" i="93"/>
  <c r="J37" i="92"/>
  <c r="J37" i="99"/>
  <c r="J37" i="89"/>
  <c r="J37" i="86"/>
  <c r="J37" i="83"/>
  <c r="J37" i="84"/>
  <c r="J37" i="91"/>
  <c r="J37" i="90"/>
  <c r="J37" i="85"/>
  <c r="J37" i="72"/>
  <c r="J37" i="88"/>
  <c r="J37" i="81"/>
  <c r="J37" i="78"/>
  <c r="J37" i="80"/>
  <c r="J37" i="87"/>
  <c r="J37" i="82"/>
  <c r="J37" i="77"/>
  <c r="J37" i="79"/>
  <c r="E49" i="99"/>
  <c r="E49" i="96"/>
  <c r="E49" i="97"/>
  <c r="E49" i="95"/>
  <c r="E49" i="94"/>
  <c r="E49" i="88"/>
  <c r="E49" i="90"/>
  <c r="E49" i="100"/>
  <c r="E49" i="85"/>
  <c r="E49" i="84"/>
  <c r="E49" i="81"/>
  <c r="E49" i="86"/>
  <c r="E49" i="83"/>
  <c r="E49" i="78"/>
  <c r="E49" i="87"/>
  <c r="E49" i="89"/>
  <c r="E49" i="80"/>
  <c r="E49" i="91"/>
  <c r="E49" i="72"/>
  <c r="E49" i="92"/>
  <c r="E49" i="71"/>
  <c r="E49" i="93"/>
  <c r="E49" i="98"/>
  <c r="E49" i="82"/>
  <c r="E49" i="79"/>
  <c r="E49" i="77"/>
  <c r="J32" i="99"/>
  <c r="J32" i="72"/>
  <c r="J32" i="71"/>
  <c r="J32" i="97"/>
  <c r="J32" i="96"/>
  <c r="J32" i="91"/>
  <c r="J32" i="88"/>
  <c r="J32" i="100"/>
  <c r="J32" i="95"/>
  <c r="J32" i="89"/>
  <c r="J32" i="87"/>
  <c r="J32" i="84"/>
  <c r="J32" i="98"/>
  <c r="J32" i="93"/>
  <c r="J32" i="94"/>
  <c r="J32" i="90"/>
  <c r="J32" i="86"/>
  <c r="J32" i="79"/>
  <c r="J32" i="81"/>
  <c r="J32" i="85"/>
  <c r="J32" i="83"/>
  <c r="J32" i="92"/>
  <c r="J32" i="80"/>
  <c r="J32" i="78"/>
  <c r="J32" i="82"/>
  <c r="J32" i="77"/>
  <c r="J34" i="100"/>
  <c r="J34" i="98"/>
  <c r="J34" i="99"/>
  <c r="J34" i="72"/>
  <c r="J34" i="97"/>
  <c r="J34" i="96"/>
  <c r="J34" i="89"/>
  <c r="J34" i="87"/>
  <c r="J34" i="94"/>
  <c r="J34" i="92"/>
  <c r="J34" i="90"/>
  <c r="J34" i="88"/>
  <c r="J34" i="82"/>
  <c r="J34" i="80"/>
  <c r="J34" i="77"/>
  <c r="J34" i="95"/>
  <c r="J34" i="93"/>
  <c r="J34" i="78"/>
  <c r="J34" i="91"/>
  <c r="J34" i="71"/>
  <c r="J34" i="86"/>
  <c r="J34" i="83"/>
  <c r="J34" i="79"/>
  <c r="J34" i="85"/>
  <c r="J34" i="81"/>
  <c r="J34" i="84"/>
  <c r="E31" i="100"/>
  <c r="E31" i="98"/>
  <c r="E31" i="99"/>
  <c r="E31" i="72"/>
  <c r="E31" i="71"/>
  <c r="E31" i="97"/>
  <c r="E31" i="96"/>
  <c r="E31" i="95"/>
  <c r="E31" i="94"/>
  <c r="E31" i="92"/>
  <c r="E31" i="90"/>
  <c r="E31" i="85"/>
  <c r="E31" i="81"/>
  <c r="E31" i="91"/>
  <c r="E31" i="93"/>
  <c r="E31" i="87"/>
  <c r="E31" i="82"/>
  <c r="E31" i="86"/>
  <c r="E31" i="84"/>
  <c r="E31" i="79"/>
  <c r="E31" i="77"/>
  <c r="E31" i="83"/>
  <c r="E31" i="78"/>
  <c r="E31" i="89"/>
  <c r="E31" i="88"/>
  <c r="E31" i="80"/>
  <c r="F31" i="80" s="1"/>
  <c r="J27" i="76"/>
  <c r="J27" i="74"/>
  <c r="J27" i="75"/>
  <c r="J27" i="134"/>
  <c r="J27" i="73"/>
  <c r="J27" i="69"/>
  <c r="J27" i="70"/>
  <c r="D24" i="49"/>
  <c r="D25" i="76"/>
  <c r="D25" i="74"/>
  <c r="D25" i="69"/>
  <c r="D25" i="75"/>
  <c r="D25" i="70"/>
  <c r="D25" i="73"/>
  <c r="D25" i="134"/>
  <c r="J25" i="74"/>
  <c r="J25" i="70"/>
  <c r="J25" i="69"/>
  <c r="J25" i="75"/>
  <c r="J25" i="134"/>
  <c r="J25" i="73"/>
  <c r="J25" i="76"/>
  <c r="J33" i="75"/>
  <c r="J33" i="69"/>
  <c r="J33" i="134"/>
  <c r="J33" i="70"/>
  <c r="J33" i="73"/>
  <c r="J33" i="76"/>
  <c r="J33" i="74"/>
  <c r="D30" i="49"/>
  <c r="D31" i="69"/>
  <c r="D31" i="134"/>
  <c r="D31" i="75"/>
  <c r="D31" i="70"/>
  <c r="D31" i="73"/>
  <c r="D31" i="76"/>
  <c r="D31" i="74"/>
  <c r="J31" i="76"/>
  <c r="J31" i="75"/>
  <c r="J31" i="74"/>
  <c r="J31" i="69"/>
  <c r="J31" i="70"/>
  <c r="J31" i="134"/>
  <c r="J31" i="73"/>
  <c r="J22" i="73"/>
  <c r="J22" i="76"/>
  <c r="J22" i="74"/>
  <c r="J22" i="70"/>
  <c r="J22" i="75"/>
  <c r="J22" i="69"/>
  <c r="J22" i="134"/>
  <c r="J39" i="76"/>
  <c r="J39" i="134"/>
  <c r="J39" i="74"/>
  <c r="J39" i="75"/>
  <c r="J39" i="69"/>
  <c r="J39" i="73"/>
  <c r="J39" i="70"/>
  <c r="D36" i="49"/>
  <c r="D37" i="74"/>
  <c r="D37" i="69"/>
  <c r="D37" i="134"/>
  <c r="D37" i="75"/>
  <c r="D37" i="73"/>
  <c r="D37" i="76"/>
  <c r="D37" i="70"/>
  <c r="J37" i="75"/>
  <c r="J37" i="69"/>
  <c r="J37" i="134"/>
  <c r="J37" i="70"/>
  <c r="J37" i="73"/>
  <c r="J37" i="76"/>
  <c r="J37" i="74"/>
  <c r="J49" i="75"/>
  <c r="K49" i="75" s="1"/>
  <c r="J49" i="69"/>
  <c r="K49" i="69" s="1"/>
  <c r="J49" i="73"/>
  <c r="K49" i="73" s="1"/>
  <c r="J49" i="70"/>
  <c r="K49" i="70" s="1"/>
  <c r="J49" i="76"/>
  <c r="K49" i="76" s="1"/>
  <c r="J49" i="74"/>
  <c r="K49" i="74" s="1"/>
  <c r="J49" i="134"/>
  <c r="K49" i="134" s="1"/>
  <c r="E49" i="134"/>
  <c r="E49" i="75"/>
  <c r="E49" i="69"/>
  <c r="E49" i="76"/>
  <c r="E49" i="73"/>
  <c r="E49" i="74"/>
  <c r="E49" i="70"/>
  <c r="J45" i="70"/>
  <c r="J45" i="76"/>
  <c r="J45" i="73"/>
  <c r="J45" i="74"/>
  <c r="J45" i="75"/>
  <c r="J45" i="134"/>
  <c r="J45" i="69"/>
  <c r="D42" i="49"/>
  <c r="D43" i="70"/>
  <c r="D43" i="76"/>
  <c r="D43" i="73"/>
  <c r="D43" i="74"/>
  <c r="D43" i="134"/>
  <c r="D43" i="75"/>
  <c r="D43" i="69"/>
  <c r="J43" i="74"/>
  <c r="J43" i="134"/>
  <c r="J43" i="75"/>
  <c r="J43" i="69"/>
  <c r="J43" i="73"/>
  <c r="J43" i="76"/>
  <c r="J43" i="70"/>
  <c r="J51" i="76"/>
  <c r="J51" i="74"/>
  <c r="J51" i="134"/>
  <c r="J51" i="75"/>
  <c r="J51" i="69"/>
  <c r="J51" i="73"/>
  <c r="J51" i="70"/>
  <c r="J26" i="75"/>
  <c r="J26" i="73"/>
  <c r="J26" i="76"/>
  <c r="J26" i="74"/>
  <c r="J26" i="70"/>
  <c r="J26" i="134"/>
  <c r="J26" i="69"/>
  <c r="J28" i="74"/>
  <c r="J28" i="134"/>
  <c r="J28" i="70"/>
  <c r="J28" i="69"/>
  <c r="J28" i="75"/>
  <c r="J28" i="73"/>
  <c r="J28" i="76"/>
  <c r="E25" i="76"/>
  <c r="F25" i="76" s="1"/>
  <c r="E25" i="74"/>
  <c r="E25" i="69"/>
  <c r="E25" i="70"/>
  <c r="E25" i="134"/>
  <c r="E25" i="75"/>
  <c r="E25" i="73"/>
  <c r="J32" i="74"/>
  <c r="J32" i="75"/>
  <c r="J32" i="69"/>
  <c r="J32" i="134"/>
  <c r="J32" i="70"/>
  <c r="J32" i="76"/>
  <c r="J32" i="73"/>
  <c r="J34" i="76"/>
  <c r="J34" i="74"/>
  <c r="J34" i="69"/>
  <c r="J34" i="75"/>
  <c r="J34" i="70"/>
  <c r="J34" i="134"/>
  <c r="J34" i="73"/>
  <c r="E31" i="75"/>
  <c r="E31" i="70"/>
  <c r="E31" i="73"/>
  <c r="E31" i="76"/>
  <c r="E31" i="69"/>
  <c r="E31" i="134"/>
  <c r="E31" i="74"/>
  <c r="J38" i="73"/>
  <c r="J38" i="76"/>
  <c r="J38" i="74"/>
  <c r="J38" i="75"/>
  <c r="J38" i="69"/>
  <c r="J38" i="70"/>
  <c r="J38" i="134"/>
  <c r="J40" i="75"/>
  <c r="J40" i="69"/>
  <c r="J40" i="70"/>
  <c r="J40" i="73"/>
  <c r="J40" i="76"/>
  <c r="J40" i="74"/>
  <c r="J40" i="134"/>
  <c r="E37" i="74"/>
  <c r="E37" i="69"/>
  <c r="E37" i="134"/>
  <c r="E37" i="75"/>
  <c r="E37" i="70"/>
  <c r="E37" i="76"/>
  <c r="F37" i="76" s="1"/>
  <c r="E37" i="73"/>
  <c r="J44" i="75"/>
  <c r="J44" i="69"/>
  <c r="J44" i="134"/>
  <c r="J44" i="70"/>
  <c r="J44" i="76"/>
  <c r="J44" i="73"/>
  <c r="J44" i="74"/>
  <c r="J46" i="74"/>
  <c r="J46" i="134"/>
  <c r="J46" i="75"/>
  <c r="J46" i="69"/>
  <c r="J46" i="73"/>
  <c r="J46" i="70"/>
  <c r="J46" i="76"/>
  <c r="E43" i="70"/>
  <c r="E43" i="76"/>
  <c r="E43" i="73"/>
  <c r="E43" i="74"/>
  <c r="E43" i="75"/>
  <c r="E43" i="69"/>
  <c r="E43" i="134"/>
  <c r="F43" i="134" s="1"/>
  <c r="E19" i="70"/>
  <c r="F19" i="70" s="1"/>
  <c r="E19" i="69"/>
  <c r="F19" i="69" s="1"/>
  <c r="E19" i="73"/>
  <c r="F19" i="73" s="1"/>
  <c r="E19" i="134"/>
  <c r="F19" i="134" s="1"/>
  <c r="E19" i="75"/>
  <c r="F19" i="75" s="1"/>
  <c r="E19" i="76"/>
  <c r="F19" i="76" s="1"/>
  <c r="E19" i="74"/>
  <c r="F19" i="74" s="1"/>
  <c r="J54" i="76"/>
  <c r="J54" i="69"/>
  <c r="K54" i="69" s="1"/>
  <c r="J54" i="75"/>
  <c r="K54" i="75" s="1"/>
  <c r="J54" i="73"/>
  <c r="K54" i="73" s="1"/>
  <c r="J54" i="74"/>
  <c r="K54" i="74" s="1"/>
  <c r="J54" i="70"/>
  <c r="K54" i="70" s="1"/>
  <c r="J54" i="134"/>
  <c r="K54" i="134" s="1"/>
  <c r="J24" i="113"/>
  <c r="J24" i="112"/>
  <c r="K23" i="112"/>
  <c r="K23" i="113"/>
  <c r="L54" i="132"/>
  <c r="L53" i="132"/>
  <c r="L52" i="132"/>
  <c r="L51" i="132"/>
  <c r="L50" i="132"/>
  <c r="L49" i="132"/>
  <c r="L48" i="132"/>
  <c r="L44" i="132"/>
  <c r="L42" i="132"/>
  <c r="L41" i="132"/>
  <c r="L40" i="132"/>
  <c r="L39" i="132"/>
  <c r="L38" i="132"/>
  <c r="L37" i="132"/>
  <c r="L36" i="132"/>
  <c r="L35" i="132"/>
  <c r="L32" i="132"/>
  <c r="L31" i="132"/>
  <c r="L28" i="132"/>
  <c r="L27" i="132"/>
  <c r="L25" i="132"/>
  <c r="L24" i="132"/>
  <c r="L23" i="132"/>
  <c r="L22" i="132"/>
  <c r="L21" i="132"/>
  <c r="L20" i="132"/>
  <c r="L19" i="132"/>
  <c r="L15" i="132"/>
  <c r="F84" i="132"/>
  <c r="F61" i="132"/>
  <c r="F59" i="132"/>
  <c r="F58" i="132"/>
  <c r="F55" i="132"/>
  <c r="F51" i="132"/>
  <c r="F48" i="132"/>
  <c r="F43" i="72" l="1"/>
  <c r="F31" i="83"/>
  <c r="F31" i="88"/>
  <c r="F25" i="77"/>
  <c r="F25" i="87"/>
  <c r="F43" i="91"/>
  <c r="F37" i="82"/>
  <c r="F37" i="94"/>
  <c r="F43" i="94"/>
  <c r="F31" i="71"/>
  <c r="F37" i="95"/>
  <c r="F43" i="77"/>
  <c r="F25" i="100"/>
  <c r="F37" i="93"/>
  <c r="F43" i="92"/>
  <c r="F37" i="81"/>
  <c r="F43" i="85"/>
  <c r="F43" i="83"/>
  <c r="F43" i="98"/>
  <c r="F25" i="91"/>
  <c r="F37" i="99"/>
  <c r="F31" i="134"/>
  <c r="F37" i="86"/>
  <c r="F37" i="85"/>
  <c r="F37" i="96"/>
  <c r="F31" i="89"/>
  <c r="F31" i="91"/>
  <c r="F31" i="98"/>
  <c r="F25" i="83"/>
  <c r="F25" i="79"/>
  <c r="F25" i="72"/>
  <c r="F37" i="92"/>
  <c r="F37" i="91"/>
  <c r="F37" i="97"/>
  <c r="F31" i="77"/>
  <c r="F31" i="84"/>
  <c r="F31" i="72"/>
  <c r="F31" i="100"/>
  <c r="F25" i="86"/>
  <c r="F25" i="80"/>
  <c r="F25" i="96"/>
  <c r="F37" i="87"/>
  <c r="F37" i="84"/>
  <c r="F43" i="89"/>
  <c r="F31" i="78"/>
  <c r="F31" i="82"/>
  <c r="F31" i="90"/>
  <c r="F25" i="88"/>
  <c r="F25" i="78"/>
  <c r="F25" i="71"/>
  <c r="F37" i="83"/>
  <c r="F37" i="88"/>
  <c r="F37" i="98"/>
  <c r="F43" i="86"/>
  <c r="F43" i="100"/>
  <c r="D13" i="78"/>
  <c r="F13" i="78" s="1"/>
  <c r="K13" i="78"/>
  <c r="F31" i="79"/>
  <c r="F31" i="85"/>
  <c r="F31" i="92"/>
  <c r="F25" i="92"/>
  <c r="F25" i="84"/>
  <c r="F25" i="95"/>
  <c r="F43" i="80"/>
  <c r="F37" i="90"/>
  <c r="F31" i="99"/>
  <c r="F37" i="77"/>
  <c r="F37" i="78"/>
  <c r="F37" i="89"/>
  <c r="F37" i="100"/>
  <c r="D13" i="89"/>
  <c r="F13" i="89" s="1"/>
  <c r="K13" i="89"/>
  <c r="F31" i="81"/>
  <c r="F31" i="86"/>
  <c r="F31" i="94"/>
  <c r="F25" i="90"/>
  <c r="F25" i="81"/>
  <c r="F25" i="97"/>
  <c r="D14" i="98"/>
  <c r="F14" i="98" s="1"/>
  <c r="D14" i="89"/>
  <c r="F14" i="89" s="1"/>
  <c r="D14" i="78"/>
  <c r="F14" i="78" s="1"/>
  <c r="F37" i="79"/>
  <c r="D13" i="98"/>
  <c r="F13" i="98" s="1"/>
  <c r="K13" i="98"/>
  <c r="F31" i="87"/>
  <c r="F31" i="97"/>
  <c r="F25" i="82"/>
  <c r="F25" i="85"/>
  <c r="F25" i="99"/>
  <c r="F43" i="71"/>
  <c r="F37" i="80"/>
  <c r="F37" i="71"/>
  <c r="F43" i="79"/>
  <c r="I13" i="99"/>
  <c r="I13" i="79"/>
  <c r="I13" i="90"/>
  <c r="F31" i="96"/>
  <c r="F31" i="95"/>
  <c r="F31" i="93"/>
  <c r="F25" i="93"/>
  <c r="F25" i="94"/>
  <c r="F25" i="89"/>
  <c r="F25" i="98"/>
  <c r="F43" i="74"/>
  <c r="F25" i="69"/>
  <c r="F37" i="69"/>
  <c r="F31" i="74"/>
  <c r="F43" i="73"/>
  <c r="F37" i="70"/>
  <c r="F31" i="70"/>
  <c r="F25" i="74"/>
  <c r="F43" i="70"/>
  <c r="F37" i="73"/>
  <c r="F37" i="75"/>
  <c r="F31" i="69"/>
  <c r="F25" i="134"/>
  <c r="F43" i="69"/>
  <c r="F37" i="134"/>
  <c r="F25" i="73"/>
  <c r="F43" i="75"/>
  <c r="F25" i="70"/>
  <c r="F37" i="74"/>
  <c r="F31" i="76"/>
  <c r="F25" i="75"/>
  <c r="F31" i="73"/>
  <c r="F43" i="76"/>
  <c r="F31" i="75"/>
  <c r="D14" i="50"/>
  <c r="F14" i="50" s="1"/>
  <c r="D14" i="56"/>
  <c r="F14" i="56" s="1"/>
  <c r="D14" i="62"/>
  <c r="F14" i="62" s="1"/>
  <c r="F44" i="132"/>
  <c r="F43" i="132"/>
  <c r="F42" i="132"/>
  <c r="F41" i="132"/>
  <c r="F40" i="132"/>
  <c r="F39" i="132"/>
  <c r="F37" i="132"/>
  <c r="F36" i="132"/>
  <c r="F35" i="132"/>
  <c r="F34" i="132"/>
  <c r="F30" i="132"/>
  <c r="F26" i="132"/>
  <c r="F33" i="132"/>
  <c r="F32" i="132"/>
  <c r="F31" i="132"/>
  <c r="F29" i="132"/>
  <c r="F28" i="132"/>
  <c r="F27" i="132"/>
  <c r="F21" i="132"/>
  <c r="F20" i="132"/>
  <c r="F19" i="132"/>
  <c r="F18" i="132"/>
  <c r="F17" i="132"/>
  <c r="F16" i="132"/>
  <c r="F15" i="132"/>
  <c r="L80" i="132"/>
  <c r="D14" i="99" l="1"/>
  <c r="F14" i="99" s="1"/>
  <c r="D14" i="90"/>
  <c r="F14" i="90" s="1"/>
  <c r="D14" i="79"/>
  <c r="F14" i="79" s="1"/>
  <c r="D13" i="79"/>
  <c r="F13" i="79" s="1"/>
  <c r="K13" i="79"/>
  <c r="K13" i="99"/>
  <c r="D13" i="99"/>
  <c r="F13" i="99" s="1"/>
  <c r="I13" i="100"/>
  <c r="I13" i="91"/>
  <c r="I13" i="80"/>
  <c r="D14" i="97"/>
  <c r="F14" i="97" s="1"/>
  <c r="D14" i="88"/>
  <c r="F14" i="88" s="1"/>
  <c r="D14" i="77"/>
  <c r="F14" i="77" s="1"/>
  <c r="K13" i="90"/>
  <c r="D13" i="90"/>
  <c r="F13" i="90" s="1"/>
  <c r="D14" i="49"/>
  <c r="F14" i="49" s="1"/>
  <c r="D14" i="51"/>
  <c r="F14" i="51" s="1"/>
  <c r="D14" i="63"/>
  <c r="F14" i="63" s="1"/>
  <c r="D14" i="57"/>
  <c r="F14" i="57" s="1"/>
  <c r="L84" i="132"/>
  <c r="L88" i="132"/>
  <c r="L87" i="132"/>
  <c r="L86" i="132"/>
  <c r="L85" i="132"/>
  <c r="L60" i="132"/>
  <c r="K25" i="132"/>
  <c r="C43" i="132"/>
  <c r="C44" i="132"/>
  <c r="C42" i="132"/>
  <c r="C41" i="132"/>
  <c r="I57" i="132"/>
  <c r="L59" i="132"/>
  <c r="L19" i="124"/>
  <c r="L15" i="124"/>
  <c r="L14" i="124"/>
  <c r="L13" i="124"/>
  <c r="L12" i="124"/>
  <c r="F23" i="124"/>
  <c r="F14" i="124"/>
  <c r="F13" i="124"/>
  <c r="F12" i="124"/>
  <c r="L23" i="124"/>
  <c r="L23" i="123"/>
  <c r="L19" i="123"/>
  <c r="L15" i="123"/>
  <c r="L14" i="123"/>
  <c r="L13" i="123"/>
  <c r="L12" i="123"/>
  <c r="F23" i="123"/>
  <c r="F15" i="123"/>
  <c r="F14" i="123"/>
  <c r="F13" i="123"/>
  <c r="F12" i="123"/>
  <c r="L23" i="122"/>
  <c r="L19" i="122"/>
  <c r="L15" i="122"/>
  <c r="L14" i="122"/>
  <c r="L13" i="122"/>
  <c r="L12" i="122"/>
  <c r="F23" i="122"/>
  <c r="F15" i="122"/>
  <c r="F14" i="122"/>
  <c r="F13" i="122"/>
  <c r="F12" i="122"/>
  <c r="L19" i="121"/>
  <c r="L15" i="121"/>
  <c r="L14" i="121"/>
  <c r="L13" i="121"/>
  <c r="L12" i="121"/>
  <c r="F23" i="121"/>
  <c r="F15" i="121"/>
  <c r="F14" i="121"/>
  <c r="F13" i="121"/>
  <c r="F12" i="121"/>
  <c r="F25" i="120"/>
  <c r="F25" i="119"/>
  <c r="F25" i="117"/>
  <c r="F25" i="118"/>
  <c r="L19" i="120"/>
  <c r="L19" i="119"/>
  <c r="L19" i="117"/>
  <c r="L19" i="118"/>
  <c r="L20" i="118"/>
  <c r="L15" i="118"/>
  <c r="L14" i="118"/>
  <c r="L13" i="118"/>
  <c r="L12" i="118"/>
  <c r="L24" i="118"/>
  <c r="F24" i="118"/>
  <c r="F15" i="118"/>
  <c r="F14" i="118"/>
  <c r="F13" i="118"/>
  <c r="F12" i="118"/>
  <c r="E13" i="118"/>
  <c r="D42" i="129"/>
  <c r="D41" i="129"/>
  <c r="I54" i="129"/>
  <c r="D54" i="129"/>
  <c r="I53" i="129"/>
  <c r="K14" i="124" s="1"/>
  <c r="D53" i="129"/>
  <c r="K14" i="118" s="1"/>
  <c r="I52" i="129"/>
  <c r="K13" i="124" s="1"/>
  <c r="D52" i="129"/>
  <c r="I51" i="129"/>
  <c r="E13" i="123" s="1"/>
  <c r="D51" i="129"/>
  <c r="I50" i="129"/>
  <c r="K13" i="122" s="1"/>
  <c r="D50" i="129"/>
  <c r="I49" i="129"/>
  <c r="K13" i="121" s="1"/>
  <c r="D49" i="129"/>
  <c r="K13" i="118" s="1"/>
  <c r="I44" i="129"/>
  <c r="E13" i="121" s="1"/>
  <c r="L57" i="127"/>
  <c r="L56" i="127"/>
  <c r="L50" i="106"/>
  <c r="L49" i="106"/>
  <c r="L51" i="106"/>
  <c r="L52" i="106"/>
  <c r="L45" i="106"/>
  <c r="L44" i="106"/>
  <c r="L43" i="106"/>
  <c r="L42" i="106"/>
  <c r="L41" i="106"/>
  <c r="L39" i="106"/>
  <c r="L38" i="106"/>
  <c r="L37" i="106"/>
  <c r="L36" i="106"/>
  <c r="L28" i="106"/>
  <c r="L27" i="106"/>
  <c r="L26" i="106"/>
  <c r="L25" i="106"/>
  <c r="L24" i="106"/>
  <c r="L23" i="106"/>
  <c r="L22" i="106"/>
  <c r="L21" i="106"/>
  <c r="L18" i="106"/>
  <c r="L17" i="106"/>
  <c r="L16" i="106"/>
  <c r="L13" i="106"/>
  <c r="F48" i="106"/>
  <c r="F44" i="106"/>
  <c r="F38" i="106"/>
  <c r="F37" i="106"/>
  <c r="F35" i="106"/>
  <c r="F34" i="106"/>
  <c r="F33" i="106"/>
  <c r="F32" i="106"/>
  <c r="F31" i="106"/>
  <c r="F30" i="106"/>
  <c r="F29" i="106"/>
  <c r="F21" i="106"/>
  <c r="F18" i="106"/>
  <c r="F17" i="106"/>
  <c r="F16" i="106"/>
  <c r="F15" i="106"/>
  <c r="F14" i="106"/>
  <c r="F13" i="106"/>
  <c r="L59" i="127"/>
  <c r="L58" i="127"/>
  <c r="L53" i="127"/>
  <c r="L52" i="127"/>
  <c r="L51" i="127"/>
  <c r="L50" i="127"/>
  <c r="L49" i="127"/>
  <c r="L47" i="127"/>
  <c r="L46" i="127"/>
  <c r="L45" i="127"/>
  <c r="L44" i="127"/>
  <c r="L36" i="127"/>
  <c r="L35" i="127"/>
  <c r="L34" i="127"/>
  <c r="L33" i="127"/>
  <c r="L32" i="127"/>
  <c r="L31" i="127"/>
  <c r="L30" i="127"/>
  <c r="L29" i="127"/>
  <c r="L26" i="127"/>
  <c r="L25" i="127"/>
  <c r="L22" i="127"/>
  <c r="L18" i="127"/>
  <c r="L17" i="127"/>
  <c r="L16" i="127"/>
  <c r="L13" i="127"/>
  <c r="F56" i="127"/>
  <c r="F52" i="127"/>
  <c r="F46" i="127"/>
  <c r="F45" i="127"/>
  <c r="F43" i="127"/>
  <c r="F42" i="127"/>
  <c r="F41" i="127"/>
  <c r="F40" i="127"/>
  <c r="F39" i="127"/>
  <c r="F38" i="127"/>
  <c r="F37" i="127"/>
  <c r="F29" i="127"/>
  <c r="F26" i="127"/>
  <c r="F23" i="127"/>
  <c r="F22" i="127"/>
  <c r="F19" i="127"/>
  <c r="F18" i="127"/>
  <c r="F17" i="127"/>
  <c r="F16" i="127"/>
  <c r="F15" i="127"/>
  <c r="F14" i="127"/>
  <c r="F13" i="127"/>
  <c r="E74" i="132" l="1"/>
  <c r="E12" i="119"/>
  <c r="E12" i="120"/>
  <c r="E12" i="117"/>
  <c r="E15" i="119"/>
  <c r="E15" i="117"/>
  <c r="E15" i="120"/>
  <c r="E15" i="118"/>
  <c r="C16" i="132"/>
  <c r="C15" i="132"/>
  <c r="L9" i="132" s="1"/>
  <c r="C73" i="132"/>
  <c r="D13" i="80"/>
  <c r="F13" i="80" s="1"/>
  <c r="K13" i="80"/>
  <c r="D13" i="91"/>
  <c r="F13" i="91" s="1"/>
  <c r="K13" i="91"/>
  <c r="D13" i="100"/>
  <c r="F13" i="100" s="1"/>
  <c r="K13" i="100"/>
  <c r="D14" i="52"/>
  <c r="F14" i="52" s="1"/>
  <c r="D14" i="58"/>
  <c r="F14" i="58" s="1"/>
  <c r="D14" i="64"/>
  <c r="F14" i="64" s="1"/>
  <c r="I41" i="129"/>
  <c r="E12" i="122" s="1"/>
  <c r="K14" i="123"/>
  <c r="E14" i="122"/>
  <c r="K19" i="132"/>
  <c r="M19" i="132" s="1"/>
  <c r="E14" i="121"/>
  <c r="K14" i="121"/>
  <c r="E13" i="124"/>
  <c r="E14" i="124"/>
  <c r="E13" i="122"/>
  <c r="K13" i="123"/>
  <c r="K14" i="122"/>
  <c r="E14" i="123"/>
  <c r="E34" i="132"/>
  <c r="G34" i="132" s="1"/>
  <c r="E28" i="132"/>
  <c r="G28" i="132" s="1"/>
  <c r="K28" i="132"/>
  <c r="M28" i="132" s="1"/>
  <c r="E18" i="132"/>
  <c r="G18" i="132" s="1"/>
  <c r="E32" i="132"/>
  <c r="G32" i="132" s="1"/>
  <c r="K32" i="132"/>
  <c r="M32" i="132" s="1"/>
  <c r="E26" i="132"/>
  <c r="G26" i="132" s="1"/>
  <c r="E30" i="132"/>
  <c r="G30" i="132" s="1"/>
  <c r="M25" i="132"/>
  <c r="K20" i="132"/>
  <c r="M20" i="132" s="1"/>
  <c r="K38" i="132"/>
  <c r="M38" i="132" s="1"/>
  <c r="K85" i="132"/>
  <c r="M85" i="132" s="1"/>
  <c r="I43" i="132"/>
  <c r="L43" i="132" s="1"/>
  <c r="E12" i="118"/>
  <c r="L37" i="127"/>
  <c r="L29" i="106"/>
  <c r="L39" i="127"/>
  <c r="L31" i="106"/>
  <c r="L40" i="127"/>
  <c r="L32" i="106"/>
  <c r="L23" i="127"/>
  <c r="L41" i="127"/>
  <c r="L33" i="106"/>
  <c r="L42" i="127"/>
  <c r="L34" i="106"/>
  <c r="L43" i="127"/>
  <c r="L35" i="106"/>
  <c r="I42" i="129"/>
  <c r="D45" i="129" l="1"/>
  <c r="I45" i="129" s="1"/>
  <c r="L56" i="132"/>
  <c r="L79" i="132"/>
  <c r="D14" i="100"/>
  <c r="F14" i="100" s="1"/>
  <c r="D14" i="91"/>
  <c r="F14" i="91" s="1"/>
  <c r="D14" i="80"/>
  <c r="F14" i="80" s="1"/>
  <c r="E51" i="132"/>
  <c r="G51" i="132" s="1"/>
  <c r="D14" i="53"/>
  <c r="F14" i="53" s="1"/>
  <c r="D14" i="65"/>
  <c r="F14" i="65" s="1"/>
  <c r="D14" i="59"/>
  <c r="F14" i="59" s="1"/>
  <c r="P100" i="129"/>
  <c r="L57" i="132"/>
  <c r="E12" i="124"/>
  <c r="E12" i="123"/>
  <c r="E12" i="121"/>
  <c r="E19" i="132"/>
  <c r="G19" i="132" s="1"/>
  <c r="E21" i="132"/>
  <c r="G21" i="132" s="1"/>
  <c r="E15" i="121"/>
  <c r="E15" i="123"/>
  <c r="E15" i="122"/>
  <c r="E15" i="124"/>
  <c r="E29" i="132"/>
  <c r="G29" i="132" s="1"/>
  <c r="K27" i="132"/>
  <c r="M27" i="132" s="1"/>
  <c r="E27" i="132"/>
  <c r="G27" i="132" s="1"/>
  <c r="K37" i="132"/>
  <c r="M37" i="132" s="1"/>
  <c r="K36" i="132"/>
  <c r="M36" i="132" s="1"/>
  <c r="K23" i="132"/>
  <c r="M23" i="132" s="1"/>
  <c r="K24" i="132"/>
  <c r="M24" i="132" s="1"/>
  <c r="K35" i="132"/>
  <c r="M35" i="132" s="1"/>
  <c r="E35" i="132"/>
  <c r="G35" i="132" s="1"/>
  <c r="E31" i="132"/>
  <c r="G31" i="132" s="1"/>
  <c r="K31" i="132"/>
  <c r="M31" i="132" s="1"/>
  <c r="K22" i="132"/>
  <c r="M22" i="132" s="1"/>
  <c r="K21" i="132"/>
  <c r="M21" i="132" s="1"/>
  <c r="K52" i="132"/>
  <c r="M52" i="132" s="1"/>
  <c r="K53" i="132"/>
  <c r="M53" i="132" s="1"/>
  <c r="E33" i="132"/>
  <c r="G33" i="132" s="1"/>
  <c r="E37" i="132"/>
  <c r="G37" i="132" s="1"/>
  <c r="J17" i="129"/>
  <c r="L7" i="129"/>
  <c r="J24" i="129"/>
  <c r="D48" i="129" s="1"/>
  <c r="C18" i="106"/>
  <c r="C16" i="106"/>
  <c r="K8" i="127"/>
  <c r="J8" i="127"/>
  <c r="K56" i="127"/>
  <c r="K51" i="127"/>
  <c r="E22" i="127"/>
  <c r="E19" i="127"/>
  <c r="E13" i="127"/>
  <c r="K34" i="127"/>
  <c r="K17" i="127"/>
  <c r="E26" i="127"/>
  <c r="K24" i="127"/>
  <c r="K23" i="127"/>
  <c r="E46" i="127"/>
  <c r="K16" i="124" l="1"/>
  <c r="M16" i="124" s="1"/>
  <c r="K16" i="121"/>
  <c r="M16" i="121" s="1"/>
  <c r="K16" i="123"/>
  <c r="M16" i="123" s="1"/>
  <c r="K16" i="120"/>
  <c r="M16" i="120" s="1"/>
  <c r="K16" i="119"/>
  <c r="M16" i="119" s="1"/>
  <c r="K16" i="122"/>
  <c r="M16" i="122" s="1"/>
  <c r="K16" i="117"/>
  <c r="M16" i="117" s="1"/>
  <c r="K16" i="118"/>
  <c r="M16" i="118" s="1"/>
  <c r="K15" i="120"/>
  <c r="K15" i="119"/>
  <c r="E23" i="123"/>
  <c r="K15" i="123"/>
  <c r="K15" i="122"/>
  <c r="K15" i="121"/>
  <c r="K15" i="124"/>
  <c r="E23" i="122"/>
  <c r="E23" i="121"/>
  <c r="E23" i="124"/>
  <c r="K77" i="132"/>
  <c r="M77" i="132" s="1"/>
  <c r="K81" i="132"/>
  <c r="M81" i="132" s="1"/>
  <c r="D69" i="129"/>
  <c r="I48" i="129"/>
  <c r="I63" i="129"/>
  <c r="K12" i="118"/>
  <c r="K75" i="132"/>
  <c r="M75" i="132" s="1"/>
  <c r="K74" i="132"/>
  <c r="M74" i="132" s="1"/>
  <c r="K59" i="132"/>
  <c r="M59" i="132" s="1"/>
  <c r="E59" i="132"/>
  <c r="G59" i="132" s="1"/>
  <c r="K62" i="132"/>
  <c r="M62" i="132" s="1"/>
  <c r="D14" i="54"/>
  <c r="F14" i="54" s="1"/>
  <c r="D14" i="67"/>
  <c r="F14" i="67" s="1"/>
  <c r="D14" i="60"/>
  <c r="F14" i="60" s="1"/>
  <c r="E58" i="132"/>
  <c r="G58" i="132" s="1"/>
  <c r="E44" i="132"/>
  <c r="K58" i="132"/>
  <c r="K84" i="132"/>
  <c r="M84" i="132" s="1"/>
  <c r="K22" i="127"/>
  <c r="E20" i="132"/>
  <c r="G20" i="132" s="1"/>
  <c r="L58" i="132"/>
  <c r="E36" i="132"/>
  <c r="G36" i="132" s="1"/>
  <c r="K51" i="132"/>
  <c r="M51" i="132" s="1"/>
  <c r="E38" i="127"/>
  <c r="L24" i="127"/>
  <c r="L30" i="106"/>
  <c r="L38" i="127"/>
  <c r="E29" i="127"/>
  <c r="E17" i="127"/>
  <c r="E45" i="127"/>
  <c r="K88" i="132" l="1"/>
  <c r="M88" i="132" s="1"/>
  <c r="K78" i="132"/>
  <c r="M78" i="132" s="1"/>
  <c r="D46" i="129"/>
  <c r="E77" i="132"/>
  <c r="G77" i="132" s="1"/>
  <c r="K12" i="121"/>
  <c r="K12" i="123"/>
  <c r="K12" i="124"/>
  <c r="K12" i="122"/>
  <c r="M12" i="122" s="1"/>
  <c r="K65" i="132"/>
  <c r="M65" i="132" s="1"/>
  <c r="E39" i="132"/>
  <c r="K39" i="132" s="1"/>
  <c r="M39" i="132" s="1"/>
  <c r="K15" i="132"/>
  <c r="M15" i="132" s="1"/>
  <c r="G74" i="132"/>
  <c r="E79" i="132"/>
  <c r="G79" i="132" s="1"/>
  <c r="K64" i="132"/>
  <c r="M64" i="132" s="1"/>
  <c r="K79" i="132"/>
  <c r="M79" i="132" s="1"/>
  <c r="K80" i="132"/>
  <c r="M80" i="132" s="1"/>
  <c r="K56" i="132"/>
  <c r="M56" i="132" s="1"/>
  <c r="E40" i="132"/>
  <c r="K40" i="132" s="1"/>
  <c r="M40" i="132" s="1"/>
  <c r="E17" i="132"/>
  <c r="G17" i="132" s="1"/>
  <c r="K41" i="132"/>
  <c r="M41" i="132" s="1"/>
  <c r="E43" i="132"/>
  <c r="G43" i="132" s="1"/>
  <c r="E42" i="132"/>
  <c r="K42" i="132" s="1"/>
  <c r="M42" i="132" s="1"/>
  <c r="E15" i="132"/>
  <c r="G15" i="132" s="1"/>
  <c r="K66" i="132"/>
  <c r="M66" i="132" s="1"/>
  <c r="I53" i="84"/>
  <c r="K53" i="84" s="1"/>
  <c r="I52" i="84"/>
  <c r="K52" i="84" s="1"/>
  <c r="D14" i="55"/>
  <c r="F14" i="55" s="1"/>
  <c r="D14" i="61"/>
  <c r="F14" i="61" s="1"/>
  <c r="D14" i="66"/>
  <c r="F14" i="66" s="1"/>
  <c r="K54" i="132"/>
  <c r="M58" i="132"/>
  <c r="E55" i="132"/>
  <c r="G55" i="132" s="1"/>
  <c r="K44" i="132"/>
  <c r="M44" i="132" s="1"/>
  <c r="G44" i="132"/>
  <c r="K60" i="132"/>
  <c r="M60" i="132" s="1"/>
  <c r="K57" i="132"/>
  <c r="M57" i="132" s="1"/>
  <c r="E61" i="132"/>
  <c r="K49" i="132"/>
  <c r="M49" i="132" s="1"/>
  <c r="K50" i="132"/>
  <c r="M50" i="132" s="1"/>
  <c r="K36" i="127"/>
  <c r="M36" i="127" s="1"/>
  <c r="K50" i="127"/>
  <c r="M50" i="127" s="1"/>
  <c r="M56" i="127"/>
  <c r="M51" i="127"/>
  <c r="K46" i="127"/>
  <c r="M46" i="127" s="1"/>
  <c r="G45" i="127"/>
  <c r="G38" i="127"/>
  <c r="M34" i="127"/>
  <c r="G29" i="127"/>
  <c r="K26" i="127"/>
  <c r="M26" i="127" s="1"/>
  <c r="M24" i="127"/>
  <c r="M22" i="127"/>
  <c r="G22" i="127"/>
  <c r="G19" i="127"/>
  <c r="C18" i="127"/>
  <c r="I17" i="127"/>
  <c r="G17" i="127"/>
  <c r="C16" i="127"/>
  <c r="G13" i="127"/>
  <c r="K25" i="127"/>
  <c r="M25" i="127" s="1"/>
  <c r="K59" i="127"/>
  <c r="M59" i="127" s="1"/>
  <c r="E16" i="127"/>
  <c r="G16" i="127" s="1"/>
  <c r="K13" i="127"/>
  <c r="M13" i="127" s="1"/>
  <c r="M54" i="132" l="1"/>
  <c r="E54" i="132"/>
  <c r="G54" i="132" s="1"/>
  <c r="E24" i="118"/>
  <c r="K15" i="118"/>
  <c r="E84" i="132"/>
  <c r="G84" i="132" s="1"/>
  <c r="G89" i="132" s="1"/>
  <c r="E16" i="132"/>
  <c r="G16" i="132" s="1"/>
  <c r="G39" i="132"/>
  <c r="M82" i="132"/>
  <c r="G82" i="132"/>
  <c r="G42" i="132"/>
  <c r="E41" i="132"/>
  <c r="G41" i="132" s="1"/>
  <c r="G40" i="132"/>
  <c r="K43" i="132"/>
  <c r="M43" i="132" s="1"/>
  <c r="M46" i="132" s="1"/>
  <c r="I53" i="85"/>
  <c r="K53" i="85" s="1"/>
  <c r="I52" i="85"/>
  <c r="K52" i="85" s="1"/>
  <c r="K61" i="132"/>
  <c r="M61" i="132" s="1"/>
  <c r="G61" i="132"/>
  <c r="E48" i="132"/>
  <c r="G48" i="132" s="1"/>
  <c r="G72" i="132" s="1"/>
  <c r="K48" i="132"/>
  <c r="M48" i="132" s="1"/>
  <c r="M72" i="132" s="1"/>
  <c r="M17" i="127"/>
  <c r="K47" i="127"/>
  <c r="M47" i="127" s="1"/>
  <c r="K38" i="127"/>
  <c r="M38" i="127" s="1"/>
  <c r="E40" i="127"/>
  <c r="G40" i="127" s="1"/>
  <c r="K16" i="127"/>
  <c r="M16" i="127" s="1"/>
  <c r="K32" i="127"/>
  <c r="M32" i="127" s="1"/>
  <c r="K31" i="127"/>
  <c r="M31" i="127" s="1"/>
  <c r="K53" i="127"/>
  <c r="M53" i="127" s="1"/>
  <c r="E52" i="127"/>
  <c r="G52" i="127" s="1"/>
  <c r="K35" i="127"/>
  <c r="M35" i="127" s="1"/>
  <c r="K29" i="127"/>
  <c r="M29" i="127" s="1"/>
  <c r="K45" i="127"/>
  <c r="M45" i="127" s="1"/>
  <c r="E14" i="127"/>
  <c r="G14" i="127" s="1"/>
  <c r="G46" i="127"/>
  <c r="K58" i="127"/>
  <c r="M58" i="127" s="1"/>
  <c r="K52" i="127"/>
  <c r="M52" i="127" s="1"/>
  <c r="E23" i="127"/>
  <c r="G23" i="127" s="1"/>
  <c r="M23" i="127"/>
  <c r="M27" i="127" s="1"/>
  <c r="G26" i="127"/>
  <c r="K37" i="127"/>
  <c r="M37" i="127" s="1"/>
  <c r="E15" i="127"/>
  <c r="G15" i="127" s="1"/>
  <c r="K33" i="127"/>
  <c r="M33" i="127" s="1"/>
  <c r="K86" i="132" l="1"/>
  <c r="M86" i="132" s="1"/>
  <c r="K87" i="132"/>
  <c r="M87" i="132" s="1"/>
  <c r="G46" i="132"/>
  <c r="I53" i="72"/>
  <c r="K53" i="72" s="1"/>
  <c r="I52" i="72"/>
  <c r="K52" i="72" s="1"/>
  <c r="K39" i="127"/>
  <c r="M39" i="127" s="1"/>
  <c r="K30" i="127"/>
  <c r="M30" i="127" s="1"/>
  <c r="E39" i="127"/>
  <c r="G39" i="127" s="1"/>
  <c r="E43" i="127"/>
  <c r="G43" i="127" s="1"/>
  <c r="K43" i="127"/>
  <c r="M43" i="127" s="1"/>
  <c r="K40" i="127"/>
  <c r="M40" i="127" s="1"/>
  <c r="K42" i="127"/>
  <c r="M42" i="127" s="1"/>
  <c r="E42" i="127"/>
  <c r="G42" i="127" s="1"/>
  <c r="K41" i="127"/>
  <c r="M41" i="127" s="1"/>
  <c r="E41" i="127"/>
  <c r="G41" i="127" s="1"/>
  <c r="E18" i="127"/>
  <c r="G27" i="127"/>
  <c r="H92" i="132" l="1"/>
  <c r="H94" i="132" s="1"/>
  <c r="M89" i="132"/>
  <c r="H98" i="132" s="1"/>
  <c r="H96" i="132"/>
  <c r="H97" i="132" s="1"/>
  <c r="K49" i="127"/>
  <c r="M49" i="127" s="1"/>
  <c r="K44" i="127"/>
  <c r="G18" i="127"/>
  <c r="G20" i="127" s="1"/>
  <c r="K18" i="127"/>
  <c r="M18" i="127" s="1"/>
  <c r="M20" i="127" s="1"/>
  <c r="H99" i="132" l="1"/>
  <c r="H101" i="132"/>
  <c r="H93" i="132"/>
  <c r="H95" i="132" s="1"/>
  <c r="I52" i="95"/>
  <c r="K52" i="95" s="1"/>
  <c r="I53" i="95"/>
  <c r="K53" i="95" s="1"/>
  <c r="I53" i="92"/>
  <c r="K53" i="92" s="1"/>
  <c r="I53" i="81"/>
  <c r="K53" i="81" s="1"/>
  <c r="I52" i="81"/>
  <c r="K52" i="81" s="1"/>
  <c r="I52" i="92"/>
  <c r="K52" i="92" s="1"/>
  <c r="M44" i="127"/>
  <c r="M54" i="127" s="1"/>
  <c r="H67" i="127" s="1"/>
  <c r="E37" i="127"/>
  <c r="G37" i="127" s="1"/>
  <c r="G54" i="127" s="1"/>
  <c r="K12" i="120"/>
  <c r="E24" i="120"/>
  <c r="K12" i="119"/>
  <c r="F24" i="119"/>
  <c r="E24" i="119"/>
  <c r="K12" i="117"/>
  <c r="H100" i="132" l="1"/>
  <c r="H102" i="132" s="1"/>
  <c r="I53" i="93"/>
  <c r="K53" i="93" s="1"/>
  <c r="I52" i="93"/>
  <c r="K52" i="93" s="1"/>
  <c r="I53" i="71"/>
  <c r="K53" i="71" s="1"/>
  <c r="I52" i="71"/>
  <c r="K52" i="71" s="1"/>
  <c r="I52" i="82"/>
  <c r="K52" i="82" s="1"/>
  <c r="I53" i="82"/>
  <c r="K53" i="82" s="1"/>
  <c r="I52" i="94"/>
  <c r="K52" i="94" s="1"/>
  <c r="I52" i="86"/>
  <c r="K52" i="86" s="1"/>
  <c r="I53" i="86"/>
  <c r="K53" i="86" s="1"/>
  <c r="I53" i="94"/>
  <c r="K53" i="94" s="1"/>
  <c r="I53" i="83"/>
  <c r="K53" i="83" s="1"/>
  <c r="I52" i="83"/>
  <c r="K52" i="83" s="1"/>
  <c r="E56" i="127"/>
  <c r="H68" i="127"/>
  <c r="G23" i="124"/>
  <c r="G25" i="124" s="1"/>
  <c r="M15" i="124"/>
  <c r="M12" i="124"/>
  <c r="G23" i="123"/>
  <c r="G25" i="123" s="1"/>
  <c r="M15" i="123"/>
  <c r="G23" i="122"/>
  <c r="G25" i="122" s="1"/>
  <c r="M15" i="122"/>
  <c r="G23" i="121"/>
  <c r="G25" i="121" s="1"/>
  <c r="M12" i="121"/>
  <c r="G15" i="120"/>
  <c r="E14" i="120"/>
  <c r="G14" i="120" s="1"/>
  <c r="G13" i="120"/>
  <c r="M12" i="120"/>
  <c r="M15" i="119"/>
  <c r="K13" i="119"/>
  <c r="K14" i="119" s="1"/>
  <c r="M14" i="119" s="1"/>
  <c r="G13" i="119"/>
  <c r="E14" i="119"/>
  <c r="G14" i="119" s="1"/>
  <c r="E14" i="117"/>
  <c r="G14" i="117" s="1"/>
  <c r="G12" i="117"/>
  <c r="G15" i="118"/>
  <c r="G13" i="118"/>
  <c r="M12" i="118"/>
  <c r="G12" i="118"/>
  <c r="K14" i="120"/>
  <c r="M14" i="120" s="1"/>
  <c r="G56" i="127" l="1"/>
  <c r="G60" i="127" s="1"/>
  <c r="H63" i="127" s="1"/>
  <c r="H65" i="127" s="1"/>
  <c r="K57" i="127"/>
  <c r="M57" i="127" s="1"/>
  <c r="M60" i="127" s="1"/>
  <c r="H69" i="127" s="1"/>
  <c r="H70" i="127" s="1"/>
  <c r="I23" i="123"/>
  <c r="I23" i="124"/>
  <c r="I23" i="121"/>
  <c r="K20" i="118"/>
  <c r="M20" i="118" s="1"/>
  <c r="M15" i="118"/>
  <c r="E24" i="117"/>
  <c r="G24" i="117" s="1"/>
  <c r="K15" i="117"/>
  <c r="M15" i="117" s="1"/>
  <c r="G15" i="122"/>
  <c r="G15" i="121"/>
  <c r="G15" i="123"/>
  <c r="G15" i="124"/>
  <c r="G12" i="122"/>
  <c r="G12" i="121"/>
  <c r="G12" i="123"/>
  <c r="G12" i="124"/>
  <c r="M14" i="121"/>
  <c r="M14" i="123"/>
  <c r="G14" i="124"/>
  <c r="G13" i="117"/>
  <c r="G12" i="120"/>
  <c r="G22" i="120" s="1"/>
  <c r="K13" i="117"/>
  <c r="K14" i="117" s="1"/>
  <c r="M14" i="117" s="1"/>
  <c r="G12" i="119"/>
  <c r="G24" i="120"/>
  <c r="M12" i="119"/>
  <c r="G24" i="119"/>
  <c r="M12" i="123"/>
  <c r="M14" i="118"/>
  <c r="M12" i="117"/>
  <c r="G15" i="119"/>
  <c r="M15" i="121"/>
  <c r="G24" i="118"/>
  <c r="G15" i="117"/>
  <c r="M15" i="120"/>
  <c r="M13" i="120"/>
  <c r="M13" i="119"/>
  <c r="M13" i="118"/>
  <c r="E14" i="118"/>
  <c r="G14" i="118" s="1"/>
  <c r="G22" i="118" s="1"/>
  <c r="K20" i="120" l="1"/>
  <c r="M20" i="120" s="1"/>
  <c r="K20" i="117"/>
  <c r="M20" i="117" s="1"/>
  <c r="H64" i="127"/>
  <c r="H66" i="127" s="1"/>
  <c r="H71" i="127" s="1"/>
  <c r="H72" i="127"/>
  <c r="K23" i="124"/>
  <c r="M23" i="124" s="1"/>
  <c r="M25" i="124" s="1"/>
  <c r="G22" i="119"/>
  <c r="K23" i="121"/>
  <c r="M23" i="121" s="1"/>
  <c r="I23" i="122"/>
  <c r="K19" i="124"/>
  <c r="M19" i="124" s="1"/>
  <c r="K19" i="122"/>
  <c r="M19" i="122" s="1"/>
  <c r="K19" i="121"/>
  <c r="M19" i="121" s="1"/>
  <c r="K19" i="123"/>
  <c r="M19" i="123" s="1"/>
  <c r="K23" i="123"/>
  <c r="G22" i="117"/>
  <c r="D55" i="129"/>
  <c r="K19" i="118"/>
  <c r="M19" i="118" s="1"/>
  <c r="M22" i="118" s="1"/>
  <c r="D58" i="129"/>
  <c r="K19" i="120"/>
  <c r="M19" i="120" s="1"/>
  <c r="D56" i="129"/>
  <c r="K19" i="117"/>
  <c r="M19" i="117" s="1"/>
  <c r="K19" i="119"/>
  <c r="M19" i="119" s="1"/>
  <c r="D57" i="129"/>
  <c r="K20" i="119"/>
  <c r="M20" i="119" s="1"/>
  <c r="M13" i="121"/>
  <c r="G14" i="122"/>
  <c r="G13" i="122"/>
  <c r="G14" i="123"/>
  <c r="G13" i="123"/>
  <c r="M14" i="122"/>
  <c r="M13" i="122"/>
  <c r="G13" i="124"/>
  <c r="G21" i="124" s="1"/>
  <c r="M14" i="124"/>
  <c r="M13" i="124"/>
  <c r="M13" i="123"/>
  <c r="G14" i="121"/>
  <c r="G13" i="121"/>
  <c r="M13" i="117"/>
  <c r="M21" i="123" l="1"/>
  <c r="H32" i="123" s="1"/>
  <c r="H33" i="123" s="1"/>
  <c r="M21" i="122"/>
  <c r="H32" i="122" s="1"/>
  <c r="H33" i="122" s="1"/>
  <c r="M22" i="119"/>
  <c r="H33" i="119" s="1"/>
  <c r="H34" i="119" s="1"/>
  <c r="M22" i="117"/>
  <c r="H33" i="117" s="1"/>
  <c r="H34" i="117" s="1"/>
  <c r="M21" i="124"/>
  <c r="H32" i="124" s="1"/>
  <c r="H33" i="124" s="1"/>
  <c r="M21" i="121"/>
  <c r="H32" i="121" s="1"/>
  <c r="H33" i="121" s="1"/>
  <c r="M22" i="120"/>
  <c r="H33" i="120" s="1"/>
  <c r="H34" i="120" s="1"/>
  <c r="H33" i="118"/>
  <c r="H34" i="118" s="1"/>
  <c r="H73" i="127"/>
  <c r="I59" i="129"/>
  <c r="H34" i="124"/>
  <c r="M23" i="123"/>
  <c r="M25" i="123" s="1"/>
  <c r="H34" i="123" s="1"/>
  <c r="I58" i="129"/>
  <c r="G21" i="121"/>
  <c r="H28" i="121" s="1"/>
  <c r="G21" i="123"/>
  <c r="H28" i="123" s="1"/>
  <c r="H30" i="123" s="1"/>
  <c r="I56" i="129"/>
  <c r="G21" i="122"/>
  <c r="H28" i="122" s="1"/>
  <c r="H30" i="122" s="1"/>
  <c r="M25" i="121"/>
  <c r="H34" i="121" s="1"/>
  <c r="I57" i="129"/>
  <c r="K23" i="122"/>
  <c r="M23" i="122" s="1"/>
  <c r="E25" i="119"/>
  <c r="G25" i="119" s="1"/>
  <c r="G26" i="119" s="1"/>
  <c r="H29" i="119" s="1"/>
  <c r="H31" i="119" s="1"/>
  <c r="E25" i="120"/>
  <c r="G25" i="120" s="1"/>
  <c r="G26" i="120" s="1"/>
  <c r="H29" i="120" s="1"/>
  <c r="H30" i="120" s="1"/>
  <c r="E25" i="118"/>
  <c r="G25" i="118" s="1"/>
  <c r="G26" i="118" s="1"/>
  <c r="H29" i="118" s="1"/>
  <c r="H31" i="118" s="1"/>
  <c r="E25" i="117"/>
  <c r="G25" i="117" s="1"/>
  <c r="G26" i="117" s="1"/>
  <c r="H29" i="117" s="1"/>
  <c r="H38" i="117" s="1"/>
  <c r="H28" i="124"/>
  <c r="H30" i="124" s="1"/>
  <c r="H35" i="123" l="1"/>
  <c r="H38" i="120"/>
  <c r="H31" i="120"/>
  <c r="H32" i="120" s="1"/>
  <c r="H38" i="118"/>
  <c r="M25" i="122"/>
  <c r="H34" i="122" s="1"/>
  <c r="H35" i="122" s="1"/>
  <c r="H30" i="118"/>
  <c r="H32" i="118" s="1"/>
  <c r="I24" i="119"/>
  <c r="H29" i="121"/>
  <c r="H30" i="121"/>
  <c r="I24" i="118"/>
  <c r="H30" i="119"/>
  <c r="H32" i="119" s="1"/>
  <c r="I24" i="117"/>
  <c r="H38" i="119"/>
  <c r="H31" i="117"/>
  <c r="H30" i="117"/>
  <c r="I24" i="120"/>
  <c r="H35" i="121"/>
  <c r="H37" i="122"/>
  <c r="H29" i="122"/>
  <c r="H31" i="122" s="1"/>
  <c r="H37" i="123"/>
  <c r="H29" i="123"/>
  <c r="H35" i="124"/>
  <c r="H37" i="121"/>
  <c r="H29" i="124"/>
  <c r="H37" i="124"/>
  <c r="E31" i="114"/>
  <c r="E114" i="113"/>
  <c r="J26" i="114"/>
  <c r="J25" i="114"/>
  <c r="J24" i="114"/>
  <c r="J23" i="114"/>
  <c r="J22" i="114"/>
  <c r="J21" i="114"/>
  <c r="J20" i="114"/>
  <c r="J19" i="114"/>
  <c r="J18" i="114"/>
  <c r="J17" i="114"/>
  <c r="J16" i="114"/>
  <c r="J15" i="114"/>
  <c r="J13" i="114"/>
  <c r="I13" i="114"/>
  <c r="J31" i="114"/>
  <c r="J30" i="114"/>
  <c r="I31" i="114"/>
  <c r="E30" i="114"/>
  <c r="E13" i="114"/>
  <c r="E24" i="114"/>
  <c r="E22" i="114"/>
  <c r="E25" i="114"/>
  <c r="D31" i="114"/>
  <c r="D13" i="114"/>
  <c r="D22" i="114" s="1"/>
  <c r="J110" i="113"/>
  <c r="J109" i="113"/>
  <c r="J108" i="113"/>
  <c r="J107" i="113"/>
  <c r="J106" i="113"/>
  <c r="J105" i="113"/>
  <c r="J104" i="113"/>
  <c r="J103" i="113"/>
  <c r="J102" i="113"/>
  <c r="J101" i="113"/>
  <c r="J100" i="113"/>
  <c r="J99" i="113"/>
  <c r="J98" i="113"/>
  <c r="J95" i="113"/>
  <c r="J94" i="113"/>
  <c r="J93" i="113"/>
  <c r="J92" i="113"/>
  <c r="J91" i="113"/>
  <c r="J90" i="113"/>
  <c r="J89" i="113"/>
  <c r="J88" i="113"/>
  <c r="J87" i="113"/>
  <c r="J86" i="113"/>
  <c r="J85" i="113"/>
  <c r="J84" i="113"/>
  <c r="J83" i="113"/>
  <c r="J80" i="113"/>
  <c r="J79" i="113"/>
  <c r="J78" i="113"/>
  <c r="J77" i="113"/>
  <c r="J76" i="113"/>
  <c r="J75" i="113"/>
  <c r="J74" i="113"/>
  <c r="J73" i="113"/>
  <c r="J72" i="113"/>
  <c r="J71" i="113"/>
  <c r="J70" i="113"/>
  <c r="J69" i="113"/>
  <c r="J68" i="113"/>
  <c r="J67" i="113"/>
  <c r="J66" i="113"/>
  <c r="J65" i="113"/>
  <c r="J64" i="113"/>
  <c r="J45" i="113"/>
  <c r="J46" i="113"/>
  <c r="J47" i="113"/>
  <c r="J48" i="113"/>
  <c r="J49" i="113"/>
  <c r="J50" i="113"/>
  <c r="J51" i="113"/>
  <c r="J52" i="113"/>
  <c r="J53" i="113"/>
  <c r="J54" i="113"/>
  <c r="J55" i="113"/>
  <c r="J56" i="113"/>
  <c r="J57" i="113"/>
  <c r="J58" i="113"/>
  <c r="J59" i="113"/>
  <c r="J60" i="113"/>
  <c r="J61" i="113"/>
  <c r="J62" i="113"/>
  <c r="J63" i="113"/>
  <c r="J44" i="113"/>
  <c r="J43" i="113"/>
  <c r="J42" i="113"/>
  <c r="J41" i="113"/>
  <c r="J37" i="113"/>
  <c r="J36" i="113"/>
  <c r="J35" i="113"/>
  <c r="J34" i="113"/>
  <c r="J33" i="113"/>
  <c r="J32" i="113"/>
  <c r="J31" i="113"/>
  <c r="J30" i="113"/>
  <c r="J29" i="113"/>
  <c r="J28" i="113"/>
  <c r="J27" i="113"/>
  <c r="J26" i="113"/>
  <c r="J25" i="113"/>
  <c r="J22" i="113"/>
  <c r="J21" i="113"/>
  <c r="J20" i="113"/>
  <c r="J19" i="113"/>
  <c r="J18" i="113"/>
  <c r="J14" i="113"/>
  <c r="J13" i="113"/>
  <c r="J114" i="113"/>
  <c r="J113" i="113"/>
  <c r="I110" i="113"/>
  <c r="I109" i="113"/>
  <c r="K109" i="113" s="1"/>
  <c r="I108" i="113"/>
  <c r="I107" i="113"/>
  <c r="I106" i="113"/>
  <c r="I105" i="113"/>
  <c r="K105" i="113" s="1"/>
  <c r="I104" i="113"/>
  <c r="I103" i="113"/>
  <c r="I102" i="113"/>
  <c r="I101" i="113"/>
  <c r="I100" i="113"/>
  <c r="I99" i="113"/>
  <c r="I98" i="113"/>
  <c r="I95" i="113"/>
  <c r="K95" i="113" s="1"/>
  <c r="I94" i="113"/>
  <c r="I93" i="113"/>
  <c r="I92" i="113"/>
  <c r="K92" i="113" s="1"/>
  <c r="I91" i="113"/>
  <c r="K91" i="113" s="1"/>
  <c r="I90" i="113"/>
  <c r="I89" i="113"/>
  <c r="I88" i="113"/>
  <c r="I87" i="113"/>
  <c r="K87" i="113" s="1"/>
  <c r="I86" i="113"/>
  <c r="I85" i="113"/>
  <c r="I84" i="113"/>
  <c r="I83" i="113"/>
  <c r="K83" i="113" s="1"/>
  <c r="I80" i="113"/>
  <c r="I79" i="113"/>
  <c r="I78" i="113"/>
  <c r="K78" i="113" s="1"/>
  <c r="I77" i="113"/>
  <c r="K77" i="113" s="1"/>
  <c r="I76" i="113"/>
  <c r="I75" i="113"/>
  <c r="I74" i="113"/>
  <c r="K74" i="113" s="1"/>
  <c r="I73" i="113"/>
  <c r="I72" i="113"/>
  <c r="I71" i="113"/>
  <c r="K71" i="113" s="1"/>
  <c r="I70" i="113"/>
  <c r="I69" i="113"/>
  <c r="I68" i="113"/>
  <c r="K68" i="113" s="1"/>
  <c r="I67" i="113"/>
  <c r="I66" i="113"/>
  <c r="K66" i="113" s="1"/>
  <c r="I65" i="113"/>
  <c r="I64" i="113"/>
  <c r="I47" i="113"/>
  <c r="I48" i="113"/>
  <c r="I49" i="113"/>
  <c r="I50" i="113"/>
  <c r="I51" i="113"/>
  <c r="I52" i="113"/>
  <c r="I53" i="113"/>
  <c r="I54" i="113"/>
  <c r="I55" i="113"/>
  <c r="I56" i="113"/>
  <c r="I57" i="113"/>
  <c r="I58" i="113"/>
  <c r="I59" i="113"/>
  <c r="I60" i="113"/>
  <c r="I61" i="113"/>
  <c r="I62" i="113"/>
  <c r="I63" i="113"/>
  <c r="I46" i="113"/>
  <c r="I45" i="113"/>
  <c r="I44" i="113"/>
  <c r="I43" i="113"/>
  <c r="I42" i="113"/>
  <c r="I22" i="113"/>
  <c r="I21" i="113"/>
  <c r="I20" i="113"/>
  <c r="I19" i="113"/>
  <c r="I18" i="113"/>
  <c r="E113" i="113"/>
  <c r="E99" i="113"/>
  <c r="E98" i="113"/>
  <c r="E84" i="113"/>
  <c r="E83" i="113"/>
  <c r="E41" i="113"/>
  <c r="E27" i="113"/>
  <c r="E26" i="113"/>
  <c r="E25" i="113"/>
  <c r="E21" i="113"/>
  <c r="E20" i="113"/>
  <c r="E18" i="113"/>
  <c r="E14" i="113"/>
  <c r="E13" i="113"/>
  <c r="J95" i="112"/>
  <c r="J94" i="112"/>
  <c r="J91" i="112"/>
  <c r="J90" i="112"/>
  <c r="J89" i="112"/>
  <c r="J88" i="112"/>
  <c r="J87" i="112"/>
  <c r="J86" i="112"/>
  <c r="J85" i="112"/>
  <c r="J84" i="112"/>
  <c r="J83" i="112"/>
  <c r="J82" i="112"/>
  <c r="J81" i="112"/>
  <c r="J80" i="112"/>
  <c r="J79" i="112"/>
  <c r="J76" i="112"/>
  <c r="J75" i="112"/>
  <c r="J74" i="112"/>
  <c r="J73" i="112"/>
  <c r="J72" i="112"/>
  <c r="J71" i="112"/>
  <c r="J70" i="112"/>
  <c r="J69" i="112"/>
  <c r="J68" i="112"/>
  <c r="J67" i="112"/>
  <c r="J66" i="112"/>
  <c r="J65" i="112"/>
  <c r="J64" i="112"/>
  <c r="J60" i="112"/>
  <c r="J59" i="112"/>
  <c r="J58" i="112"/>
  <c r="J57" i="112"/>
  <c r="J56" i="112"/>
  <c r="J55" i="112"/>
  <c r="J54" i="112"/>
  <c r="J53" i="112"/>
  <c r="J52" i="112"/>
  <c r="J51" i="112"/>
  <c r="J50" i="112"/>
  <c r="J49" i="112"/>
  <c r="J48" i="112"/>
  <c r="J47" i="112"/>
  <c r="J46" i="112"/>
  <c r="J45" i="112"/>
  <c r="J44" i="112"/>
  <c r="J43" i="112"/>
  <c r="J40" i="112"/>
  <c r="J39" i="112"/>
  <c r="J38" i="112"/>
  <c r="J37" i="112"/>
  <c r="J36" i="112"/>
  <c r="J35" i="112"/>
  <c r="J34" i="112"/>
  <c r="J33" i="112"/>
  <c r="J32" i="112"/>
  <c r="J31" i="112"/>
  <c r="J30" i="112"/>
  <c r="J29" i="112"/>
  <c r="J28" i="112"/>
  <c r="J27" i="112"/>
  <c r="J26" i="112"/>
  <c r="J25" i="112"/>
  <c r="J22" i="112"/>
  <c r="J21" i="112"/>
  <c r="J20" i="112"/>
  <c r="J19" i="112"/>
  <c r="J18" i="112"/>
  <c r="J14" i="112"/>
  <c r="J13" i="112"/>
  <c r="I91" i="112"/>
  <c r="I90" i="112"/>
  <c r="I89" i="112"/>
  <c r="I88" i="112"/>
  <c r="I87" i="112"/>
  <c r="I86" i="112"/>
  <c r="I85" i="112"/>
  <c r="I84" i="112"/>
  <c r="I83" i="112"/>
  <c r="I82" i="112"/>
  <c r="I81" i="112"/>
  <c r="I80" i="112"/>
  <c r="I79" i="112"/>
  <c r="I76" i="112"/>
  <c r="I75" i="112"/>
  <c r="I74" i="112"/>
  <c r="I73" i="112"/>
  <c r="I72" i="112"/>
  <c r="I71" i="112"/>
  <c r="I70" i="112"/>
  <c r="I69" i="112"/>
  <c r="I68" i="112"/>
  <c r="I67" i="112"/>
  <c r="I66" i="112"/>
  <c r="I65" i="112"/>
  <c r="I64" i="112"/>
  <c r="I60" i="112"/>
  <c r="I59" i="112"/>
  <c r="I58" i="112"/>
  <c r="I57" i="112"/>
  <c r="I56" i="112"/>
  <c r="I55" i="112"/>
  <c r="I54" i="112"/>
  <c r="I53" i="112"/>
  <c r="I52" i="112"/>
  <c r="I51" i="112"/>
  <c r="I50" i="112"/>
  <c r="I49" i="112"/>
  <c r="I48" i="112"/>
  <c r="I47" i="112"/>
  <c r="I46" i="112"/>
  <c r="I45" i="112"/>
  <c r="I44" i="112"/>
  <c r="I43" i="112"/>
  <c r="E44" i="112"/>
  <c r="I30" i="112"/>
  <c r="E28" i="112"/>
  <c r="I22" i="112"/>
  <c r="I21" i="112"/>
  <c r="I20" i="112"/>
  <c r="I19" i="112"/>
  <c r="I18" i="112"/>
  <c r="E13" i="112"/>
  <c r="I13" i="112"/>
  <c r="E25" i="112"/>
  <c r="E95" i="112"/>
  <c r="E94" i="112"/>
  <c r="E80" i="112"/>
  <c r="E79" i="112"/>
  <c r="E65" i="112"/>
  <c r="E64" i="112"/>
  <c r="D44" i="112"/>
  <c r="D43" i="112"/>
  <c r="E43" i="112"/>
  <c r="E27" i="112"/>
  <c r="E26" i="112"/>
  <c r="E21" i="112"/>
  <c r="E20" i="112"/>
  <c r="E18" i="112"/>
  <c r="E14" i="112"/>
  <c r="D13" i="112"/>
  <c r="D21" i="112"/>
  <c r="D27" i="112" s="1"/>
  <c r="D28" i="112" s="1"/>
  <c r="D18" i="112"/>
  <c r="I24" i="114"/>
  <c r="D98" i="113"/>
  <c r="D99" i="113"/>
  <c r="D79" i="112"/>
  <c r="D84" i="113"/>
  <c r="I40" i="112"/>
  <c r="I13" i="113"/>
  <c r="I37" i="113"/>
  <c r="F79" i="112" l="1"/>
  <c r="E8" i="114"/>
  <c r="D8" i="112"/>
  <c r="E8" i="113"/>
  <c r="F98" i="113"/>
  <c r="K80" i="113"/>
  <c r="K103" i="113"/>
  <c r="K22" i="113"/>
  <c r="K71" i="112"/>
  <c r="F31" i="114"/>
  <c r="I27" i="112"/>
  <c r="K27" i="112" s="1"/>
  <c r="F99" i="113"/>
  <c r="K53" i="112"/>
  <c r="K82" i="112"/>
  <c r="D23" i="113"/>
  <c r="F23" i="113" s="1"/>
  <c r="D23" i="112"/>
  <c r="F23" i="112" s="1"/>
  <c r="I39" i="112"/>
  <c r="K39" i="112" s="1"/>
  <c r="D20" i="112"/>
  <c r="D24" i="112" s="1"/>
  <c r="F24" i="112" s="1"/>
  <c r="D20" i="113"/>
  <c r="K88" i="113"/>
  <c r="I22" i="114"/>
  <c r="K22" i="114" s="1"/>
  <c r="I26" i="114"/>
  <c r="K26" i="114" s="1"/>
  <c r="K19" i="112"/>
  <c r="K54" i="112"/>
  <c r="K104" i="113"/>
  <c r="K94" i="113"/>
  <c r="K85" i="112"/>
  <c r="K76" i="113"/>
  <c r="K106" i="113"/>
  <c r="K85" i="113"/>
  <c r="K49" i="112"/>
  <c r="K13" i="114"/>
  <c r="K13" i="113"/>
  <c r="K69" i="113"/>
  <c r="K72" i="113"/>
  <c r="K65" i="113"/>
  <c r="I18" i="114"/>
  <c r="K18" i="114" s="1"/>
  <c r="K64" i="113"/>
  <c r="K81" i="112"/>
  <c r="K110" i="113"/>
  <c r="K66" i="112"/>
  <c r="K75" i="112"/>
  <c r="K108" i="113"/>
  <c r="K100" i="113"/>
  <c r="K90" i="113"/>
  <c r="F44" i="112"/>
  <c r="F13" i="112"/>
  <c r="I31" i="112"/>
  <c r="K31" i="112" s="1"/>
  <c r="I36" i="112"/>
  <c r="K36" i="112" s="1"/>
  <c r="H32" i="117"/>
  <c r="H36" i="122"/>
  <c r="H38" i="122" s="1"/>
  <c r="H31" i="121"/>
  <c r="H36" i="121" s="1"/>
  <c r="H38" i="121" s="1"/>
  <c r="D60" i="129"/>
  <c r="K24" i="119"/>
  <c r="M24" i="119" s="1"/>
  <c r="M26" i="119" s="1"/>
  <c r="H35" i="119" s="1"/>
  <c r="H36" i="119" s="1"/>
  <c r="H37" i="119" s="1"/>
  <c r="H39" i="119" s="1"/>
  <c r="D63" i="129"/>
  <c r="K24" i="117"/>
  <c r="M24" i="117" s="1"/>
  <c r="M26" i="117" s="1"/>
  <c r="H35" i="117" s="1"/>
  <c r="H36" i="117" s="1"/>
  <c r="D61" i="129"/>
  <c r="K24" i="120"/>
  <c r="M24" i="120" s="1"/>
  <c r="M26" i="120" s="1"/>
  <c r="H35" i="120" s="1"/>
  <c r="H36" i="120" s="1"/>
  <c r="H37" i="120" s="1"/>
  <c r="H39" i="120" s="1"/>
  <c r="D62" i="129"/>
  <c r="K24" i="118" s="1"/>
  <c r="M24" i="118" s="1"/>
  <c r="M26" i="118" s="1"/>
  <c r="H35" i="118" s="1"/>
  <c r="H36" i="118" s="1"/>
  <c r="H37" i="118" s="1"/>
  <c r="H39" i="118" s="1"/>
  <c r="H31" i="124"/>
  <c r="H36" i="124" s="1"/>
  <c r="H38" i="124" s="1"/>
  <c r="H31" i="123"/>
  <c r="H36" i="123" s="1"/>
  <c r="H38" i="123" s="1"/>
  <c r="I23" i="114"/>
  <c r="K23" i="114" s="1"/>
  <c r="I25" i="114"/>
  <c r="K25" i="114" s="1"/>
  <c r="K69" i="112"/>
  <c r="K48" i="112"/>
  <c r="K24" i="114"/>
  <c r="K31" i="114"/>
  <c r="F22" i="114"/>
  <c r="K83" i="112"/>
  <c r="K91" i="112"/>
  <c r="K50" i="112"/>
  <c r="K68" i="112"/>
  <c r="K86" i="112"/>
  <c r="K30" i="112"/>
  <c r="K21" i="112"/>
  <c r="K67" i="112"/>
  <c r="K107" i="113"/>
  <c r="K43" i="112"/>
  <c r="F84" i="113"/>
  <c r="K21" i="113"/>
  <c r="K101" i="113"/>
  <c r="D64" i="112"/>
  <c r="F64" i="112" s="1"/>
  <c r="D80" i="112"/>
  <c r="F80" i="112" s="1"/>
  <c r="K13" i="112"/>
  <c r="K52" i="112"/>
  <c r="K80" i="112"/>
  <c r="K88" i="112"/>
  <c r="D83" i="113"/>
  <c r="F83" i="113" s="1"/>
  <c r="K67" i="113"/>
  <c r="K75" i="113"/>
  <c r="K84" i="113"/>
  <c r="D65" i="112"/>
  <c r="F65" i="112" s="1"/>
  <c r="K89" i="112"/>
  <c r="K72" i="112"/>
  <c r="K86" i="113"/>
  <c r="F28" i="112"/>
  <c r="K55" i="112"/>
  <c r="K20" i="112"/>
  <c r="K56" i="112"/>
  <c r="K74" i="112"/>
  <c r="K18" i="113"/>
  <c r="F13" i="114"/>
  <c r="D24" i="114"/>
  <c r="D25" i="114" s="1"/>
  <c r="F25" i="114" s="1"/>
  <c r="D13" i="113"/>
  <c r="D18" i="113" s="1"/>
  <c r="D21" i="113" s="1"/>
  <c r="D25" i="113" s="1"/>
  <c r="F25" i="113" s="1"/>
  <c r="K102" i="113"/>
  <c r="K98" i="113"/>
  <c r="K93" i="113"/>
  <c r="K79" i="113"/>
  <c r="K70" i="113"/>
  <c r="K37" i="113"/>
  <c r="K19" i="113"/>
  <c r="K99" i="113"/>
  <c r="K89" i="113"/>
  <c r="K73" i="113"/>
  <c r="K20" i="113"/>
  <c r="D25" i="112"/>
  <c r="F25" i="112" s="1"/>
  <c r="K90" i="112"/>
  <c r="K87" i="112"/>
  <c r="K79" i="112"/>
  <c r="K76" i="112"/>
  <c r="K73" i="112"/>
  <c r="K70" i="112"/>
  <c r="K65" i="112"/>
  <c r="K64" i="112"/>
  <c r="K60" i="112"/>
  <c r="K59" i="112"/>
  <c r="K57" i="112"/>
  <c r="K47" i="112"/>
  <c r="K46" i="112"/>
  <c r="K45" i="112"/>
  <c r="K44" i="112"/>
  <c r="K40" i="112"/>
  <c r="K22" i="112"/>
  <c r="K18" i="112"/>
  <c r="K84" i="112"/>
  <c r="K58" i="112"/>
  <c r="K51" i="112"/>
  <c r="F20" i="112"/>
  <c r="F43" i="112"/>
  <c r="F21" i="112"/>
  <c r="F27" i="112"/>
  <c r="F18" i="112"/>
  <c r="I30" i="114"/>
  <c r="K30" i="114" s="1"/>
  <c r="F92" i="112" l="1"/>
  <c r="F111" i="113"/>
  <c r="I24" i="113"/>
  <c r="K24" i="113" s="1"/>
  <c r="I34" i="113"/>
  <c r="K34" i="113" s="1"/>
  <c r="I15" i="114"/>
  <c r="K15" i="114" s="1"/>
  <c r="I36" i="113"/>
  <c r="K36" i="113" s="1"/>
  <c r="I17" i="114"/>
  <c r="K17" i="114" s="1"/>
  <c r="I27" i="113"/>
  <c r="K27" i="113" s="1"/>
  <c r="D26" i="113"/>
  <c r="F26" i="113" s="1"/>
  <c r="I20" i="114"/>
  <c r="K20" i="114" s="1"/>
  <c r="I30" i="113"/>
  <c r="K30" i="113" s="1"/>
  <c r="F20" i="113"/>
  <c r="D24" i="113"/>
  <c r="F24" i="113" s="1"/>
  <c r="I16" i="114"/>
  <c r="K16" i="114" s="1"/>
  <c r="I38" i="112"/>
  <c r="K38" i="112" s="1"/>
  <c r="F62" i="112"/>
  <c r="F96" i="113"/>
  <c r="K62" i="112"/>
  <c r="D30" i="114"/>
  <c r="F30" i="114" s="1"/>
  <c r="F33" i="114" s="1"/>
  <c r="I31" i="113"/>
  <c r="K31" i="113" s="1"/>
  <c r="I19" i="114"/>
  <c r="K19" i="114" s="1"/>
  <c r="I28" i="112"/>
  <c r="K28" i="112" s="1"/>
  <c r="I28" i="113"/>
  <c r="K28" i="113" s="1"/>
  <c r="H37" i="117"/>
  <c r="H39" i="117" s="1"/>
  <c r="K33" i="114"/>
  <c r="G41" i="114" s="1"/>
  <c r="F77" i="112"/>
  <c r="F21" i="113"/>
  <c r="I25" i="112"/>
  <c r="K25" i="112" s="1"/>
  <c r="K96" i="113"/>
  <c r="F24" i="114"/>
  <c r="D27" i="113"/>
  <c r="D41" i="113" s="1"/>
  <c r="F41" i="113" s="1"/>
  <c r="F81" i="113" s="1"/>
  <c r="F18" i="113"/>
  <c r="F13" i="113"/>
  <c r="I29" i="112"/>
  <c r="K29" i="112" s="1"/>
  <c r="I29" i="113"/>
  <c r="K29" i="113" s="1"/>
  <c r="K111" i="113"/>
  <c r="K92" i="112"/>
  <c r="K77" i="112"/>
  <c r="D26" i="112"/>
  <c r="F26" i="112" s="1"/>
  <c r="F41" i="112" s="1"/>
  <c r="I33" i="113" l="1"/>
  <c r="K33" i="113" s="1"/>
  <c r="I24" i="112"/>
  <c r="K24" i="112" s="1"/>
  <c r="I32" i="113"/>
  <c r="K32" i="113" s="1"/>
  <c r="I37" i="112"/>
  <c r="K37" i="112" s="1"/>
  <c r="I33" i="112"/>
  <c r="K33" i="112" s="1"/>
  <c r="I32" i="112"/>
  <c r="K32" i="112" s="1"/>
  <c r="I35" i="113"/>
  <c r="K35" i="113" s="1"/>
  <c r="I25" i="113"/>
  <c r="K25" i="113" s="1"/>
  <c r="D14" i="113"/>
  <c r="F14" i="113" s="1"/>
  <c r="F16" i="113" s="1"/>
  <c r="D14" i="114"/>
  <c r="F14" i="114" s="1"/>
  <c r="F27" i="114" s="1"/>
  <c r="G35" i="114" s="1"/>
  <c r="G44" i="114" s="1"/>
  <c r="I14" i="114"/>
  <c r="K14" i="114" s="1"/>
  <c r="D113" i="113"/>
  <c r="F113" i="113" s="1"/>
  <c r="D94" i="112"/>
  <c r="F94" i="112" s="1"/>
  <c r="F27" i="113"/>
  <c r="F39" i="113" s="1"/>
  <c r="I26" i="112"/>
  <c r="K26" i="112" s="1"/>
  <c r="I26" i="113"/>
  <c r="K26" i="113" s="1"/>
  <c r="I41" i="113"/>
  <c r="K41" i="113" s="1"/>
  <c r="K81" i="113" s="1"/>
  <c r="I94" i="112"/>
  <c r="K94" i="112" s="1"/>
  <c r="I113" i="113"/>
  <c r="K113" i="113" s="1"/>
  <c r="I21" i="114" l="1"/>
  <c r="K21" i="114" s="1"/>
  <c r="K27" i="114" s="1"/>
  <c r="G39" i="114" s="1"/>
  <c r="G40" i="114" s="1"/>
  <c r="G42" i="114" s="1"/>
  <c r="D14" i="112"/>
  <c r="F14" i="112" s="1"/>
  <c r="F16" i="112" s="1"/>
  <c r="I34" i="112"/>
  <c r="K34" i="112" s="1"/>
  <c r="I35" i="112"/>
  <c r="K35" i="112" s="1"/>
  <c r="G36" i="114"/>
  <c r="G37" i="114"/>
  <c r="K39" i="113"/>
  <c r="I95" i="112" l="1"/>
  <c r="K95" i="112" s="1"/>
  <c r="K96" i="112" s="1"/>
  <c r="G105" i="112" s="1"/>
  <c r="I114" i="113"/>
  <c r="K114" i="113" s="1"/>
  <c r="K115" i="113" s="1"/>
  <c r="G124" i="113" s="1"/>
  <c r="K41" i="112"/>
  <c r="I14" i="112"/>
  <c r="K14" i="112" s="1"/>
  <c r="K16" i="112" s="1"/>
  <c r="D114" i="113"/>
  <c r="F114" i="113" s="1"/>
  <c r="F115" i="113" s="1"/>
  <c r="G118" i="113" s="1"/>
  <c r="G127" i="113" s="1"/>
  <c r="I14" i="113"/>
  <c r="K14" i="113" s="1"/>
  <c r="K16" i="113" s="1"/>
  <c r="G122" i="113" s="1"/>
  <c r="G38" i="114"/>
  <c r="G43" i="114" s="1"/>
  <c r="G45" i="114" s="1"/>
  <c r="D95" i="112"/>
  <c r="F95" i="112" s="1"/>
  <c r="F96" i="112" s="1"/>
  <c r="G103" i="112" l="1"/>
  <c r="G104" i="112" s="1"/>
  <c r="G120" i="113"/>
  <c r="G119" i="113"/>
  <c r="G99" i="112"/>
  <c r="G101" i="112" s="1"/>
  <c r="G123" i="113"/>
  <c r="G125" i="113" s="1"/>
  <c r="G108" i="112" l="1"/>
  <c r="G100" i="112"/>
  <c r="G102" i="112" s="1"/>
  <c r="G121" i="113"/>
  <c r="G126" i="113" s="1"/>
  <c r="G128" i="113" s="1"/>
  <c r="G106" i="112"/>
  <c r="J54" i="68"/>
  <c r="J51" i="68"/>
  <c r="F50" i="68"/>
  <c r="J49" i="68"/>
  <c r="I49" i="68"/>
  <c r="E49" i="68"/>
  <c r="J46" i="68"/>
  <c r="J45" i="68"/>
  <c r="J44" i="68"/>
  <c r="J43" i="68"/>
  <c r="E43" i="68"/>
  <c r="D43" i="68"/>
  <c r="J40" i="68"/>
  <c r="J39" i="68"/>
  <c r="J38" i="68"/>
  <c r="J37" i="68"/>
  <c r="E37" i="68"/>
  <c r="D37" i="68"/>
  <c r="J34" i="68"/>
  <c r="J33" i="68"/>
  <c r="J32" i="68"/>
  <c r="J31" i="68"/>
  <c r="E31" i="68"/>
  <c r="D31" i="68"/>
  <c r="J28" i="68"/>
  <c r="J27" i="68"/>
  <c r="J26" i="68"/>
  <c r="J25" i="68"/>
  <c r="E25" i="68"/>
  <c r="D25" i="68"/>
  <c r="J22" i="68"/>
  <c r="D21" i="68"/>
  <c r="E19" i="68"/>
  <c r="J52" i="66"/>
  <c r="J51" i="66"/>
  <c r="J13" i="66"/>
  <c r="J15" i="66"/>
  <c r="J53" i="66"/>
  <c r="J50" i="66"/>
  <c r="F49" i="66"/>
  <c r="J48" i="66"/>
  <c r="I48" i="66"/>
  <c r="E48" i="66"/>
  <c r="J45" i="66"/>
  <c r="J44" i="66"/>
  <c r="J43" i="66"/>
  <c r="J42" i="66"/>
  <c r="E42" i="66"/>
  <c r="D42" i="66"/>
  <c r="J39" i="66"/>
  <c r="J38" i="66"/>
  <c r="J37" i="66"/>
  <c r="J36" i="66"/>
  <c r="E36" i="66"/>
  <c r="D36" i="66"/>
  <c r="J33" i="66"/>
  <c r="J32" i="66"/>
  <c r="J31" i="66"/>
  <c r="J30" i="66"/>
  <c r="E30" i="66"/>
  <c r="D30" i="66"/>
  <c r="J27" i="66"/>
  <c r="J26" i="66"/>
  <c r="J25" i="66"/>
  <c r="J24" i="66"/>
  <c r="E24" i="66"/>
  <c r="D24" i="66"/>
  <c r="J21" i="66"/>
  <c r="J20" i="66"/>
  <c r="D20" i="66"/>
  <c r="J19" i="66"/>
  <c r="J18" i="66"/>
  <c r="I18" i="66"/>
  <c r="E18" i="66"/>
  <c r="J17" i="66"/>
  <c r="J16" i="66"/>
  <c r="E15" i="66"/>
  <c r="E13" i="66"/>
  <c r="J52" i="67"/>
  <c r="J51" i="67"/>
  <c r="E13" i="67"/>
  <c r="J13" i="67"/>
  <c r="J53" i="67"/>
  <c r="J50" i="67"/>
  <c r="F49" i="67"/>
  <c r="J48" i="67"/>
  <c r="I48" i="67"/>
  <c r="E48" i="67"/>
  <c r="J45" i="67"/>
  <c r="J44" i="67"/>
  <c r="J43" i="67"/>
  <c r="J42" i="67"/>
  <c r="E42" i="67"/>
  <c r="D42" i="67"/>
  <c r="J39" i="67"/>
  <c r="J38" i="67"/>
  <c r="J37" i="67"/>
  <c r="J36" i="67"/>
  <c r="E36" i="67"/>
  <c r="D36" i="67"/>
  <c r="J33" i="67"/>
  <c r="J32" i="67"/>
  <c r="J31" i="67"/>
  <c r="J30" i="67"/>
  <c r="E30" i="67"/>
  <c r="D30" i="67"/>
  <c r="J27" i="67"/>
  <c r="J26" i="67"/>
  <c r="J25" i="67"/>
  <c r="J24" i="67"/>
  <c r="E24" i="67"/>
  <c r="D24" i="67"/>
  <c r="J21" i="67"/>
  <c r="J20" i="67"/>
  <c r="D20" i="67"/>
  <c r="J19" i="67"/>
  <c r="J18" i="67"/>
  <c r="I18" i="67"/>
  <c r="E18" i="67"/>
  <c r="J17" i="67"/>
  <c r="J16" i="67"/>
  <c r="J15" i="67"/>
  <c r="E15" i="67"/>
  <c r="J52" i="65"/>
  <c r="J51" i="65"/>
  <c r="J53" i="65"/>
  <c r="J50" i="65"/>
  <c r="F49" i="65"/>
  <c r="J48" i="65"/>
  <c r="K48" i="65" s="1"/>
  <c r="I48" i="65"/>
  <c r="E48" i="65"/>
  <c r="J45" i="65"/>
  <c r="J44" i="65"/>
  <c r="J43" i="65"/>
  <c r="J42" i="65"/>
  <c r="E42" i="65"/>
  <c r="D42" i="65"/>
  <c r="J39" i="65"/>
  <c r="J38" i="65"/>
  <c r="J37" i="65"/>
  <c r="J36" i="65"/>
  <c r="E36" i="65"/>
  <c r="D36" i="65"/>
  <c r="J33" i="65"/>
  <c r="J32" i="65"/>
  <c r="J31" i="65"/>
  <c r="J30" i="65"/>
  <c r="E30" i="65"/>
  <c r="D30" i="65"/>
  <c r="J27" i="65"/>
  <c r="J26" i="65"/>
  <c r="J25" i="65"/>
  <c r="J24" i="65"/>
  <c r="E24" i="65"/>
  <c r="D24" i="65"/>
  <c r="J21" i="65"/>
  <c r="J20" i="65"/>
  <c r="D20" i="65"/>
  <c r="J19" i="65"/>
  <c r="J18" i="65"/>
  <c r="I18" i="65"/>
  <c r="D18" i="65" s="1"/>
  <c r="E18" i="65"/>
  <c r="J17" i="65"/>
  <c r="J16" i="65"/>
  <c r="J15" i="65"/>
  <c r="E15" i="65"/>
  <c r="J13" i="65"/>
  <c r="E13" i="65"/>
  <c r="J52" i="64"/>
  <c r="J51" i="64"/>
  <c r="J13" i="64"/>
  <c r="E13" i="64"/>
  <c r="J53" i="64"/>
  <c r="J50" i="64"/>
  <c r="F49" i="64"/>
  <c r="J48" i="64"/>
  <c r="I48" i="64"/>
  <c r="E48" i="64"/>
  <c r="J45" i="64"/>
  <c r="J44" i="64"/>
  <c r="J43" i="64"/>
  <c r="J42" i="64"/>
  <c r="E42" i="64"/>
  <c r="D42" i="64"/>
  <c r="J39" i="64"/>
  <c r="J38" i="64"/>
  <c r="J37" i="64"/>
  <c r="J36" i="64"/>
  <c r="E36" i="64"/>
  <c r="D36" i="64"/>
  <c r="J33" i="64"/>
  <c r="J32" i="64"/>
  <c r="J31" i="64"/>
  <c r="J30" i="64"/>
  <c r="E30" i="64"/>
  <c r="D30" i="64"/>
  <c r="J27" i="64"/>
  <c r="J26" i="64"/>
  <c r="J25" i="64"/>
  <c r="J24" i="64"/>
  <c r="E24" i="64"/>
  <c r="D24" i="64"/>
  <c r="J21" i="64"/>
  <c r="J20" i="64"/>
  <c r="D20" i="64"/>
  <c r="J19" i="64"/>
  <c r="J18" i="64"/>
  <c r="I18" i="64"/>
  <c r="D18" i="64" s="1"/>
  <c r="E18" i="64"/>
  <c r="J17" i="64"/>
  <c r="J16" i="64"/>
  <c r="J15" i="64"/>
  <c r="E15" i="64"/>
  <c r="J52" i="63"/>
  <c r="J51" i="63"/>
  <c r="I53" i="63"/>
  <c r="J15" i="63"/>
  <c r="J13" i="63"/>
  <c r="J53" i="63"/>
  <c r="K53" i="63" s="1"/>
  <c r="J50" i="63"/>
  <c r="F49" i="63"/>
  <c r="J48" i="63"/>
  <c r="I48" i="63"/>
  <c r="E48" i="63"/>
  <c r="J45" i="63"/>
  <c r="J44" i="63"/>
  <c r="J43" i="63"/>
  <c r="J42" i="63"/>
  <c r="E42" i="63"/>
  <c r="D42" i="63"/>
  <c r="J39" i="63"/>
  <c r="J38" i="63"/>
  <c r="J37" i="63"/>
  <c r="J36" i="63"/>
  <c r="E36" i="63"/>
  <c r="D36" i="63"/>
  <c r="J33" i="63"/>
  <c r="J32" i="63"/>
  <c r="J31" i="63"/>
  <c r="J30" i="63"/>
  <c r="E30" i="63"/>
  <c r="D30" i="63"/>
  <c r="J27" i="63"/>
  <c r="J26" i="63"/>
  <c r="J25" i="63"/>
  <c r="J24" i="63"/>
  <c r="E24" i="63"/>
  <c r="D24" i="63"/>
  <c r="J21" i="63"/>
  <c r="J20" i="63"/>
  <c r="D20" i="63"/>
  <c r="J19" i="63"/>
  <c r="J18" i="63"/>
  <c r="I18" i="63"/>
  <c r="D18" i="63" s="1"/>
  <c r="E18" i="63"/>
  <c r="J17" i="63"/>
  <c r="J16" i="63"/>
  <c r="E15" i="63"/>
  <c r="E13" i="63"/>
  <c r="I53" i="62"/>
  <c r="J52" i="62"/>
  <c r="J51" i="62"/>
  <c r="J15" i="62"/>
  <c r="J13" i="62"/>
  <c r="E13" i="62"/>
  <c r="J53" i="62"/>
  <c r="J50" i="62"/>
  <c r="F49" i="62"/>
  <c r="J48" i="62"/>
  <c r="I48" i="62"/>
  <c r="E48" i="62"/>
  <c r="J45" i="62"/>
  <c r="J44" i="62"/>
  <c r="J43" i="62"/>
  <c r="J42" i="62"/>
  <c r="E42" i="62"/>
  <c r="D42" i="62"/>
  <c r="J39" i="62"/>
  <c r="J38" i="62"/>
  <c r="J37" i="62"/>
  <c r="J36" i="62"/>
  <c r="E36" i="62"/>
  <c r="D36" i="62"/>
  <c r="J33" i="62"/>
  <c r="J32" i="62"/>
  <c r="J31" i="62"/>
  <c r="J30" i="62"/>
  <c r="E30" i="62"/>
  <c r="D30" i="62"/>
  <c r="J27" i="62"/>
  <c r="J26" i="62"/>
  <c r="J25" i="62"/>
  <c r="J24" i="62"/>
  <c r="E24" i="62"/>
  <c r="D24" i="62"/>
  <c r="J21" i="62"/>
  <c r="J20" i="62"/>
  <c r="D20" i="62"/>
  <c r="J19" i="62"/>
  <c r="J18" i="62"/>
  <c r="I18" i="62"/>
  <c r="D18" i="62" s="1"/>
  <c r="E18" i="62"/>
  <c r="J17" i="62"/>
  <c r="J16" i="62"/>
  <c r="E15" i="62"/>
  <c r="J52" i="61"/>
  <c r="J51" i="61"/>
  <c r="J13" i="61"/>
  <c r="E13" i="61"/>
  <c r="J53" i="61"/>
  <c r="J50" i="61"/>
  <c r="F49" i="61"/>
  <c r="J48" i="61"/>
  <c r="I48" i="61"/>
  <c r="E48" i="61"/>
  <c r="J45" i="61"/>
  <c r="J44" i="61"/>
  <c r="J43" i="61"/>
  <c r="J42" i="61"/>
  <c r="E42" i="61"/>
  <c r="D42" i="61"/>
  <c r="J39" i="61"/>
  <c r="J38" i="61"/>
  <c r="J37" i="61"/>
  <c r="J36" i="61"/>
  <c r="E36" i="61"/>
  <c r="D36" i="61"/>
  <c r="J33" i="61"/>
  <c r="J32" i="61"/>
  <c r="J31" i="61"/>
  <c r="J30" i="61"/>
  <c r="E30" i="61"/>
  <c r="D30" i="61"/>
  <c r="J27" i="61"/>
  <c r="J26" i="61"/>
  <c r="J25" i="61"/>
  <c r="J24" i="61"/>
  <c r="E24" i="61"/>
  <c r="D24" i="61"/>
  <c r="J21" i="61"/>
  <c r="J20" i="61"/>
  <c r="D20" i="61"/>
  <c r="J19" i="61"/>
  <c r="J18" i="61"/>
  <c r="I18" i="61"/>
  <c r="D18" i="61" s="1"/>
  <c r="E18" i="61"/>
  <c r="J17" i="61"/>
  <c r="J16" i="61"/>
  <c r="J15" i="61"/>
  <c r="E15" i="61"/>
  <c r="J52" i="60"/>
  <c r="J51" i="60"/>
  <c r="E13" i="60"/>
  <c r="J13" i="60"/>
  <c r="J53" i="60"/>
  <c r="J50" i="60"/>
  <c r="F49" i="60"/>
  <c r="J48" i="60"/>
  <c r="I48" i="60"/>
  <c r="E48" i="60"/>
  <c r="J45" i="60"/>
  <c r="J44" i="60"/>
  <c r="J43" i="60"/>
  <c r="J42" i="60"/>
  <c r="E42" i="60"/>
  <c r="D42" i="60"/>
  <c r="J39" i="60"/>
  <c r="J38" i="60"/>
  <c r="J37" i="60"/>
  <c r="J36" i="60"/>
  <c r="E36" i="60"/>
  <c r="D36" i="60"/>
  <c r="J33" i="60"/>
  <c r="J32" i="60"/>
  <c r="J31" i="60"/>
  <c r="J30" i="60"/>
  <c r="E30" i="60"/>
  <c r="D30" i="60"/>
  <c r="J27" i="60"/>
  <c r="J26" i="60"/>
  <c r="J25" i="60"/>
  <c r="J24" i="60"/>
  <c r="E24" i="60"/>
  <c r="D24" i="60"/>
  <c r="J21" i="60"/>
  <c r="J20" i="60"/>
  <c r="D20" i="60"/>
  <c r="J19" i="60"/>
  <c r="J18" i="60"/>
  <c r="I18" i="60"/>
  <c r="D18" i="60" s="1"/>
  <c r="E18" i="60"/>
  <c r="J17" i="60"/>
  <c r="J16" i="60"/>
  <c r="J15" i="60"/>
  <c r="E15" i="60"/>
  <c r="J52" i="59"/>
  <c r="J51" i="59"/>
  <c r="J13" i="59"/>
  <c r="E13" i="59"/>
  <c r="J53" i="59"/>
  <c r="J50" i="59"/>
  <c r="F49" i="59"/>
  <c r="J48" i="59"/>
  <c r="I48" i="59"/>
  <c r="E48" i="59"/>
  <c r="J45" i="59"/>
  <c r="J44" i="59"/>
  <c r="J43" i="59"/>
  <c r="J42" i="59"/>
  <c r="E42" i="59"/>
  <c r="D42" i="59"/>
  <c r="J39" i="59"/>
  <c r="J38" i="59"/>
  <c r="J37" i="59"/>
  <c r="J36" i="59"/>
  <c r="E36" i="59"/>
  <c r="D36" i="59"/>
  <c r="J33" i="59"/>
  <c r="J32" i="59"/>
  <c r="J31" i="59"/>
  <c r="J30" i="59"/>
  <c r="E30" i="59"/>
  <c r="D30" i="59"/>
  <c r="J27" i="59"/>
  <c r="J26" i="59"/>
  <c r="J25" i="59"/>
  <c r="J24" i="59"/>
  <c r="E24" i="59"/>
  <c r="D24" i="59"/>
  <c r="J21" i="59"/>
  <c r="J20" i="59"/>
  <c r="D20" i="59"/>
  <c r="J19" i="59"/>
  <c r="J18" i="59"/>
  <c r="I18" i="59"/>
  <c r="E18" i="59"/>
  <c r="J17" i="59"/>
  <c r="J16" i="59"/>
  <c r="J15" i="59"/>
  <c r="E15" i="59"/>
  <c r="E13" i="58"/>
  <c r="J13" i="58"/>
  <c r="J52" i="58"/>
  <c r="J51" i="58"/>
  <c r="J15" i="58"/>
  <c r="J53" i="58"/>
  <c r="J50" i="58"/>
  <c r="F49" i="58"/>
  <c r="J48" i="58"/>
  <c r="I48" i="58"/>
  <c r="E48" i="58"/>
  <c r="J45" i="58"/>
  <c r="J44" i="58"/>
  <c r="J43" i="58"/>
  <c r="J42" i="58"/>
  <c r="E42" i="58"/>
  <c r="D42" i="58"/>
  <c r="J39" i="58"/>
  <c r="J38" i="58"/>
  <c r="J37" i="58"/>
  <c r="J36" i="58"/>
  <c r="E36" i="58"/>
  <c r="D36" i="58"/>
  <c r="J33" i="58"/>
  <c r="J32" i="58"/>
  <c r="J31" i="58"/>
  <c r="J30" i="58"/>
  <c r="E30" i="58"/>
  <c r="D30" i="58"/>
  <c r="J27" i="58"/>
  <c r="J26" i="58"/>
  <c r="J25" i="58"/>
  <c r="J24" i="58"/>
  <c r="E24" i="58"/>
  <c r="D24" i="58"/>
  <c r="J21" i="58"/>
  <c r="J20" i="58"/>
  <c r="D20" i="58"/>
  <c r="J19" i="58"/>
  <c r="J18" i="58"/>
  <c r="I18" i="58"/>
  <c r="D18" i="58" s="1"/>
  <c r="E18" i="58"/>
  <c r="J17" i="58"/>
  <c r="J16" i="58"/>
  <c r="E15" i="58"/>
  <c r="J52" i="57"/>
  <c r="J51" i="57"/>
  <c r="J13" i="57"/>
  <c r="E13" i="57"/>
  <c r="J53" i="57"/>
  <c r="J50" i="57"/>
  <c r="F49" i="57"/>
  <c r="J48" i="57"/>
  <c r="I48" i="57"/>
  <c r="E48" i="57"/>
  <c r="J45" i="57"/>
  <c r="J44" i="57"/>
  <c r="J43" i="57"/>
  <c r="J42" i="57"/>
  <c r="E42" i="57"/>
  <c r="D42" i="57"/>
  <c r="J39" i="57"/>
  <c r="J38" i="57"/>
  <c r="J37" i="57"/>
  <c r="J36" i="57"/>
  <c r="E36" i="57"/>
  <c r="D36" i="57"/>
  <c r="J33" i="57"/>
  <c r="J32" i="57"/>
  <c r="J31" i="57"/>
  <c r="J30" i="57"/>
  <c r="E30" i="57"/>
  <c r="D30" i="57"/>
  <c r="J27" i="57"/>
  <c r="J26" i="57"/>
  <c r="J25" i="57"/>
  <c r="J24" i="57"/>
  <c r="E24" i="57"/>
  <c r="D24" i="57"/>
  <c r="J21" i="57"/>
  <c r="J20" i="57"/>
  <c r="D20" i="57"/>
  <c r="J19" i="57"/>
  <c r="J18" i="57"/>
  <c r="I18" i="57"/>
  <c r="D18" i="57" s="1"/>
  <c r="E18" i="57"/>
  <c r="J17" i="57"/>
  <c r="J16" i="57"/>
  <c r="J15" i="57"/>
  <c r="E15" i="57"/>
  <c r="J52" i="55"/>
  <c r="J51" i="55"/>
  <c r="J52" i="54"/>
  <c r="J51" i="54"/>
  <c r="J52" i="53"/>
  <c r="J51" i="53"/>
  <c r="J52" i="52"/>
  <c r="J51" i="52"/>
  <c r="J52" i="51"/>
  <c r="J51" i="51"/>
  <c r="J52" i="50"/>
  <c r="J51" i="50"/>
  <c r="J52" i="49"/>
  <c r="J51" i="49"/>
  <c r="I53" i="56"/>
  <c r="J52" i="56"/>
  <c r="J51" i="56"/>
  <c r="E13" i="56"/>
  <c r="J13" i="56"/>
  <c r="J53" i="56"/>
  <c r="J50" i="56"/>
  <c r="F49" i="56"/>
  <c r="J48" i="56"/>
  <c r="I48" i="56"/>
  <c r="E48" i="56"/>
  <c r="J45" i="56"/>
  <c r="J44" i="56"/>
  <c r="J43" i="56"/>
  <c r="J42" i="56"/>
  <c r="E42" i="56"/>
  <c r="D42" i="56"/>
  <c r="J39" i="56"/>
  <c r="J38" i="56"/>
  <c r="J37" i="56"/>
  <c r="J36" i="56"/>
  <c r="E36" i="56"/>
  <c r="D36" i="56"/>
  <c r="J33" i="56"/>
  <c r="J32" i="56"/>
  <c r="J31" i="56"/>
  <c r="J30" i="56"/>
  <c r="E30" i="56"/>
  <c r="D30" i="56"/>
  <c r="J27" i="56"/>
  <c r="J26" i="56"/>
  <c r="J25" i="56"/>
  <c r="J24" i="56"/>
  <c r="E24" i="56"/>
  <c r="D24" i="56"/>
  <c r="J21" i="56"/>
  <c r="J20" i="56"/>
  <c r="D20" i="56"/>
  <c r="J19" i="56"/>
  <c r="J18" i="56"/>
  <c r="I18" i="56"/>
  <c r="E18" i="56"/>
  <c r="J17" i="56"/>
  <c r="J16" i="56"/>
  <c r="J15" i="56"/>
  <c r="E15" i="56"/>
  <c r="J42" i="54"/>
  <c r="J36" i="54"/>
  <c r="J30" i="54"/>
  <c r="J24" i="54"/>
  <c r="E13" i="54"/>
  <c r="J13" i="54"/>
  <c r="J42" i="53"/>
  <c r="J36" i="53"/>
  <c r="J30" i="53"/>
  <c r="J24" i="53"/>
  <c r="E13" i="52"/>
  <c r="E13" i="51"/>
  <c r="J13" i="51"/>
  <c r="E13" i="50"/>
  <c r="E13" i="49"/>
  <c r="E13" i="53"/>
  <c r="J13" i="53"/>
  <c r="J13" i="52"/>
  <c r="E24" i="52"/>
  <c r="E30" i="52" s="1"/>
  <c r="E36" i="52" s="1"/>
  <c r="E42" i="52" s="1"/>
  <c r="J42" i="52"/>
  <c r="J36" i="52"/>
  <c r="J30" i="52"/>
  <c r="J24" i="52"/>
  <c r="E24" i="51"/>
  <c r="E30" i="51" s="1"/>
  <c r="J42" i="51"/>
  <c r="J36" i="51"/>
  <c r="J30" i="51"/>
  <c r="J24" i="51"/>
  <c r="E24" i="50"/>
  <c r="E30" i="50" s="1"/>
  <c r="J42" i="50"/>
  <c r="J36" i="50"/>
  <c r="J30" i="50"/>
  <c r="J24" i="50"/>
  <c r="E24" i="49"/>
  <c r="E30" i="49" s="1"/>
  <c r="E36" i="49" s="1"/>
  <c r="E42" i="49" s="1"/>
  <c r="J42" i="49"/>
  <c r="J36" i="49"/>
  <c r="J30" i="49"/>
  <c r="J24" i="49"/>
  <c r="E42" i="55"/>
  <c r="D42" i="55"/>
  <c r="E36" i="55"/>
  <c r="D36" i="55"/>
  <c r="E30" i="55"/>
  <c r="D30" i="55"/>
  <c r="E24" i="55"/>
  <c r="D24" i="55"/>
  <c r="J42" i="55"/>
  <c r="J36" i="55"/>
  <c r="J30" i="55"/>
  <c r="J24" i="55"/>
  <c r="E13" i="55"/>
  <c r="J13" i="55"/>
  <c r="J53" i="55"/>
  <c r="J50" i="55"/>
  <c r="F49" i="55"/>
  <c r="J48" i="55"/>
  <c r="I48" i="55"/>
  <c r="E48" i="55"/>
  <c r="J45" i="55"/>
  <c r="J44" i="55"/>
  <c r="J43" i="55"/>
  <c r="J39" i="55"/>
  <c r="J38" i="55"/>
  <c r="J37" i="55"/>
  <c r="J33" i="55"/>
  <c r="J32" i="55"/>
  <c r="J31" i="55"/>
  <c r="J27" i="55"/>
  <c r="J26" i="55"/>
  <c r="J25" i="55"/>
  <c r="J21" i="55"/>
  <c r="J20" i="55"/>
  <c r="D20" i="55"/>
  <c r="J19" i="55"/>
  <c r="J18" i="55"/>
  <c r="I18" i="55"/>
  <c r="D18" i="55" s="1"/>
  <c r="E18" i="55"/>
  <c r="J17" i="55"/>
  <c r="J16" i="55"/>
  <c r="J15" i="55"/>
  <c r="E15" i="55"/>
  <c r="J53" i="54"/>
  <c r="J50" i="54"/>
  <c r="F49" i="54"/>
  <c r="J48" i="54"/>
  <c r="I48" i="54"/>
  <c r="E48" i="54"/>
  <c r="J45" i="54"/>
  <c r="J44" i="54"/>
  <c r="J43" i="54"/>
  <c r="E42" i="54"/>
  <c r="D42" i="54"/>
  <c r="J39" i="54"/>
  <c r="J38" i="54"/>
  <c r="J37" i="54"/>
  <c r="E36" i="54"/>
  <c r="D36" i="54"/>
  <c r="J33" i="54"/>
  <c r="J32" i="54"/>
  <c r="J31" i="54"/>
  <c r="E30" i="54"/>
  <c r="D30" i="54"/>
  <c r="J27" i="54"/>
  <c r="J26" i="54"/>
  <c r="J25" i="54"/>
  <c r="E24" i="54"/>
  <c r="D24" i="54"/>
  <c r="J21" i="54"/>
  <c r="J20" i="54"/>
  <c r="D20" i="54"/>
  <c r="J19" i="54"/>
  <c r="J18" i="54"/>
  <c r="I18" i="54"/>
  <c r="D18" i="54" s="1"/>
  <c r="E18" i="54"/>
  <c r="J17" i="54"/>
  <c r="J16" i="54"/>
  <c r="J15" i="54"/>
  <c r="E15" i="54"/>
  <c r="J53" i="53"/>
  <c r="J50" i="53"/>
  <c r="F49" i="53"/>
  <c r="J48" i="53"/>
  <c r="I48" i="53"/>
  <c r="E48" i="53"/>
  <c r="J45" i="53"/>
  <c r="J44" i="53"/>
  <c r="J43" i="53"/>
  <c r="E42" i="53"/>
  <c r="D42" i="53"/>
  <c r="J39" i="53"/>
  <c r="J38" i="53"/>
  <c r="J37" i="53"/>
  <c r="E36" i="53"/>
  <c r="D36" i="53"/>
  <c r="J33" i="53"/>
  <c r="J32" i="53"/>
  <c r="J31" i="53"/>
  <c r="E30" i="53"/>
  <c r="D30" i="53"/>
  <c r="J27" i="53"/>
  <c r="J26" i="53"/>
  <c r="J25" i="53"/>
  <c r="E24" i="53"/>
  <c r="D24" i="53"/>
  <c r="J21" i="53"/>
  <c r="J20" i="53"/>
  <c r="D20" i="53"/>
  <c r="J19" i="53"/>
  <c r="J18" i="53"/>
  <c r="I18" i="53"/>
  <c r="D18" i="53" s="1"/>
  <c r="E18" i="53"/>
  <c r="J17" i="53"/>
  <c r="J16" i="53"/>
  <c r="J15" i="53"/>
  <c r="E15" i="53"/>
  <c r="J13" i="50"/>
  <c r="J13" i="49"/>
  <c r="J53" i="52"/>
  <c r="J50" i="52"/>
  <c r="F49" i="52"/>
  <c r="J48" i="52"/>
  <c r="I48" i="52"/>
  <c r="E48" i="52"/>
  <c r="J45" i="52"/>
  <c r="J44" i="52"/>
  <c r="J43" i="52"/>
  <c r="D42" i="52"/>
  <c r="J39" i="52"/>
  <c r="J38" i="52"/>
  <c r="J37" i="52"/>
  <c r="D36" i="52"/>
  <c r="J33" i="52"/>
  <c r="J32" i="52"/>
  <c r="J31" i="52"/>
  <c r="D30" i="52"/>
  <c r="J27" i="52"/>
  <c r="J26" i="52"/>
  <c r="J25" i="52"/>
  <c r="D24" i="52"/>
  <c r="J21" i="52"/>
  <c r="J20" i="52"/>
  <c r="D20" i="52"/>
  <c r="J19" i="52"/>
  <c r="J18" i="52"/>
  <c r="I18" i="52"/>
  <c r="D18" i="52" s="1"/>
  <c r="E18" i="52"/>
  <c r="J17" i="52"/>
  <c r="J16" i="52"/>
  <c r="J15" i="52"/>
  <c r="E15" i="52"/>
  <c r="J53" i="50"/>
  <c r="K53" i="50" s="1"/>
  <c r="I53" i="51"/>
  <c r="J53" i="51"/>
  <c r="J15" i="50"/>
  <c r="J15" i="51"/>
  <c r="J50" i="51"/>
  <c r="F49" i="51"/>
  <c r="J48" i="51"/>
  <c r="I48" i="51"/>
  <c r="E48" i="51"/>
  <c r="J45" i="51"/>
  <c r="J44" i="51"/>
  <c r="J43" i="51"/>
  <c r="D42" i="51"/>
  <c r="J39" i="51"/>
  <c r="J38" i="51"/>
  <c r="J37" i="51"/>
  <c r="D36" i="51"/>
  <c r="J33" i="51"/>
  <c r="J32" i="51"/>
  <c r="J31" i="51"/>
  <c r="D30" i="51"/>
  <c r="J27" i="51"/>
  <c r="J26" i="51"/>
  <c r="J25" i="51"/>
  <c r="D24" i="51"/>
  <c r="J21" i="51"/>
  <c r="J20" i="51"/>
  <c r="D20" i="51"/>
  <c r="J19" i="51"/>
  <c r="J18" i="51"/>
  <c r="I18" i="51"/>
  <c r="D18" i="51" s="1"/>
  <c r="E18" i="51"/>
  <c r="J17" i="51"/>
  <c r="J16" i="51"/>
  <c r="E15" i="51"/>
  <c r="J50" i="50"/>
  <c r="F49" i="50"/>
  <c r="J48" i="50"/>
  <c r="I48" i="50"/>
  <c r="E48" i="50"/>
  <c r="J45" i="50"/>
  <c r="J44" i="50"/>
  <c r="J43" i="50"/>
  <c r="D42" i="50"/>
  <c r="J39" i="50"/>
  <c r="J38" i="50"/>
  <c r="J37" i="50"/>
  <c r="D36" i="50"/>
  <c r="J33" i="50"/>
  <c r="J32" i="50"/>
  <c r="J31" i="50"/>
  <c r="D30" i="50"/>
  <c r="J27" i="50"/>
  <c r="J26" i="50"/>
  <c r="J25" i="50"/>
  <c r="D24" i="50"/>
  <c r="J21" i="50"/>
  <c r="J20" i="50"/>
  <c r="D20" i="50"/>
  <c r="J19" i="50"/>
  <c r="J18" i="50"/>
  <c r="I18" i="50"/>
  <c r="E18" i="50"/>
  <c r="J17" i="50"/>
  <c r="J16" i="50"/>
  <c r="E15" i="50"/>
  <c r="I53" i="49"/>
  <c r="J53" i="49"/>
  <c r="J19" i="49"/>
  <c r="J17" i="49"/>
  <c r="J16" i="49"/>
  <c r="J15" i="49"/>
  <c r="I13" i="50"/>
  <c r="K13" i="50" s="1"/>
  <c r="I17" i="50"/>
  <c r="J50" i="49"/>
  <c r="F49" i="49"/>
  <c r="J48" i="49"/>
  <c r="I48" i="49"/>
  <c r="E48" i="49"/>
  <c r="J45" i="49"/>
  <c r="J44" i="49"/>
  <c r="J43" i="49"/>
  <c r="J39" i="49"/>
  <c r="J38" i="49"/>
  <c r="J37" i="49"/>
  <c r="J33" i="49"/>
  <c r="J32" i="49"/>
  <c r="J31" i="49"/>
  <c r="J27" i="49"/>
  <c r="J26" i="49"/>
  <c r="J25" i="49"/>
  <c r="J21" i="49"/>
  <c r="J20" i="49"/>
  <c r="D20" i="49"/>
  <c r="J18" i="49"/>
  <c r="I18" i="49"/>
  <c r="D18" i="49" s="1"/>
  <c r="E18" i="49"/>
  <c r="E15" i="49"/>
  <c r="J54" i="42"/>
  <c r="J53" i="42"/>
  <c r="J13" i="42"/>
  <c r="J52" i="42"/>
  <c r="F51" i="42"/>
  <c r="J50" i="42"/>
  <c r="I50" i="42"/>
  <c r="E50" i="42"/>
  <c r="J47" i="42"/>
  <c r="J46" i="42"/>
  <c r="J45" i="42"/>
  <c r="J44" i="42"/>
  <c r="E44" i="42"/>
  <c r="D44" i="42"/>
  <c r="J41" i="42"/>
  <c r="J40" i="42"/>
  <c r="J39" i="42"/>
  <c r="J38" i="42"/>
  <c r="E38" i="42"/>
  <c r="D38" i="42"/>
  <c r="J35" i="42"/>
  <c r="J34" i="42"/>
  <c r="J33" i="42"/>
  <c r="J32" i="42"/>
  <c r="E32" i="42"/>
  <c r="D32" i="42"/>
  <c r="J28" i="42"/>
  <c r="J27" i="42"/>
  <c r="J26" i="42"/>
  <c r="J25" i="42"/>
  <c r="E25" i="42"/>
  <c r="D25" i="42"/>
  <c r="J22" i="42"/>
  <c r="J21" i="42"/>
  <c r="D21" i="42"/>
  <c r="J20" i="42"/>
  <c r="J19" i="42"/>
  <c r="I19" i="42"/>
  <c r="D19" i="42" s="1"/>
  <c r="E19" i="42"/>
  <c r="J18" i="42"/>
  <c r="J17" i="42"/>
  <c r="J16" i="42"/>
  <c r="J15" i="42"/>
  <c r="J14" i="42"/>
  <c r="E14" i="42"/>
  <c r="E13" i="42"/>
  <c r="J54" i="41"/>
  <c r="J53" i="41"/>
  <c r="J52" i="41"/>
  <c r="F51" i="41"/>
  <c r="J50" i="41"/>
  <c r="I50" i="41"/>
  <c r="E50" i="41"/>
  <c r="J47" i="41"/>
  <c r="J46" i="41"/>
  <c r="J45" i="41"/>
  <c r="J44" i="41"/>
  <c r="E44" i="41"/>
  <c r="D44" i="41"/>
  <c r="J41" i="41"/>
  <c r="J40" i="41"/>
  <c r="J39" i="41"/>
  <c r="J38" i="41"/>
  <c r="E38" i="41"/>
  <c r="D38" i="41"/>
  <c r="J35" i="41"/>
  <c r="J34" i="41"/>
  <c r="J33" i="41"/>
  <c r="J32" i="41"/>
  <c r="E32" i="41"/>
  <c r="D32" i="41"/>
  <c r="J28" i="41"/>
  <c r="J27" i="41"/>
  <c r="J26" i="41"/>
  <c r="J25" i="41"/>
  <c r="E25" i="41"/>
  <c r="D25" i="41"/>
  <c r="J22" i="41"/>
  <c r="J21" i="41"/>
  <c r="D21" i="41"/>
  <c r="J20" i="41"/>
  <c r="J19" i="41"/>
  <c r="I19" i="41"/>
  <c r="D19" i="41" s="1"/>
  <c r="E19" i="41"/>
  <c r="J18" i="41"/>
  <c r="J17" i="41"/>
  <c r="J16" i="41"/>
  <c r="J15" i="41"/>
  <c r="J14" i="41"/>
  <c r="E14" i="41"/>
  <c r="J13" i="41"/>
  <c r="E13" i="41"/>
  <c r="J54" i="40"/>
  <c r="J53" i="40"/>
  <c r="J52" i="40"/>
  <c r="F51" i="40"/>
  <c r="J50" i="40"/>
  <c r="I50" i="40"/>
  <c r="E50" i="40"/>
  <c r="J47" i="40"/>
  <c r="J46" i="40"/>
  <c r="J45" i="40"/>
  <c r="J44" i="40"/>
  <c r="E44" i="40"/>
  <c r="D44" i="40"/>
  <c r="J41" i="40"/>
  <c r="J40" i="40"/>
  <c r="J39" i="40"/>
  <c r="J38" i="40"/>
  <c r="E38" i="40"/>
  <c r="D38" i="40"/>
  <c r="J35" i="40"/>
  <c r="J34" i="40"/>
  <c r="J33" i="40"/>
  <c r="J32" i="40"/>
  <c r="E32" i="40"/>
  <c r="D32" i="40"/>
  <c r="J28" i="40"/>
  <c r="J27" i="40"/>
  <c r="J26" i="40"/>
  <c r="J25" i="40"/>
  <c r="E25" i="40"/>
  <c r="D25" i="40"/>
  <c r="J22" i="40"/>
  <c r="J21" i="40"/>
  <c r="D21" i="40"/>
  <c r="J20" i="40"/>
  <c r="J19" i="40"/>
  <c r="I19" i="40"/>
  <c r="D19" i="40" s="1"/>
  <c r="E19" i="40"/>
  <c r="J18" i="40"/>
  <c r="J17" i="40"/>
  <c r="J16" i="40"/>
  <c r="J15" i="40"/>
  <c r="J14" i="40"/>
  <c r="E14" i="40"/>
  <c r="J13" i="40"/>
  <c r="E13" i="40"/>
  <c r="J54" i="39"/>
  <c r="J53" i="39"/>
  <c r="J52" i="39"/>
  <c r="F51" i="39"/>
  <c r="J50" i="39"/>
  <c r="I50" i="39"/>
  <c r="E50" i="39"/>
  <c r="J47" i="39"/>
  <c r="J46" i="39"/>
  <c r="J45" i="39"/>
  <c r="J44" i="39"/>
  <c r="E44" i="39"/>
  <c r="D44" i="39"/>
  <c r="J41" i="39"/>
  <c r="J40" i="39"/>
  <c r="J39" i="39"/>
  <c r="J38" i="39"/>
  <c r="E38" i="39"/>
  <c r="D38" i="39"/>
  <c r="J35" i="39"/>
  <c r="J34" i="39"/>
  <c r="J33" i="39"/>
  <c r="J32" i="39"/>
  <c r="E32" i="39"/>
  <c r="D32" i="39"/>
  <c r="J28" i="39"/>
  <c r="J27" i="39"/>
  <c r="J26" i="39"/>
  <c r="J25" i="39"/>
  <c r="E25" i="39"/>
  <c r="D25" i="39"/>
  <c r="J22" i="39"/>
  <c r="J21" i="39"/>
  <c r="D21" i="39"/>
  <c r="J20" i="39"/>
  <c r="J19" i="39"/>
  <c r="I19" i="39"/>
  <c r="D19" i="39" s="1"/>
  <c r="E19" i="39"/>
  <c r="J18" i="39"/>
  <c r="J17" i="39"/>
  <c r="J16" i="39"/>
  <c r="J15" i="39"/>
  <c r="J14" i="39"/>
  <c r="E14" i="39"/>
  <c r="J13" i="39"/>
  <c r="E13" i="39"/>
  <c r="J54" i="38"/>
  <c r="J53" i="38"/>
  <c r="J13" i="38"/>
  <c r="J52" i="38"/>
  <c r="F51" i="38"/>
  <c r="J50" i="38"/>
  <c r="I50" i="38"/>
  <c r="E50" i="38"/>
  <c r="J47" i="38"/>
  <c r="J46" i="38"/>
  <c r="J45" i="38"/>
  <c r="J44" i="38"/>
  <c r="E44" i="38"/>
  <c r="D44" i="38"/>
  <c r="J41" i="38"/>
  <c r="J40" i="38"/>
  <c r="J39" i="38"/>
  <c r="J38" i="38"/>
  <c r="E38" i="38"/>
  <c r="D38" i="38"/>
  <c r="J35" i="38"/>
  <c r="J34" i="38"/>
  <c r="J33" i="38"/>
  <c r="J32" i="38"/>
  <c r="E32" i="38"/>
  <c r="D32" i="38"/>
  <c r="J28" i="38"/>
  <c r="J27" i="38"/>
  <c r="J26" i="38"/>
  <c r="J25" i="38"/>
  <c r="E25" i="38"/>
  <c r="D25" i="38"/>
  <c r="J22" i="38"/>
  <c r="J21" i="38"/>
  <c r="D21" i="38"/>
  <c r="J20" i="38"/>
  <c r="J19" i="38"/>
  <c r="I19" i="38"/>
  <c r="D19" i="38" s="1"/>
  <c r="E19" i="38"/>
  <c r="J18" i="38"/>
  <c r="J17" i="38"/>
  <c r="J16" i="38"/>
  <c r="J15" i="38"/>
  <c r="J14" i="38"/>
  <c r="E14" i="38"/>
  <c r="E13" i="38"/>
  <c r="J54" i="37"/>
  <c r="J53" i="37"/>
  <c r="J13" i="37"/>
  <c r="J52" i="37"/>
  <c r="F51" i="37"/>
  <c r="J50" i="37"/>
  <c r="I50" i="37"/>
  <c r="E50" i="37"/>
  <c r="J47" i="37"/>
  <c r="J46" i="37"/>
  <c r="J45" i="37"/>
  <c r="J44" i="37"/>
  <c r="E44" i="37"/>
  <c r="D44" i="37"/>
  <c r="J41" i="37"/>
  <c r="J40" i="37"/>
  <c r="J39" i="37"/>
  <c r="J38" i="37"/>
  <c r="E38" i="37"/>
  <c r="D38" i="37"/>
  <c r="J35" i="37"/>
  <c r="J34" i="37"/>
  <c r="J33" i="37"/>
  <c r="J32" i="37"/>
  <c r="E32" i="37"/>
  <c r="D32" i="37"/>
  <c r="J28" i="37"/>
  <c r="J27" i="37"/>
  <c r="J26" i="37"/>
  <c r="J25" i="37"/>
  <c r="E25" i="37"/>
  <c r="D25" i="37"/>
  <c r="J22" i="37"/>
  <c r="J21" i="37"/>
  <c r="D21" i="37"/>
  <c r="J20" i="37"/>
  <c r="J19" i="37"/>
  <c r="I19" i="37"/>
  <c r="D19" i="37" s="1"/>
  <c r="E19" i="37"/>
  <c r="J18" i="37"/>
  <c r="J17" i="37"/>
  <c r="J16" i="37"/>
  <c r="J15" i="37"/>
  <c r="J14" i="37"/>
  <c r="E14" i="37"/>
  <c r="E13" i="37"/>
  <c r="J54" i="36"/>
  <c r="J53" i="36"/>
  <c r="J13" i="36"/>
  <c r="J52" i="36"/>
  <c r="F51" i="36"/>
  <c r="J50" i="36"/>
  <c r="I50" i="36"/>
  <c r="E50" i="36"/>
  <c r="J47" i="36"/>
  <c r="J46" i="36"/>
  <c r="J45" i="36"/>
  <c r="J44" i="36"/>
  <c r="E44" i="36"/>
  <c r="D44" i="36"/>
  <c r="J41" i="36"/>
  <c r="J40" i="36"/>
  <c r="J39" i="36"/>
  <c r="J38" i="36"/>
  <c r="E38" i="36"/>
  <c r="D38" i="36"/>
  <c r="J35" i="36"/>
  <c r="J34" i="36"/>
  <c r="J33" i="36"/>
  <c r="J32" i="36"/>
  <c r="E32" i="36"/>
  <c r="D32" i="36"/>
  <c r="J28" i="36"/>
  <c r="J27" i="36"/>
  <c r="J26" i="36"/>
  <c r="J25" i="36"/>
  <c r="E25" i="36"/>
  <c r="D25" i="36"/>
  <c r="J22" i="36"/>
  <c r="J21" i="36"/>
  <c r="D21" i="36"/>
  <c r="J20" i="36"/>
  <c r="J19" i="36"/>
  <c r="I19" i="36"/>
  <c r="D19" i="36" s="1"/>
  <c r="E19" i="36"/>
  <c r="J18" i="36"/>
  <c r="J17" i="36"/>
  <c r="J16" i="36"/>
  <c r="J15" i="36"/>
  <c r="J14" i="36"/>
  <c r="E14" i="36"/>
  <c r="E13" i="36"/>
  <c r="J13" i="35"/>
  <c r="J54" i="35"/>
  <c r="J53" i="35"/>
  <c r="J52" i="35"/>
  <c r="F51" i="35"/>
  <c r="J50" i="35"/>
  <c r="I50" i="35"/>
  <c r="E50" i="35"/>
  <c r="J47" i="35"/>
  <c r="J46" i="35"/>
  <c r="J45" i="35"/>
  <c r="J44" i="35"/>
  <c r="E44" i="35"/>
  <c r="D44" i="35"/>
  <c r="J41" i="35"/>
  <c r="J40" i="35"/>
  <c r="J39" i="35"/>
  <c r="J38" i="35"/>
  <c r="E38" i="35"/>
  <c r="D38" i="35"/>
  <c r="J35" i="35"/>
  <c r="J34" i="35"/>
  <c r="J33" i="35"/>
  <c r="J32" i="35"/>
  <c r="E32" i="35"/>
  <c r="D32" i="35"/>
  <c r="J28" i="35"/>
  <c r="J27" i="35"/>
  <c r="J26" i="35"/>
  <c r="J25" i="35"/>
  <c r="E25" i="35"/>
  <c r="D25" i="35"/>
  <c r="J22" i="35"/>
  <c r="J21" i="35"/>
  <c r="D21" i="35"/>
  <c r="J20" i="35"/>
  <c r="J19" i="35"/>
  <c r="I19" i="35"/>
  <c r="D19" i="35" s="1"/>
  <c r="E19" i="35"/>
  <c r="J18" i="35"/>
  <c r="J17" i="35"/>
  <c r="J16" i="35"/>
  <c r="J15" i="35"/>
  <c r="J14" i="35"/>
  <c r="E14" i="35"/>
  <c r="E13" i="35"/>
  <c r="J54" i="30"/>
  <c r="J53" i="30"/>
  <c r="J54" i="26"/>
  <c r="J53" i="26"/>
  <c r="J56" i="23"/>
  <c r="J55" i="23"/>
  <c r="J56" i="22"/>
  <c r="J55" i="22"/>
  <c r="J56" i="21"/>
  <c r="J55" i="21"/>
  <c r="J55" i="17"/>
  <c r="J54" i="34"/>
  <c r="J53" i="34"/>
  <c r="J52" i="34"/>
  <c r="F51" i="34"/>
  <c r="J50" i="34"/>
  <c r="I50" i="34"/>
  <c r="E50" i="34"/>
  <c r="J47" i="34"/>
  <c r="J46" i="34"/>
  <c r="J45" i="34"/>
  <c r="J44" i="34"/>
  <c r="E44" i="34"/>
  <c r="D44" i="34"/>
  <c r="J41" i="34"/>
  <c r="J40" i="34"/>
  <c r="J39" i="34"/>
  <c r="J38" i="34"/>
  <c r="E38" i="34"/>
  <c r="D38" i="34"/>
  <c r="J35" i="34"/>
  <c r="J34" i="34"/>
  <c r="J33" i="34"/>
  <c r="J32" i="34"/>
  <c r="E32" i="34"/>
  <c r="D32" i="34"/>
  <c r="J28" i="34"/>
  <c r="J27" i="34"/>
  <c r="J26" i="34"/>
  <c r="J25" i="34"/>
  <c r="E25" i="34"/>
  <c r="D25" i="34"/>
  <c r="J22" i="34"/>
  <c r="J21" i="34"/>
  <c r="D21" i="34"/>
  <c r="J20" i="34"/>
  <c r="J19" i="34"/>
  <c r="I19" i="34"/>
  <c r="E19" i="34"/>
  <c r="J18" i="34"/>
  <c r="J17" i="34"/>
  <c r="J16" i="34"/>
  <c r="J15" i="34"/>
  <c r="J14" i="34"/>
  <c r="E14" i="34"/>
  <c r="J13" i="34"/>
  <c r="E13" i="34"/>
  <c r="J54" i="31"/>
  <c r="J53" i="31"/>
  <c r="J44" i="31"/>
  <c r="J38" i="31"/>
  <c r="J32" i="31"/>
  <c r="J25" i="31"/>
  <c r="J54" i="32"/>
  <c r="J53" i="32"/>
  <c r="J44" i="32"/>
  <c r="J38" i="32"/>
  <c r="J32" i="32"/>
  <c r="J25" i="32"/>
  <c r="J54" i="33"/>
  <c r="J53" i="33"/>
  <c r="J44" i="33"/>
  <c r="J38" i="33"/>
  <c r="J32" i="33"/>
  <c r="J25" i="33"/>
  <c r="J13" i="33"/>
  <c r="J52" i="33"/>
  <c r="F51" i="33"/>
  <c r="J50" i="33"/>
  <c r="I50" i="33"/>
  <c r="E50" i="33"/>
  <c r="J47" i="33"/>
  <c r="J46" i="33"/>
  <c r="J45" i="33"/>
  <c r="E44" i="33"/>
  <c r="D44" i="33"/>
  <c r="J41" i="33"/>
  <c r="J40" i="33"/>
  <c r="J39" i="33"/>
  <c r="E38" i="33"/>
  <c r="D38" i="33"/>
  <c r="J35" i="33"/>
  <c r="J34" i="33"/>
  <c r="J33" i="33"/>
  <c r="E32" i="33"/>
  <c r="D32" i="33"/>
  <c r="J28" i="33"/>
  <c r="J27" i="33"/>
  <c r="J26" i="33"/>
  <c r="E25" i="33"/>
  <c r="D25" i="33"/>
  <c r="J22" i="33"/>
  <c r="J21" i="33"/>
  <c r="D21" i="33"/>
  <c r="J20" i="33"/>
  <c r="J19" i="33"/>
  <c r="I19" i="33"/>
  <c r="D19" i="33" s="1"/>
  <c r="E19" i="33"/>
  <c r="J18" i="33"/>
  <c r="J17" i="33"/>
  <c r="J16" i="33"/>
  <c r="J15" i="33"/>
  <c r="J14" i="33"/>
  <c r="E14" i="33"/>
  <c r="E13" i="33"/>
  <c r="J13" i="32"/>
  <c r="J52" i="32"/>
  <c r="F51" i="32"/>
  <c r="J50" i="32"/>
  <c r="I50" i="32"/>
  <c r="E50" i="32"/>
  <c r="J47" i="32"/>
  <c r="J46" i="32"/>
  <c r="J45" i="32"/>
  <c r="E44" i="32"/>
  <c r="D44" i="32"/>
  <c r="J41" i="32"/>
  <c r="J40" i="32"/>
  <c r="J39" i="32"/>
  <c r="E38" i="32"/>
  <c r="D38" i="32"/>
  <c r="J35" i="32"/>
  <c r="J34" i="32"/>
  <c r="J33" i="32"/>
  <c r="E32" i="32"/>
  <c r="D32" i="32"/>
  <c r="J28" i="32"/>
  <c r="J27" i="32"/>
  <c r="J26" i="32"/>
  <c r="E25" i="32"/>
  <c r="D25" i="32"/>
  <c r="J22" i="32"/>
  <c r="J21" i="32"/>
  <c r="D21" i="32"/>
  <c r="J20" i="32"/>
  <c r="J19" i="32"/>
  <c r="I19" i="32"/>
  <c r="D19" i="32" s="1"/>
  <c r="E19" i="32"/>
  <c r="J18" i="32"/>
  <c r="J17" i="32"/>
  <c r="J16" i="32"/>
  <c r="J15" i="32"/>
  <c r="J14" i="32"/>
  <c r="E14" i="32"/>
  <c r="E13" i="32"/>
  <c r="E13" i="31"/>
  <c r="J14" i="31"/>
  <c r="J13" i="31"/>
  <c r="J52" i="31"/>
  <c r="F51" i="31"/>
  <c r="J50" i="31"/>
  <c r="K50" i="31" s="1"/>
  <c r="I50" i="31"/>
  <c r="E50" i="31"/>
  <c r="J22" i="31"/>
  <c r="J21" i="31"/>
  <c r="D21" i="31"/>
  <c r="J20" i="31"/>
  <c r="J19" i="31"/>
  <c r="E19" i="31"/>
  <c r="J18" i="31"/>
  <c r="J17" i="31"/>
  <c r="J16" i="31"/>
  <c r="J15" i="31"/>
  <c r="E14" i="31"/>
  <c r="J13" i="30"/>
  <c r="J52" i="30"/>
  <c r="F51" i="30"/>
  <c r="J50" i="30"/>
  <c r="I50" i="30"/>
  <c r="E50" i="30"/>
  <c r="J23" i="30"/>
  <c r="J22" i="30"/>
  <c r="D22" i="30"/>
  <c r="J21" i="30"/>
  <c r="J20" i="30"/>
  <c r="E20" i="30"/>
  <c r="J19" i="30"/>
  <c r="J18" i="30"/>
  <c r="J17" i="30"/>
  <c r="J16" i="30"/>
  <c r="J15" i="30"/>
  <c r="E15" i="30"/>
  <c r="E13" i="30"/>
  <c r="J54" i="29"/>
  <c r="J53" i="29"/>
  <c r="J52" i="29"/>
  <c r="F51" i="29"/>
  <c r="J50" i="29"/>
  <c r="I50" i="29"/>
  <c r="E50" i="29"/>
  <c r="J23" i="29"/>
  <c r="J22" i="29"/>
  <c r="D22" i="29"/>
  <c r="J21" i="29"/>
  <c r="J20" i="29"/>
  <c r="E20" i="29"/>
  <c r="J19" i="29"/>
  <c r="J18" i="29"/>
  <c r="J17" i="29"/>
  <c r="J16" i="29"/>
  <c r="J15" i="29"/>
  <c r="E15" i="29"/>
  <c r="J13" i="29"/>
  <c r="E13" i="29"/>
  <c r="J54" i="28"/>
  <c r="J53" i="28"/>
  <c r="J13" i="28"/>
  <c r="J52" i="28"/>
  <c r="F51" i="28"/>
  <c r="J50" i="28"/>
  <c r="I50" i="28"/>
  <c r="E50" i="28"/>
  <c r="J23" i="28"/>
  <c r="J22" i="28"/>
  <c r="D22" i="28"/>
  <c r="J21" i="28"/>
  <c r="J20" i="28"/>
  <c r="E20" i="28"/>
  <c r="J19" i="28"/>
  <c r="J18" i="28"/>
  <c r="J17" i="28"/>
  <c r="J16" i="28"/>
  <c r="J15" i="28"/>
  <c r="E15" i="28"/>
  <c r="E13" i="28"/>
  <c r="J54" i="27"/>
  <c r="J53" i="27"/>
  <c r="J52" i="27"/>
  <c r="F51" i="27"/>
  <c r="J50" i="27"/>
  <c r="I50" i="27"/>
  <c r="E50" i="27"/>
  <c r="J23" i="27"/>
  <c r="J22" i="27"/>
  <c r="D22" i="27"/>
  <c r="J21" i="27"/>
  <c r="J20" i="27"/>
  <c r="E20" i="27"/>
  <c r="J19" i="27"/>
  <c r="J18" i="27"/>
  <c r="J17" i="27"/>
  <c r="J16" i="27"/>
  <c r="J15" i="27"/>
  <c r="E15" i="27"/>
  <c r="J13" i="27"/>
  <c r="E13" i="27"/>
  <c r="J56" i="24"/>
  <c r="J55" i="24"/>
  <c r="J52" i="26"/>
  <c r="F51" i="26"/>
  <c r="J50" i="26"/>
  <c r="I50" i="26"/>
  <c r="E50" i="26"/>
  <c r="J23" i="26"/>
  <c r="J22" i="26"/>
  <c r="D22" i="26"/>
  <c r="J21" i="26"/>
  <c r="J20" i="26"/>
  <c r="E20" i="26"/>
  <c r="J19" i="26"/>
  <c r="J18" i="26"/>
  <c r="J17" i="26"/>
  <c r="J16" i="26"/>
  <c r="J15" i="26"/>
  <c r="E15" i="26"/>
  <c r="J13" i="26"/>
  <c r="E13" i="26"/>
  <c r="J54" i="25"/>
  <c r="J53" i="25"/>
  <c r="J13" i="25"/>
  <c r="J52" i="25"/>
  <c r="F51" i="25"/>
  <c r="J50" i="25"/>
  <c r="I50" i="25"/>
  <c r="E50" i="25"/>
  <c r="J23" i="25"/>
  <c r="J22" i="25"/>
  <c r="D22" i="25"/>
  <c r="J21" i="25"/>
  <c r="J20" i="25"/>
  <c r="E20" i="25"/>
  <c r="J19" i="25"/>
  <c r="J18" i="25"/>
  <c r="J17" i="25"/>
  <c r="J16" i="25"/>
  <c r="J15" i="25"/>
  <c r="E15" i="25"/>
  <c r="E13" i="25"/>
  <c r="J54" i="24"/>
  <c r="F53" i="24"/>
  <c r="J52" i="24"/>
  <c r="I52" i="24"/>
  <c r="E52" i="24"/>
  <c r="J23" i="24"/>
  <c r="J22" i="24"/>
  <c r="D22" i="24"/>
  <c r="J21" i="24"/>
  <c r="J20" i="24"/>
  <c r="E20" i="24"/>
  <c r="J19" i="24"/>
  <c r="J18" i="24"/>
  <c r="J17" i="24"/>
  <c r="J16" i="24"/>
  <c r="J15" i="24"/>
  <c r="E15" i="24"/>
  <c r="J13" i="24"/>
  <c r="E13" i="24"/>
  <c r="J54" i="23"/>
  <c r="F53" i="23"/>
  <c r="J52" i="23"/>
  <c r="I52" i="23"/>
  <c r="E52" i="23"/>
  <c r="J23" i="23"/>
  <c r="J22" i="23"/>
  <c r="D22" i="23"/>
  <c r="J21" i="23"/>
  <c r="J20" i="23"/>
  <c r="E20" i="23"/>
  <c r="J19" i="23"/>
  <c r="J18" i="23"/>
  <c r="J17" i="23"/>
  <c r="J16" i="23"/>
  <c r="J15" i="23"/>
  <c r="E15" i="23"/>
  <c r="J13" i="23"/>
  <c r="E13" i="23"/>
  <c r="J13" i="22"/>
  <c r="E13" i="22"/>
  <c r="J54" i="22"/>
  <c r="F53" i="22"/>
  <c r="J52" i="22"/>
  <c r="I52" i="22"/>
  <c r="E52" i="22"/>
  <c r="J23" i="22"/>
  <c r="J22" i="22"/>
  <c r="D22" i="22"/>
  <c r="J21" i="22"/>
  <c r="J20" i="22"/>
  <c r="E20" i="22"/>
  <c r="J19" i="22"/>
  <c r="J18" i="22"/>
  <c r="J17" i="22"/>
  <c r="J16" i="22"/>
  <c r="J15" i="22"/>
  <c r="E15" i="22"/>
  <c r="J13" i="21"/>
  <c r="J54" i="21"/>
  <c r="F53" i="21"/>
  <c r="J52" i="21"/>
  <c r="I52" i="21"/>
  <c r="E52" i="21"/>
  <c r="J23" i="21"/>
  <c r="J22" i="21"/>
  <c r="D22" i="21"/>
  <c r="J21" i="21"/>
  <c r="J20" i="21"/>
  <c r="E20" i="21"/>
  <c r="J19" i="21"/>
  <c r="J18" i="21"/>
  <c r="J17" i="21"/>
  <c r="J16" i="21"/>
  <c r="J15" i="21"/>
  <c r="E15" i="21"/>
  <c r="E13" i="21"/>
  <c r="J16" i="19"/>
  <c r="E15" i="19"/>
  <c r="J15" i="19"/>
  <c r="J13" i="19"/>
  <c r="E13" i="19"/>
  <c r="J56" i="19"/>
  <c r="J55" i="19"/>
  <c r="J54" i="19"/>
  <c r="F53" i="19"/>
  <c r="J52" i="19"/>
  <c r="I52" i="19"/>
  <c r="E52" i="19"/>
  <c r="J23" i="19"/>
  <c r="J22" i="19"/>
  <c r="D22" i="19"/>
  <c r="J21" i="19"/>
  <c r="J20" i="19"/>
  <c r="E20" i="19"/>
  <c r="J19" i="19"/>
  <c r="J18" i="19"/>
  <c r="J17" i="19"/>
  <c r="E52" i="17"/>
  <c r="K50" i="37" l="1"/>
  <c r="K50" i="42"/>
  <c r="K48" i="56"/>
  <c r="K50" i="33"/>
  <c r="K50" i="34"/>
  <c r="G107" i="112"/>
  <c r="G109" i="112" s="1"/>
  <c r="F24" i="53"/>
  <c r="F44" i="35"/>
  <c r="F48" i="35" s="1"/>
  <c r="K50" i="41"/>
  <c r="F30" i="53"/>
  <c r="F18" i="52"/>
  <c r="F32" i="42"/>
  <c r="F36" i="42" s="1"/>
  <c r="K50" i="35"/>
  <c r="K48" i="58"/>
  <c r="F37" i="68"/>
  <c r="K48" i="63"/>
  <c r="F24" i="62"/>
  <c r="K48" i="60"/>
  <c r="K17" i="50"/>
  <c r="K53" i="49"/>
  <c r="F44" i="41"/>
  <c r="F48" i="41" s="1"/>
  <c r="F30" i="56"/>
  <c r="F42" i="54"/>
  <c r="K18" i="56"/>
  <c r="F36" i="56"/>
  <c r="F42" i="63"/>
  <c r="F36" i="64"/>
  <c r="F42" i="67"/>
  <c r="F32" i="41"/>
  <c r="F36" i="41" s="1"/>
  <c r="F24" i="64"/>
  <c r="K18" i="65"/>
  <c r="F44" i="32"/>
  <c r="F48" i="32" s="1"/>
  <c r="K50" i="32"/>
  <c r="F38" i="38"/>
  <c r="F42" i="38" s="1"/>
  <c r="K18" i="50"/>
  <c r="K48" i="51"/>
  <c r="F36" i="53"/>
  <c r="F36" i="55"/>
  <c r="F25" i="36"/>
  <c r="F30" i="63"/>
  <c r="K52" i="23"/>
  <c r="K50" i="27"/>
  <c r="F38" i="33"/>
  <c r="F42" i="33" s="1"/>
  <c r="F32" i="36"/>
  <c r="F36" i="36" s="1"/>
  <c r="F30" i="60"/>
  <c r="F19" i="41"/>
  <c r="F44" i="36"/>
  <c r="F48" i="36" s="1"/>
  <c r="F38" i="40"/>
  <c r="F42" i="40" s="1"/>
  <c r="F25" i="41"/>
  <c r="K48" i="55"/>
  <c r="F42" i="60"/>
  <c r="F43" i="68"/>
  <c r="F32" i="32"/>
  <c r="F36" i="32" s="1"/>
  <c r="K18" i="52"/>
  <c r="K18" i="55"/>
  <c r="F24" i="57"/>
  <c r="F36" i="65"/>
  <c r="F24" i="67"/>
  <c r="F30" i="54"/>
  <c r="F36" i="57"/>
  <c r="K18" i="59"/>
  <c r="F30" i="59"/>
  <c r="F36" i="59"/>
  <c r="F36" i="61"/>
  <c r="K18" i="63"/>
  <c r="F31" i="68"/>
  <c r="F19" i="40"/>
  <c r="K18" i="54"/>
  <c r="K48" i="54"/>
  <c r="F18" i="58"/>
  <c r="F42" i="59"/>
  <c r="F42" i="61"/>
  <c r="K18" i="66"/>
  <c r="F30" i="66"/>
  <c r="F19" i="39"/>
  <c r="F38" i="39"/>
  <c r="F42" i="39" s="1"/>
  <c r="F25" i="40"/>
  <c r="D18" i="56"/>
  <c r="F18" i="56" s="1"/>
  <c r="K18" i="58"/>
  <c r="K53" i="51"/>
  <c r="K53" i="62"/>
  <c r="K53" i="56"/>
  <c r="I16" i="50"/>
  <c r="K16" i="50" s="1"/>
  <c r="D13" i="50"/>
  <c r="F13" i="50" s="1"/>
  <c r="K50" i="39"/>
  <c r="K50" i="38"/>
  <c r="F32" i="38"/>
  <c r="F36" i="38" s="1"/>
  <c r="F19" i="37"/>
  <c r="F32" i="35"/>
  <c r="F36" i="35" s="1"/>
  <c r="F44" i="34"/>
  <c r="F48" i="34" s="1"/>
  <c r="F25" i="34"/>
  <c r="F25" i="33"/>
  <c r="F32" i="33"/>
  <c r="F36" i="33" s="1"/>
  <c r="K50" i="30"/>
  <c r="F18" i="54"/>
  <c r="K18" i="60"/>
  <c r="F18" i="65"/>
  <c r="D18" i="66"/>
  <c r="F18" i="66" s="1"/>
  <c r="F38" i="35"/>
  <c r="F42" i="35" s="1"/>
  <c r="F32" i="37"/>
  <c r="F36" i="37" s="1"/>
  <c r="F44" i="39"/>
  <c r="F48" i="39" s="1"/>
  <c r="K50" i="40"/>
  <c r="K50" i="26"/>
  <c r="F38" i="41"/>
  <c r="F42" i="41" s="1"/>
  <c r="K18" i="67"/>
  <c r="F36" i="66"/>
  <c r="F25" i="32"/>
  <c r="F38" i="32"/>
  <c r="F42" i="32" s="1"/>
  <c r="F30" i="58"/>
  <c r="F18" i="64"/>
  <c r="F19" i="32"/>
  <c r="F19" i="33"/>
  <c r="F32" i="39"/>
  <c r="F36" i="39" s="1"/>
  <c r="F18" i="61"/>
  <c r="F18" i="62"/>
  <c r="F38" i="36"/>
  <c r="F42" i="36" s="1"/>
  <c r="F19" i="42"/>
  <c r="F38" i="42"/>
  <c r="F42" i="42" s="1"/>
  <c r="F36" i="58"/>
  <c r="F30" i="62"/>
  <c r="K18" i="64"/>
  <c r="F30" i="65"/>
  <c r="F18" i="55"/>
  <c r="F42" i="53"/>
  <c r="F36" i="54"/>
  <c r="K19" i="35"/>
  <c r="K19" i="38"/>
  <c r="K19" i="37"/>
  <c r="K19" i="39"/>
  <c r="F19" i="36"/>
  <c r="F18" i="53"/>
  <c r="F18" i="60"/>
  <c r="F19" i="35"/>
  <c r="F19" i="38"/>
  <c r="F18" i="57"/>
  <c r="F18" i="51"/>
  <c r="F18" i="63"/>
  <c r="K48" i="61"/>
  <c r="K48" i="59"/>
  <c r="K48" i="52"/>
  <c r="K48" i="53"/>
  <c r="K48" i="62"/>
  <c r="K52" i="24"/>
  <c r="K50" i="25"/>
  <c r="K48" i="64"/>
  <c r="K50" i="36"/>
  <c r="K48" i="50"/>
  <c r="K49" i="68"/>
  <c r="K48" i="66"/>
  <c r="K48" i="57"/>
  <c r="K48" i="67"/>
  <c r="K18" i="53"/>
  <c r="K18" i="61"/>
  <c r="K18" i="62"/>
  <c r="K19" i="34"/>
  <c r="K18" i="57"/>
  <c r="K19" i="68"/>
  <c r="K18" i="51"/>
  <c r="F42" i="65"/>
  <c r="F42" i="58"/>
  <c r="F42" i="57"/>
  <c r="F36" i="63"/>
  <c r="F36" i="62"/>
  <c r="F30" i="49"/>
  <c r="F36" i="67"/>
  <c r="F30" i="64"/>
  <c r="F30" i="57"/>
  <c r="E36" i="51"/>
  <c r="E42" i="51" s="1"/>
  <c r="F42" i="51" s="1"/>
  <c r="F30" i="51"/>
  <c r="F30" i="50"/>
  <c r="E36" i="50"/>
  <c r="F24" i="51"/>
  <c r="F24" i="66"/>
  <c r="F24" i="58"/>
  <c r="F24" i="59"/>
  <c r="F25" i="68"/>
  <c r="F24" i="52"/>
  <c r="F24" i="60"/>
  <c r="F24" i="63"/>
  <c r="F24" i="61"/>
  <c r="F42" i="66"/>
  <c r="F42" i="56"/>
  <c r="F42" i="62"/>
  <c r="F42" i="64"/>
  <c r="F36" i="60"/>
  <c r="F30" i="67"/>
  <c r="F30" i="61"/>
  <c r="F24" i="55"/>
  <c r="F24" i="56"/>
  <c r="F24" i="65"/>
  <c r="F44" i="38"/>
  <c r="F48" i="38" s="1"/>
  <c r="F44" i="40"/>
  <c r="F48" i="40" s="1"/>
  <c r="F44" i="37"/>
  <c r="F48" i="37" s="1"/>
  <c r="F38" i="37"/>
  <c r="F42" i="37" s="1"/>
  <c r="F38" i="34"/>
  <c r="F42" i="34" s="1"/>
  <c r="F25" i="39"/>
  <c r="F25" i="38"/>
  <c r="F24" i="54"/>
  <c r="F44" i="42"/>
  <c r="F48" i="42" s="1"/>
  <c r="F42" i="52"/>
  <c r="F44" i="33"/>
  <c r="F48" i="33" s="1"/>
  <c r="F36" i="52"/>
  <c r="F30" i="52"/>
  <c r="F32" i="34"/>
  <c r="F36" i="34" s="1"/>
  <c r="F32" i="40"/>
  <c r="F36" i="40" s="1"/>
  <c r="F25" i="35"/>
  <c r="F25" i="37"/>
  <c r="F25" i="42"/>
  <c r="D19" i="68"/>
  <c r="F19" i="68" s="1"/>
  <c r="D18" i="67"/>
  <c r="F18" i="67" s="1"/>
  <c r="D18" i="59"/>
  <c r="F18" i="59" s="1"/>
  <c r="F24" i="50"/>
  <c r="F42" i="55"/>
  <c r="F30" i="55"/>
  <c r="D18" i="50"/>
  <c r="F18" i="50" s="1"/>
  <c r="K48" i="49"/>
  <c r="K19" i="33"/>
  <c r="K19" i="32"/>
  <c r="D19" i="34"/>
  <c r="F19" i="34" s="1"/>
  <c r="K19" i="42"/>
  <c r="K18" i="49"/>
  <c r="F24" i="49"/>
  <c r="F42" i="49"/>
  <c r="F18" i="49"/>
  <c r="F36" i="49"/>
  <c r="I13" i="56"/>
  <c r="K13" i="56" s="1"/>
  <c r="K19" i="41"/>
  <c r="K19" i="40"/>
  <c r="K19" i="36"/>
  <c r="K50" i="29"/>
  <c r="K52" i="19"/>
  <c r="K50" i="28"/>
  <c r="K52" i="22"/>
  <c r="K52" i="21"/>
  <c r="E45" i="20"/>
  <c r="E50" i="16"/>
  <c r="I13" i="57" l="1"/>
  <c r="K13" i="57" s="1"/>
  <c r="I13" i="51"/>
  <c r="K13" i="51" s="1"/>
  <c r="D15" i="50"/>
  <c r="F36" i="51"/>
  <c r="E42" i="50"/>
  <c r="F42" i="50" s="1"/>
  <c r="F36" i="50"/>
  <c r="I13" i="52"/>
  <c r="K13" i="52" s="1"/>
  <c r="I15" i="50" l="1"/>
  <c r="K15" i="50" s="1"/>
  <c r="F15" i="50"/>
  <c r="I13" i="53"/>
  <c r="K13" i="53" s="1"/>
  <c r="I13" i="58"/>
  <c r="K13" i="58" s="1"/>
  <c r="J54" i="17"/>
  <c r="J52" i="16"/>
  <c r="J47" i="20"/>
  <c r="J52" i="17"/>
  <c r="I52" i="17"/>
  <c r="J50" i="16"/>
  <c r="I50" i="16"/>
  <c r="J45" i="20"/>
  <c r="I45" i="20"/>
  <c r="D22" i="20"/>
  <c r="D22" i="17"/>
  <c r="J23" i="17"/>
  <c r="J22" i="17"/>
  <c r="E20" i="17"/>
  <c r="J21" i="17"/>
  <c r="J20" i="17"/>
  <c r="J19" i="17"/>
  <c r="J18" i="17"/>
  <c r="J17" i="17"/>
  <c r="J16" i="17"/>
  <c r="J13" i="17"/>
  <c r="E13" i="17"/>
  <c r="E15" i="17"/>
  <c r="J15" i="17"/>
  <c r="J15" i="16"/>
  <c r="J14" i="20"/>
  <c r="J12" i="20"/>
  <c r="I13" i="54" l="1"/>
  <c r="K13" i="54" s="1"/>
  <c r="I13" i="59"/>
  <c r="K13" i="59" s="1"/>
  <c r="K8" i="109"/>
  <c r="J8" i="109"/>
  <c r="K49" i="109"/>
  <c r="L52" i="109"/>
  <c r="L51" i="109"/>
  <c r="L50" i="109"/>
  <c r="L49" i="109"/>
  <c r="E44" i="109"/>
  <c r="K44" i="109"/>
  <c r="K26" i="109"/>
  <c r="E38" i="109"/>
  <c r="E30" i="109"/>
  <c r="I13" i="60" l="1"/>
  <c r="K13" i="60" s="1"/>
  <c r="K28" i="109"/>
  <c r="E35" i="109"/>
  <c r="E37" i="109"/>
  <c r="E21" i="109"/>
  <c r="K39" i="109"/>
  <c r="K45" i="109"/>
  <c r="K37" i="109"/>
  <c r="K30" i="109"/>
  <c r="K27" i="109"/>
  <c r="K13" i="109"/>
  <c r="M49" i="109"/>
  <c r="F48" i="109"/>
  <c r="L45" i="109"/>
  <c r="L44" i="109"/>
  <c r="M44" i="109" s="1"/>
  <c r="F44" i="109"/>
  <c r="G44" i="109" s="1"/>
  <c r="L43" i="109"/>
  <c r="L42" i="109"/>
  <c r="L41" i="109"/>
  <c r="L39" i="109"/>
  <c r="L38" i="109"/>
  <c r="F38" i="109"/>
  <c r="G38" i="109" s="1"/>
  <c r="K38" i="109"/>
  <c r="L37" i="109"/>
  <c r="F37" i="109"/>
  <c r="L36" i="109"/>
  <c r="L35" i="109"/>
  <c r="F35" i="109"/>
  <c r="L34" i="109"/>
  <c r="F34" i="109"/>
  <c r="L33" i="109"/>
  <c r="F33" i="109"/>
  <c r="L32" i="109"/>
  <c r="F32" i="109"/>
  <c r="L31" i="109"/>
  <c r="F31" i="109"/>
  <c r="L30" i="109"/>
  <c r="F30" i="109"/>
  <c r="G30" i="109" s="1"/>
  <c r="L29" i="109"/>
  <c r="F29" i="109"/>
  <c r="L28" i="109"/>
  <c r="M28" i="109" s="1"/>
  <c r="L27" i="109"/>
  <c r="L26" i="109"/>
  <c r="M26" i="109" s="1"/>
  <c r="L25" i="109"/>
  <c r="L24" i="109"/>
  <c r="L23" i="109"/>
  <c r="L22" i="109"/>
  <c r="L21" i="109"/>
  <c r="F21" i="109"/>
  <c r="L18" i="109"/>
  <c r="F18" i="109"/>
  <c r="C18" i="109"/>
  <c r="I17" i="109"/>
  <c r="L17" i="109" s="1"/>
  <c r="F17" i="109"/>
  <c r="L16" i="109"/>
  <c r="F16" i="109"/>
  <c r="C16" i="109"/>
  <c r="F15" i="109"/>
  <c r="F14" i="109"/>
  <c r="L13" i="109"/>
  <c r="F13" i="109"/>
  <c r="D8" i="109"/>
  <c r="R114" i="108"/>
  <c r="Q114" i="108"/>
  <c r="L114" i="108"/>
  <c r="K114" i="108"/>
  <c r="J114" i="108"/>
  <c r="I114" i="108"/>
  <c r="R113" i="108"/>
  <c r="Q113" i="108"/>
  <c r="L113" i="108"/>
  <c r="M113" i="108" s="1"/>
  <c r="K113" i="108"/>
  <c r="J113" i="108"/>
  <c r="I113" i="108"/>
  <c r="R112" i="108"/>
  <c r="Q112" i="108"/>
  <c r="K112" i="108"/>
  <c r="I112" i="108"/>
  <c r="L112" i="108" s="1"/>
  <c r="R111" i="108"/>
  <c r="Q111" i="108"/>
  <c r="L111" i="108"/>
  <c r="M111" i="108" s="1"/>
  <c r="K111" i="108"/>
  <c r="I111" i="108"/>
  <c r="J111" i="108" s="1"/>
  <c r="R110" i="108"/>
  <c r="Q110" i="108"/>
  <c r="L110" i="108"/>
  <c r="K110" i="108"/>
  <c r="I110" i="108"/>
  <c r="J110" i="108" s="1"/>
  <c r="R109" i="108"/>
  <c r="Q109" i="108"/>
  <c r="K109" i="108"/>
  <c r="I109" i="108"/>
  <c r="L109" i="108" s="1"/>
  <c r="R108" i="108"/>
  <c r="Q108" i="108"/>
  <c r="K108" i="108"/>
  <c r="I108" i="108"/>
  <c r="R107" i="108"/>
  <c r="Q107" i="108"/>
  <c r="K107" i="108"/>
  <c r="I107" i="108"/>
  <c r="J107" i="108" s="1"/>
  <c r="R106" i="108"/>
  <c r="Q106" i="108"/>
  <c r="L106" i="108"/>
  <c r="K106" i="108"/>
  <c r="J106" i="108"/>
  <c r="I106" i="108"/>
  <c r="R105" i="108"/>
  <c r="Q105" i="108"/>
  <c r="L105" i="108"/>
  <c r="K105" i="108"/>
  <c r="J105" i="108"/>
  <c r="I105" i="108"/>
  <c r="R104" i="108"/>
  <c r="Q104" i="108"/>
  <c r="K104" i="108"/>
  <c r="I104" i="108"/>
  <c r="L104" i="108" s="1"/>
  <c r="R103" i="108"/>
  <c r="Q103" i="108"/>
  <c r="K103" i="108"/>
  <c r="I103" i="108"/>
  <c r="J103" i="108" s="1"/>
  <c r="R102" i="108"/>
  <c r="Q102" i="108"/>
  <c r="L102" i="108"/>
  <c r="K102" i="108"/>
  <c r="I102" i="108"/>
  <c r="J102" i="108" s="1"/>
  <c r="R101" i="108"/>
  <c r="Q101" i="108"/>
  <c r="K101" i="108"/>
  <c r="J101" i="108"/>
  <c r="I101" i="108"/>
  <c r="L101" i="108" s="1"/>
  <c r="R100" i="108"/>
  <c r="Q100" i="108"/>
  <c r="L100" i="108"/>
  <c r="K100" i="108"/>
  <c r="J100" i="108"/>
  <c r="I100" i="108"/>
  <c r="R99" i="108"/>
  <c r="Q99" i="108"/>
  <c r="K99" i="108"/>
  <c r="I99" i="108"/>
  <c r="R98" i="108"/>
  <c r="Q98" i="108"/>
  <c r="L98" i="108"/>
  <c r="K98" i="108"/>
  <c r="J98" i="108"/>
  <c r="I98" i="108"/>
  <c r="R97" i="108"/>
  <c r="Q97" i="108"/>
  <c r="L97" i="108"/>
  <c r="K97" i="108"/>
  <c r="J97" i="108"/>
  <c r="I97" i="108"/>
  <c r="R96" i="108"/>
  <c r="Q96" i="108"/>
  <c r="K96" i="108"/>
  <c r="I96" i="108"/>
  <c r="L96" i="108" s="1"/>
  <c r="R95" i="108"/>
  <c r="Q95" i="108"/>
  <c r="L95" i="108"/>
  <c r="K95" i="108"/>
  <c r="I95" i="108"/>
  <c r="J95" i="108" s="1"/>
  <c r="R94" i="108"/>
  <c r="Q94" i="108"/>
  <c r="L94" i="108"/>
  <c r="M94" i="108" s="1"/>
  <c r="K94" i="108"/>
  <c r="I94" i="108"/>
  <c r="J94" i="108" s="1"/>
  <c r="R93" i="108"/>
  <c r="Q93" i="108"/>
  <c r="K93" i="108"/>
  <c r="I93" i="108"/>
  <c r="L93" i="108" s="1"/>
  <c r="R92" i="108"/>
  <c r="Q92" i="108"/>
  <c r="K92" i="108"/>
  <c r="I92" i="108"/>
  <c r="R91" i="108"/>
  <c r="Q91" i="108"/>
  <c r="K91" i="108"/>
  <c r="I91" i="108"/>
  <c r="J91" i="108" s="1"/>
  <c r="R90" i="108"/>
  <c r="Q90" i="108"/>
  <c r="L90" i="108"/>
  <c r="K90" i="108"/>
  <c r="J90" i="108"/>
  <c r="I90" i="108"/>
  <c r="R89" i="108"/>
  <c r="Q89" i="108"/>
  <c r="L89" i="108"/>
  <c r="K89" i="108"/>
  <c r="J89" i="108"/>
  <c r="I89" i="108"/>
  <c r="R88" i="108"/>
  <c r="Q88" i="108"/>
  <c r="K88" i="108"/>
  <c r="J88" i="108"/>
  <c r="I88" i="108"/>
  <c r="L88" i="108" s="1"/>
  <c r="R87" i="108"/>
  <c r="Q87" i="108"/>
  <c r="K87" i="108"/>
  <c r="I87" i="108"/>
  <c r="J87" i="108" s="1"/>
  <c r="R86" i="108"/>
  <c r="Q86" i="108"/>
  <c r="L86" i="108"/>
  <c r="K86" i="108"/>
  <c r="I86" i="108"/>
  <c r="J86" i="108" s="1"/>
  <c r="R85" i="108"/>
  <c r="Q85" i="108"/>
  <c r="K85" i="108"/>
  <c r="I85" i="108"/>
  <c r="L85" i="108" s="1"/>
  <c r="R84" i="108"/>
  <c r="Q84" i="108"/>
  <c r="K84" i="108"/>
  <c r="I84" i="108"/>
  <c r="L84" i="108" s="1"/>
  <c r="R83" i="108"/>
  <c r="Q83" i="108"/>
  <c r="L83" i="108"/>
  <c r="K83" i="108"/>
  <c r="I83" i="108"/>
  <c r="J83" i="108" s="1"/>
  <c r="R82" i="108"/>
  <c r="Q82" i="108"/>
  <c r="L82" i="108"/>
  <c r="K82" i="108"/>
  <c r="J82" i="108"/>
  <c r="I82" i="108"/>
  <c r="R81" i="108"/>
  <c r="Q81" i="108"/>
  <c r="L81" i="108"/>
  <c r="M81" i="108" s="1"/>
  <c r="K81" i="108"/>
  <c r="J81" i="108"/>
  <c r="I81" i="108"/>
  <c r="R80" i="108"/>
  <c r="Q80" i="108"/>
  <c r="K80" i="108"/>
  <c r="I80" i="108"/>
  <c r="L80" i="108" s="1"/>
  <c r="R79" i="108"/>
  <c r="Q79" i="108"/>
  <c r="L79" i="108"/>
  <c r="K79" i="108"/>
  <c r="I79" i="108"/>
  <c r="J79" i="108" s="1"/>
  <c r="R78" i="108"/>
  <c r="Q78" i="108"/>
  <c r="L78" i="108"/>
  <c r="M78" i="108" s="1"/>
  <c r="K78" i="108"/>
  <c r="I78" i="108"/>
  <c r="J78" i="108" s="1"/>
  <c r="R77" i="108"/>
  <c r="Q77" i="108"/>
  <c r="K77" i="108"/>
  <c r="I77" i="108"/>
  <c r="L77" i="108" s="1"/>
  <c r="R76" i="108"/>
  <c r="Q76" i="108"/>
  <c r="K76" i="108"/>
  <c r="I76" i="108"/>
  <c r="R75" i="108"/>
  <c r="Q75" i="108"/>
  <c r="K75" i="108"/>
  <c r="I75" i="108"/>
  <c r="J75" i="108" s="1"/>
  <c r="R74" i="108"/>
  <c r="Q74" i="108"/>
  <c r="L74" i="108"/>
  <c r="K74" i="108"/>
  <c r="J74" i="108"/>
  <c r="I74" i="108"/>
  <c r="R73" i="108"/>
  <c r="Q73" i="108"/>
  <c r="L73" i="108"/>
  <c r="K73" i="108"/>
  <c r="J73" i="108"/>
  <c r="I73" i="108"/>
  <c r="R72" i="108"/>
  <c r="Q72" i="108"/>
  <c r="K72" i="108"/>
  <c r="I72" i="108"/>
  <c r="L72" i="108" s="1"/>
  <c r="R71" i="108"/>
  <c r="Q71" i="108"/>
  <c r="K71" i="108"/>
  <c r="I71" i="108"/>
  <c r="R70" i="108"/>
  <c r="Q70" i="108"/>
  <c r="L70" i="108"/>
  <c r="K70" i="108"/>
  <c r="I70" i="108"/>
  <c r="J70" i="108" s="1"/>
  <c r="R69" i="108"/>
  <c r="Q69" i="108"/>
  <c r="K69" i="108"/>
  <c r="I69" i="108"/>
  <c r="L69" i="108" s="1"/>
  <c r="R68" i="108"/>
  <c r="Q68" i="108"/>
  <c r="K68" i="108"/>
  <c r="I68" i="108"/>
  <c r="L68" i="108" s="1"/>
  <c r="R67" i="108"/>
  <c r="Q67" i="108"/>
  <c r="K67" i="108"/>
  <c r="I67" i="108"/>
  <c r="R66" i="108"/>
  <c r="Q66" i="108"/>
  <c r="L66" i="108"/>
  <c r="K66" i="108"/>
  <c r="J66" i="108"/>
  <c r="I66" i="108"/>
  <c r="R65" i="108"/>
  <c r="Q65" i="108"/>
  <c r="L65" i="108"/>
  <c r="K65" i="108"/>
  <c r="J65" i="108"/>
  <c r="I65" i="108"/>
  <c r="R64" i="108"/>
  <c r="Q64" i="108"/>
  <c r="K64" i="108"/>
  <c r="I64" i="108"/>
  <c r="L64" i="108" s="1"/>
  <c r="R63" i="108"/>
  <c r="Q63" i="108"/>
  <c r="L63" i="108"/>
  <c r="K63" i="108"/>
  <c r="I63" i="108"/>
  <c r="J63" i="108" s="1"/>
  <c r="R62" i="108"/>
  <c r="Q62" i="108"/>
  <c r="L62" i="108"/>
  <c r="M62" i="108" s="1"/>
  <c r="K62" i="108"/>
  <c r="I62" i="108"/>
  <c r="J62" i="108" s="1"/>
  <c r="R61" i="108"/>
  <c r="Q61" i="108"/>
  <c r="K61" i="108"/>
  <c r="I61" i="108"/>
  <c r="L61" i="108" s="1"/>
  <c r="R60" i="108"/>
  <c r="Q60" i="108"/>
  <c r="K60" i="108"/>
  <c r="I60" i="108"/>
  <c r="L60" i="108" s="1"/>
  <c r="R59" i="108"/>
  <c r="Q59" i="108"/>
  <c r="K59" i="108"/>
  <c r="I59" i="108"/>
  <c r="R58" i="108"/>
  <c r="Q58" i="108"/>
  <c r="L58" i="108"/>
  <c r="K58" i="108"/>
  <c r="J58" i="108"/>
  <c r="I58" i="108"/>
  <c r="R57" i="108"/>
  <c r="Q57" i="108"/>
  <c r="L57" i="108"/>
  <c r="K57" i="108"/>
  <c r="J57" i="108"/>
  <c r="I57" i="108"/>
  <c r="R56" i="108"/>
  <c r="Q56" i="108"/>
  <c r="K56" i="108"/>
  <c r="I56" i="108"/>
  <c r="L56" i="108" s="1"/>
  <c r="R55" i="108"/>
  <c r="Q55" i="108"/>
  <c r="K55" i="108"/>
  <c r="I55" i="108"/>
  <c r="J55" i="108" s="1"/>
  <c r="R54" i="108"/>
  <c r="Q54" i="108"/>
  <c r="L54" i="108"/>
  <c r="K54" i="108"/>
  <c r="I54" i="108"/>
  <c r="J54" i="108" s="1"/>
  <c r="R53" i="108"/>
  <c r="Q53" i="108"/>
  <c r="K53" i="108"/>
  <c r="J53" i="108"/>
  <c r="I53" i="108"/>
  <c r="L53" i="108" s="1"/>
  <c r="R52" i="108"/>
  <c r="Q52" i="108"/>
  <c r="K52" i="108"/>
  <c r="I52" i="108"/>
  <c r="L52" i="108" s="1"/>
  <c r="R51" i="108"/>
  <c r="Q51" i="108"/>
  <c r="L51" i="108"/>
  <c r="K51" i="108"/>
  <c r="I51" i="108"/>
  <c r="J51" i="108" s="1"/>
  <c r="R50" i="108"/>
  <c r="Q50" i="108"/>
  <c r="L50" i="108"/>
  <c r="K50" i="108"/>
  <c r="J50" i="108"/>
  <c r="I50" i="108"/>
  <c r="R49" i="108"/>
  <c r="Q49" i="108"/>
  <c r="L49" i="108"/>
  <c r="M49" i="108" s="1"/>
  <c r="K49" i="108"/>
  <c r="J49" i="108"/>
  <c r="I49" i="108"/>
  <c r="R48" i="108"/>
  <c r="Q48" i="108"/>
  <c r="K48" i="108"/>
  <c r="I48" i="108"/>
  <c r="L48" i="108" s="1"/>
  <c r="R47" i="108"/>
  <c r="Q47" i="108"/>
  <c r="L47" i="108"/>
  <c r="K47" i="108"/>
  <c r="I47" i="108"/>
  <c r="J47" i="108" s="1"/>
  <c r="R46" i="108"/>
  <c r="Q46" i="108"/>
  <c r="L46" i="108"/>
  <c r="M46" i="108" s="1"/>
  <c r="K46" i="108"/>
  <c r="I46" i="108"/>
  <c r="J46" i="108" s="1"/>
  <c r="R45" i="108"/>
  <c r="Q45" i="108"/>
  <c r="K45" i="108"/>
  <c r="I45" i="108"/>
  <c r="L45" i="108" s="1"/>
  <c r="R44" i="108"/>
  <c r="Q44" i="108"/>
  <c r="K44" i="108"/>
  <c r="J44" i="108"/>
  <c r="I44" i="108"/>
  <c r="L44" i="108" s="1"/>
  <c r="R43" i="108"/>
  <c r="Q43" i="108"/>
  <c r="K43" i="108"/>
  <c r="I43" i="108"/>
  <c r="R42" i="108"/>
  <c r="Q42" i="108"/>
  <c r="K42" i="108"/>
  <c r="I42" i="108"/>
  <c r="L42" i="108" s="1"/>
  <c r="R41" i="108"/>
  <c r="Q41" i="108"/>
  <c r="L41" i="108"/>
  <c r="K41" i="108"/>
  <c r="J41" i="108"/>
  <c r="I41" i="108"/>
  <c r="R40" i="108"/>
  <c r="Q40" i="108"/>
  <c r="K40" i="108"/>
  <c r="J40" i="108"/>
  <c r="I40" i="108"/>
  <c r="L40" i="108" s="1"/>
  <c r="R39" i="108"/>
  <c r="Q39" i="108"/>
  <c r="K39" i="108"/>
  <c r="J39" i="108"/>
  <c r="I39" i="108"/>
  <c r="L39" i="108" s="1"/>
  <c r="M39" i="108" s="1"/>
  <c r="R38" i="108"/>
  <c r="Q38" i="108"/>
  <c r="K38" i="108"/>
  <c r="I38" i="108"/>
  <c r="J38" i="108" s="1"/>
  <c r="R37" i="108"/>
  <c r="Q37" i="108"/>
  <c r="L37" i="108"/>
  <c r="M37" i="108" s="1"/>
  <c r="K37" i="108"/>
  <c r="J37" i="108"/>
  <c r="I37" i="108"/>
  <c r="R36" i="108"/>
  <c r="Q36" i="108"/>
  <c r="L36" i="108"/>
  <c r="K36" i="108"/>
  <c r="I36" i="108"/>
  <c r="J36" i="108" s="1"/>
  <c r="R35" i="108"/>
  <c r="Q35" i="108"/>
  <c r="K35" i="108"/>
  <c r="I35" i="108"/>
  <c r="L35" i="108" s="1"/>
  <c r="R34" i="108"/>
  <c r="Q34" i="108"/>
  <c r="K34" i="108"/>
  <c r="I34" i="108"/>
  <c r="L34" i="108" s="1"/>
  <c r="R33" i="108"/>
  <c r="Q33" i="108"/>
  <c r="L33" i="108"/>
  <c r="K33" i="108"/>
  <c r="J33" i="108"/>
  <c r="I33" i="108"/>
  <c r="R32" i="108"/>
  <c r="Q32" i="108"/>
  <c r="K32" i="108"/>
  <c r="I32" i="108"/>
  <c r="L32" i="108" s="1"/>
  <c r="R31" i="108"/>
  <c r="Q31" i="108"/>
  <c r="K31" i="108"/>
  <c r="I31" i="108"/>
  <c r="L31" i="108" s="1"/>
  <c r="R30" i="108"/>
  <c r="Q30" i="108"/>
  <c r="K30" i="108"/>
  <c r="I30" i="108"/>
  <c r="R29" i="108"/>
  <c r="Q29" i="108"/>
  <c r="K29" i="108"/>
  <c r="I29" i="108"/>
  <c r="R28" i="108"/>
  <c r="Q28" i="108"/>
  <c r="K28" i="108"/>
  <c r="I28" i="108"/>
  <c r="J28" i="108" s="1"/>
  <c r="R27" i="108"/>
  <c r="Q27" i="108"/>
  <c r="K27" i="108"/>
  <c r="I27" i="108"/>
  <c r="J27" i="108" s="1"/>
  <c r="R26" i="108"/>
  <c r="Q26" i="108"/>
  <c r="K26" i="108"/>
  <c r="I26" i="108"/>
  <c r="J26" i="108" s="1"/>
  <c r="R25" i="108"/>
  <c r="Q25" i="108"/>
  <c r="K25" i="108"/>
  <c r="I25" i="108"/>
  <c r="J25" i="108" s="1"/>
  <c r="R24" i="108"/>
  <c r="Q24" i="108"/>
  <c r="K24" i="108"/>
  <c r="I24" i="108"/>
  <c r="R15" i="108" s="1"/>
  <c r="R23" i="108"/>
  <c r="Q23" i="108"/>
  <c r="K23" i="108"/>
  <c r="I23" i="108"/>
  <c r="J23" i="108" s="1"/>
  <c r="R22" i="108"/>
  <c r="Q22" i="108"/>
  <c r="K22" i="108"/>
  <c r="I22" i="108"/>
  <c r="J22" i="108" s="1"/>
  <c r="R21" i="108"/>
  <c r="Q21" i="108"/>
  <c r="K21" i="108"/>
  <c r="I21" i="108"/>
  <c r="J21" i="108" s="1"/>
  <c r="R20" i="108"/>
  <c r="Q20" i="108"/>
  <c r="K20" i="108"/>
  <c r="I20" i="108"/>
  <c r="Q19" i="108"/>
  <c r="K19" i="108"/>
  <c r="I19" i="108"/>
  <c r="Q18" i="108"/>
  <c r="K18" i="108"/>
  <c r="I18" i="108"/>
  <c r="J18" i="108" s="1"/>
  <c r="Q17" i="108"/>
  <c r="K17" i="108"/>
  <c r="I17" i="108"/>
  <c r="R16" i="108"/>
  <c r="Q16" i="108"/>
  <c r="K16" i="108"/>
  <c r="I16" i="108"/>
  <c r="J16" i="108" s="1"/>
  <c r="Q15" i="108"/>
  <c r="K15" i="108"/>
  <c r="I15" i="108"/>
  <c r="J15" i="108" s="1"/>
  <c r="A11" i="108"/>
  <c r="D9" i="108"/>
  <c r="R18" i="108" l="1"/>
  <c r="S18" i="108" s="1"/>
  <c r="T18" i="108" s="1"/>
  <c r="U18" i="108" s="1"/>
  <c r="R19" i="108"/>
  <c r="S19" i="108" s="1"/>
  <c r="T19" i="108" s="1"/>
  <c r="U19" i="108" s="1"/>
  <c r="I9" i="108"/>
  <c r="I49" i="107" s="1"/>
  <c r="I8" i="108"/>
  <c r="I43" i="107" s="1"/>
  <c r="I13" i="61"/>
  <c r="K13" i="61" s="1"/>
  <c r="I13" i="55"/>
  <c r="K13" i="55" s="1"/>
  <c r="M45" i="109"/>
  <c r="K17" i="109"/>
  <c r="M17" i="109" s="1"/>
  <c r="M39" i="109"/>
  <c r="G37" i="109"/>
  <c r="G21" i="109"/>
  <c r="M13" i="109"/>
  <c r="M37" i="109"/>
  <c r="M38" i="109"/>
  <c r="M30" i="109"/>
  <c r="E13" i="109"/>
  <c r="G13" i="109" s="1"/>
  <c r="E16" i="109"/>
  <c r="K16" i="109" s="1"/>
  <c r="M16" i="109" s="1"/>
  <c r="S114" i="108"/>
  <c r="T114" i="108" s="1"/>
  <c r="U114" i="108" s="1"/>
  <c r="K21" i="109"/>
  <c r="M21" i="109" s="1"/>
  <c r="M27" i="109"/>
  <c r="E32" i="109"/>
  <c r="G32" i="109" s="1"/>
  <c r="E15" i="109"/>
  <c r="G15" i="109" s="1"/>
  <c r="E18" i="109"/>
  <c r="G35" i="109"/>
  <c r="K24" i="109"/>
  <c r="M24" i="109" s="1"/>
  <c r="K23" i="109"/>
  <c r="M23" i="109" s="1"/>
  <c r="K25" i="109"/>
  <c r="M25" i="109" s="1"/>
  <c r="K29" i="109"/>
  <c r="M29" i="109" s="1"/>
  <c r="S108" i="108"/>
  <c r="T108" i="108" s="1"/>
  <c r="U108" i="108" s="1"/>
  <c r="I6" i="108"/>
  <c r="S101" i="108"/>
  <c r="T101" i="108" s="1"/>
  <c r="U101" i="108" s="1"/>
  <c r="S35" i="108"/>
  <c r="T35" i="108" s="1"/>
  <c r="U35" i="108" s="1"/>
  <c r="S53" i="108"/>
  <c r="T53" i="108" s="1"/>
  <c r="U53" i="108" s="1"/>
  <c r="S70" i="108"/>
  <c r="T70" i="108" s="1"/>
  <c r="U70" i="108" s="1"/>
  <c r="S87" i="108"/>
  <c r="T87" i="108" s="1"/>
  <c r="U87" i="108" s="1"/>
  <c r="S100" i="108"/>
  <c r="T100" i="108" s="1"/>
  <c r="U100" i="108" s="1"/>
  <c r="S102" i="108"/>
  <c r="T102" i="108" s="1"/>
  <c r="U102" i="108" s="1"/>
  <c r="S107" i="108"/>
  <c r="T107" i="108" s="1"/>
  <c r="U107" i="108" s="1"/>
  <c r="S91" i="108"/>
  <c r="T91" i="108" s="1"/>
  <c r="U91" i="108" s="1"/>
  <c r="S23" i="108"/>
  <c r="T23" i="108" s="1"/>
  <c r="U23" i="108" s="1"/>
  <c r="M73" i="108"/>
  <c r="S27" i="108"/>
  <c r="T27" i="108" s="1"/>
  <c r="U27" i="108" s="1"/>
  <c r="S95" i="108"/>
  <c r="T95" i="108" s="1"/>
  <c r="U95" i="108" s="1"/>
  <c r="S30" i="108"/>
  <c r="T30" i="108" s="1"/>
  <c r="U30" i="108" s="1"/>
  <c r="S44" i="108"/>
  <c r="T44" i="108" s="1"/>
  <c r="U44" i="108" s="1"/>
  <c r="S64" i="108"/>
  <c r="T64" i="108" s="1"/>
  <c r="U64" i="108" s="1"/>
  <c r="S69" i="108"/>
  <c r="T69" i="108" s="1"/>
  <c r="U69" i="108" s="1"/>
  <c r="S84" i="108"/>
  <c r="T84" i="108" s="1"/>
  <c r="U84" i="108" s="1"/>
  <c r="S89" i="108"/>
  <c r="T89" i="108" s="1"/>
  <c r="U89" i="108" s="1"/>
  <c r="S55" i="108"/>
  <c r="T55" i="108" s="1"/>
  <c r="U55" i="108" s="1"/>
  <c r="S90" i="108"/>
  <c r="T90" i="108" s="1"/>
  <c r="U90" i="108" s="1"/>
  <c r="S54" i="108"/>
  <c r="T54" i="108" s="1"/>
  <c r="U54" i="108" s="1"/>
  <c r="S56" i="108"/>
  <c r="T56" i="108" s="1"/>
  <c r="U56" i="108" s="1"/>
  <c r="S60" i="108"/>
  <c r="T60" i="108" s="1"/>
  <c r="U60" i="108" s="1"/>
  <c r="S31" i="108"/>
  <c r="T31" i="108" s="1"/>
  <c r="U31" i="108" s="1"/>
  <c r="S85" i="108"/>
  <c r="T85" i="108" s="1"/>
  <c r="U85" i="108" s="1"/>
  <c r="S16" i="108"/>
  <c r="T16" i="108" s="1"/>
  <c r="U16" i="108" s="1"/>
  <c r="M57" i="108"/>
  <c r="S26" i="108"/>
  <c r="T26" i="108" s="1"/>
  <c r="U26" i="108" s="1"/>
  <c r="S48" i="108"/>
  <c r="T48" i="108" s="1"/>
  <c r="U48" i="108" s="1"/>
  <c r="S71" i="108"/>
  <c r="T71" i="108" s="1"/>
  <c r="U71" i="108" s="1"/>
  <c r="S92" i="108"/>
  <c r="T92" i="108" s="1"/>
  <c r="U92" i="108" s="1"/>
  <c r="S76" i="108"/>
  <c r="T76" i="108" s="1"/>
  <c r="U76" i="108" s="1"/>
  <c r="S112" i="108"/>
  <c r="T112" i="108" s="1"/>
  <c r="U112" i="108" s="1"/>
  <c r="S28" i="108"/>
  <c r="T28" i="108" s="1"/>
  <c r="U28" i="108" s="1"/>
  <c r="S45" i="108"/>
  <c r="T45" i="108" s="1"/>
  <c r="U45" i="108" s="1"/>
  <c r="S51" i="108"/>
  <c r="T51" i="108" s="1"/>
  <c r="U51" i="108" s="1"/>
  <c r="S86" i="108"/>
  <c r="T86" i="108" s="1"/>
  <c r="U86" i="108" s="1"/>
  <c r="S88" i="108"/>
  <c r="T88" i="108" s="1"/>
  <c r="U88" i="108" s="1"/>
  <c r="S68" i="108"/>
  <c r="T68" i="108" s="1"/>
  <c r="U68" i="108" s="1"/>
  <c r="S22" i="108"/>
  <c r="T22" i="108" s="1"/>
  <c r="U22" i="108" s="1"/>
  <c r="S37" i="108"/>
  <c r="T37" i="108" s="1"/>
  <c r="U37" i="108" s="1"/>
  <c r="S42" i="108"/>
  <c r="T42" i="108" s="1"/>
  <c r="U42" i="108" s="1"/>
  <c r="S83" i="108"/>
  <c r="T83" i="108" s="1"/>
  <c r="U83" i="108" s="1"/>
  <c r="S111" i="108"/>
  <c r="T111" i="108" s="1"/>
  <c r="U111" i="108" s="1"/>
  <c r="M89" i="108"/>
  <c r="M105" i="108"/>
  <c r="S29" i="108"/>
  <c r="T29" i="108" s="1"/>
  <c r="U29" i="108" s="1"/>
  <c r="S52" i="108"/>
  <c r="T52" i="108" s="1"/>
  <c r="U52" i="108" s="1"/>
  <c r="S79" i="108"/>
  <c r="T79" i="108" s="1"/>
  <c r="U79" i="108" s="1"/>
  <c r="S103" i="108"/>
  <c r="T103" i="108" s="1"/>
  <c r="U103" i="108" s="1"/>
  <c r="S109" i="108"/>
  <c r="T109" i="108" s="1"/>
  <c r="U109" i="108" s="1"/>
  <c r="S20" i="108"/>
  <c r="T20" i="108" s="1"/>
  <c r="U20" i="108" s="1"/>
  <c r="S32" i="108"/>
  <c r="T32" i="108" s="1"/>
  <c r="U32" i="108" s="1"/>
  <c r="S43" i="108"/>
  <c r="T43" i="108" s="1"/>
  <c r="U43" i="108" s="1"/>
  <c r="S63" i="108"/>
  <c r="T63" i="108" s="1"/>
  <c r="U63" i="108" s="1"/>
  <c r="S34" i="108"/>
  <c r="T34" i="108" s="1"/>
  <c r="U34" i="108" s="1"/>
  <c r="S36" i="108"/>
  <c r="T36" i="108" s="1"/>
  <c r="U36" i="108" s="1"/>
  <c r="S96" i="108"/>
  <c r="T96" i="108" s="1"/>
  <c r="U96" i="108" s="1"/>
  <c r="S99" i="108"/>
  <c r="T99" i="108" s="1"/>
  <c r="U99" i="108" s="1"/>
  <c r="S78" i="108"/>
  <c r="T78" i="108" s="1"/>
  <c r="U78" i="108" s="1"/>
  <c r="S93" i="108"/>
  <c r="T93" i="108" s="1"/>
  <c r="U93" i="108" s="1"/>
  <c r="S39" i="108"/>
  <c r="T39" i="108" s="1"/>
  <c r="U39" i="108" s="1"/>
  <c r="S47" i="108"/>
  <c r="T47" i="108" s="1"/>
  <c r="U47" i="108" s="1"/>
  <c r="S59" i="108"/>
  <c r="T59" i="108" s="1"/>
  <c r="U59" i="108" s="1"/>
  <c r="S61" i="108"/>
  <c r="T61" i="108" s="1"/>
  <c r="U61" i="108" s="1"/>
  <c r="S67" i="108"/>
  <c r="T67" i="108" s="1"/>
  <c r="U67" i="108" s="1"/>
  <c r="S72" i="108"/>
  <c r="T72" i="108" s="1"/>
  <c r="U72" i="108" s="1"/>
  <c r="S75" i="108"/>
  <c r="T75" i="108" s="1"/>
  <c r="U75" i="108" s="1"/>
  <c r="S77" i="108"/>
  <c r="T77" i="108" s="1"/>
  <c r="U77" i="108" s="1"/>
  <c r="S80" i="108"/>
  <c r="T80" i="108" s="1"/>
  <c r="U80" i="108" s="1"/>
  <c r="S104" i="108"/>
  <c r="T104" i="108" s="1"/>
  <c r="U104" i="108" s="1"/>
  <c r="M68" i="108"/>
  <c r="J99" i="108"/>
  <c r="L99" i="108"/>
  <c r="L92" i="108"/>
  <c r="J92" i="108"/>
  <c r="J31" i="108"/>
  <c r="M31" i="108" s="1"/>
  <c r="M54" i="108"/>
  <c r="J43" i="108"/>
  <c r="L43" i="108"/>
  <c r="I7" i="108"/>
  <c r="R17" i="108"/>
  <c r="S17" i="108" s="1"/>
  <c r="T17" i="108" s="1"/>
  <c r="U17" i="108" s="1"/>
  <c r="S106" i="108"/>
  <c r="T106" i="108" s="1"/>
  <c r="U106" i="108" s="1"/>
  <c r="M50" i="108"/>
  <c r="J71" i="108"/>
  <c r="L71" i="108"/>
  <c r="M110" i="108"/>
  <c r="J19" i="108"/>
  <c r="S21" i="108"/>
  <c r="T21" i="108" s="1"/>
  <c r="U21" i="108" s="1"/>
  <c r="J30" i="108"/>
  <c r="L30" i="108"/>
  <c r="L38" i="108"/>
  <c r="M58" i="108"/>
  <c r="M65" i="108"/>
  <c r="J42" i="108"/>
  <c r="M42" i="108" s="1"/>
  <c r="M52" i="108"/>
  <c r="S62" i="108"/>
  <c r="T62" i="108" s="1"/>
  <c r="U62" i="108" s="1"/>
  <c r="J17" i="108"/>
  <c r="J29" i="108"/>
  <c r="J6" i="108" s="1"/>
  <c r="M36" i="108"/>
  <c r="S38" i="108"/>
  <c r="T38" i="108" s="1"/>
  <c r="U38" i="108" s="1"/>
  <c r="M47" i="108"/>
  <c r="S58" i="108"/>
  <c r="T58" i="108" s="1"/>
  <c r="U58" i="108" s="1"/>
  <c r="J68" i="108"/>
  <c r="J69" i="108"/>
  <c r="M69" i="108" s="1"/>
  <c r="M97" i="108"/>
  <c r="S24" i="108"/>
  <c r="T24" i="108" s="1"/>
  <c r="U24" i="108" s="1"/>
  <c r="M83" i="108"/>
  <c r="S105" i="108"/>
  <c r="T105" i="108" s="1"/>
  <c r="U105" i="108" s="1"/>
  <c r="J20" i="108"/>
  <c r="M41" i="108"/>
  <c r="M44" i="108"/>
  <c r="M51" i="108"/>
  <c r="S57" i="108"/>
  <c r="T57" i="108" s="1"/>
  <c r="U57" i="108" s="1"/>
  <c r="J72" i="108"/>
  <c r="M72" i="108" s="1"/>
  <c r="M34" i="108"/>
  <c r="M40" i="108"/>
  <c r="J67" i="108"/>
  <c r="L67" i="108"/>
  <c r="M100" i="108"/>
  <c r="M82" i="108"/>
  <c r="M88" i="108"/>
  <c r="S94" i="108"/>
  <c r="T94" i="108" s="1"/>
  <c r="U94" i="108" s="1"/>
  <c r="L108" i="108"/>
  <c r="J108" i="108"/>
  <c r="M79" i="108"/>
  <c r="M98" i="108"/>
  <c r="S110" i="108"/>
  <c r="T110" i="108" s="1"/>
  <c r="U110" i="108" s="1"/>
  <c r="J84" i="108"/>
  <c r="M84" i="108" s="1"/>
  <c r="M90" i="108"/>
  <c r="J104" i="108"/>
  <c r="M114" i="108"/>
  <c r="J34" i="108"/>
  <c r="S46" i="108"/>
  <c r="T46" i="108" s="1"/>
  <c r="U46" i="108" s="1"/>
  <c r="J52" i="108"/>
  <c r="M70" i="108"/>
  <c r="S73" i="108"/>
  <c r="T73" i="108" s="1"/>
  <c r="U73" i="108" s="1"/>
  <c r="L87" i="108"/>
  <c r="J24" i="108"/>
  <c r="J9" i="108" s="1"/>
  <c r="M33" i="108"/>
  <c r="J35" i="108"/>
  <c r="S40" i="108"/>
  <c r="T40" i="108" s="1"/>
  <c r="U40" i="108" s="1"/>
  <c r="M53" i="108"/>
  <c r="J56" i="108"/>
  <c r="M56" i="108" s="1"/>
  <c r="J59" i="108"/>
  <c r="L59" i="108"/>
  <c r="M63" i="108"/>
  <c r="M66" i="108"/>
  <c r="L76" i="108"/>
  <c r="J76" i="108"/>
  <c r="J85" i="108"/>
  <c r="M85" i="108" s="1"/>
  <c r="M95" i="108"/>
  <c r="M74" i="108"/>
  <c r="S15" i="108"/>
  <c r="J60" i="108"/>
  <c r="S74" i="108"/>
  <c r="T74" i="108" s="1"/>
  <c r="U74" i="108" s="1"/>
  <c r="L55" i="108"/>
  <c r="M101" i="108"/>
  <c r="L103" i="108"/>
  <c r="M106" i="108"/>
  <c r="M86" i="108"/>
  <c r="M102" i="108"/>
  <c r="S113" i="108"/>
  <c r="T113" i="108" s="1"/>
  <c r="U113" i="108" s="1"/>
  <c r="S25" i="108"/>
  <c r="T25" i="108" s="1"/>
  <c r="U25" i="108" s="1"/>
  <c r="S49" i="108"/>
  <c r="T49" i="108" s="1"/>
  <c r="U49" i="108" s="1"/>
  <c r="S50" i="108"/>
  <c r="T50" i="108" s="1"/>
  <c r="U50" i="108" s="1"/>
  <c r="M61" i="108"/>
  <c r="S65" i="108"/>
  <c r="T65" i="108" s="1"/>
  <c r="U65" i="108" s="1"/>
  <c r="S66" i="108"/>
  <c r="T66" i="108" s="1"/>
  <c r="U66" i="108" s="1"/>
  <c r="S81" i="108"/>
  <c r="T81" i="108" s="1"/>
  <c r="U81" i="108" s="1"/>
  <c r="S82" i="108"/>
  <c r="T82" i="108" s="1"/>
  <c r="U82" i="108" s="1"/>
  <c r="S97" i="108"/>
  <c r="T97" i="108" s="1"/>
  <c r="U97" i="108" s="1"/>
  <c r="S98" i="108"/>
  <c r="T98" i="108" s="1"/>
  <c r="U98" i="108" s="1"/>
  <c r="J32" i="108"/>
  <c r="S33" i="108"/>
  <c r="T33" i="108" s="1"/>
  <c r="U33" i="108" s="1"/>
  <c r="S41" i="108"/>
  <c r="T41" i="108" s="1"/>
  <c r="U41" i="108" s="1"/>
  <c r="J45" i="108"/>
  <c r="J48" i="108"/>
  <c r="J61" i="108"/>
  <c r="J64" i="108"/>
  <c r="L75" i="108"/>
  <c r="J77" i="108"/>
  <c r="M77" i="108" s="1"/>
  <c r="J80" i="108"/>
  <c r="L91" i="108"/>
  <c r="J93" i="108"/>
  <c r="J96" i="108"/>
  <c r="L107" i="108"/>
  <c r="J109" i="108"/>
  <c r="J112" i="108"/>
  <c r="J7" i="108" l="1"/>
  <c r="L29" i="108"/>
  <c r="M29" i="108" s="1"/>
  <c r="L28" i="108"/>
  <c r="M28" i="108" s="1"/>
  <c r="L27" i="108"/>
  <c r="M27" i="108" s="1"/>
  <c r="I37" i="66"/>
  <c r="K37" i="66" s="1"/>
  <c r="I38" i="99"/>
  <c r="K38" i="99" s="1"/>
  <c r="I38" i="74"/>
  <c r="K38" i="74" s="1"/>
  <c r="I38" i="95"/>
  <c r="K38" i="95" s="1"/>
  <c r="I38" i="92"/>
  <c r="K38" i="92" s="1"/>
  <c r="I38" i="88"/>
  <c r="K38" i="88" s="1"/>
  <c r="I38" i="84"/>
  <c r="K38" i="84" s="1"/>
  <c r="I38" i="76"/>
  <c r="K38" i="76" s="1"/>
  <c r="I38" i="69"/>
  <c r="K38" i="69" s="1"/>
  <c r="I38" i="100"/>
  <c r="K38" i="100" s="1"/>
  <c r="I38" i="93"/>
  <c r="K38" i="93" s="1"/>
  <c r="I38" i="72"/>
  <c r="K38" i="72" s="1"/>
  <c r="I38" i="91"/>
  <c r="K38" i="91" s="1"/>
  <c r="I38" i="87"/>
  <c r="K38" i="87" s="1"/>
  <c r="I38" i="96"/>
  <c r="K38" i="96" s="1"/>
  <c r="I38" i="94"/>
  <c r="K38" i="94" s="1"/>
  <c r="I38" i="89"/>
  <c r="K38" i="89" s="1"/>
  <c r="I38" i="85"/>
  <c r="K38" i="85" s="1"/>
  <c r="I38" i="77"/>
  <c r="K38" i="77" s="1"/>
  <c r="I38" i="81"/>
  <c r="K38" i="81" s="1"/>
  <c r="I38" i="97"/>
  <c r="K38" i="97" s="1"/>
  <c r="I38" i="79"/>
  <c r="K38" i="79" s="1"/>
  <c r="I38" i="78"/>
  <c r="K38" i="78" s="1"/>
  <c r="I38" i="83"/>
  <c r="K38" i="83" s="1"/>
  <c r="I38" i="71"/>
  <c r="K38" i="71" s="1"/>
  <c r="I38" i="90"/>
  <c r="K38" i="90" s="1"/>
  <c r="I38" i="86"/>
  <c r="K38" i="86" s="1"/>
  <c r="I38" i="80"/>
  <c r="K38" i="80" s="1"/>
  <c r="I38" i="75"/>
  <c r="K38" i="75" s="1"/>
  <c r="I38" i="98"/>
  <c r="K38" i="98" s="1"/>
  <c r="I38" i="82"/>
  <c r="K38" i="82" s="1"/>
  <c r="I38" i="70"/>
  <c r="K38" i="70" s="1"/>
  <c r="I38" i="134"/>
  <c r="K38" i="134" s="1"/>
  <c r="I38" i="73"/>
  <c r="K38" i="73" s="1"/>
  <c r="I43" i="66"/>
  <c r="K43" i="66" s="1"/>
  <c r="I44" i="96"/>
  <c r="K44" i="96" s="1"/>
  <c r="I44" i="94"/>
  <c r="K44" i="94" s="1"/>
  <c r="I44" i="89"/>
  <c r="K44" i="89" s="1"/>
  <c r="I44" i="85"/>
  <c r="K44" i="85" s="1"/>
  <c r="I44" i="77"/>
  <c r="K44" i="77" s="1"/>
  <c r="I44" i="97"/>
  <c r="K44" i="97" s="1"/>
  <c r="I44" i="79"/>
  <c r="K44" i="79" s="1"/>
  <c r="I44" i="78"/>
  <c r="K44" i="78" s="1"/>
  <c r="I44" i="71"/>
  <c r="K44" i="71" s="1"/>
  <c r="I44" i="90"/>
  <c r="K44" i="90" s="1"/>
  <c r="I44" i="86"/>
  <c r="K44" i="86" s="1"/>
  <c r="I44" i="80"/>
  <c r="K44" i="80" s="1"/>
  <c r="I44" i="70"/>
  <c r="K44" i="70" s="1"/>
  <c r="I44" i="134"/>
  <c r="K44" i="134" s="1"/>
  <c r="I44" i="98"/>
  <c r="K44" i="98" s="1"/>
  <c r="I44" i="82"/>
  <c r="K44" i="82" s="1"/>
  <c r="I44" i="100"/>
  <c r="K44" i="100" s="1"/>
  <c r="I44" i="72"/>
  <c r="K44" i="72" s="1"/>
  <c r="I44" i="91"/>
  <c r="K44" i="91" s="1"/>
  <c r="I44" i="87"/>
  <c r="K44" i="87" s="1"/>
  <c r="I44" i="83"/>
  <c r="K44" i="83" s="1"/>
  <c r="I44" i="81"/>
  <c r="K44" i="81" s="1"/>
  <c r="I44" i="75"/>
  <c r="K44" i="75" s="1"/>
  <c r="I44" i="73"/>
  <c r="K44" i="73" s="1"/>
  <c r="I44" i="69"/>
  <c r="K44" i="69" s="1"/>
  <c r="I44" i="99"/>
  <c r="K44" i="99" s="1"/>
  <c r="I44" i="74"/>
  <c r="K44" i="74" s="1"/>
  <c r="I44" i="95"/>
  <c r="K44" i="95" s="1"/>
  <c r="I44" i="92"/>
  <c r="K44" i="92" s="1"/>
  <c r="I44" i="88"/>
  <c r="K44" i="88" s="1"/>
  <c r="I44" i="84"/>
  <c r="K44" i="84" s="1"/>
  <c r="I44" i="76"/>
  <c r="K44" i="76" s="1"/>
  <c r="I44" i="93"/>
  <c r="K44" i="93" s="1"/>
  <c r="I43" i="101"/>
  <c r="I45" i="101" s="1"/>
  <c r="I42" i="20" s="1"/>
  <c r="I50" i="102"/>
  <c r="I46" i="17" s="1"/>
  <c r="I43" i="63"/>
  <c r="K43" i="63" s="1"/>
  <c r="I43" i="57"/>
  <c r="K43" i="57" s="1"/>
  <c r="I43" i="64"/>
  <c r="K43" i="64" s="1"/>
  <c r="I43" i="59"/>
  <c r="K43" i="59" s="1"/>
  <c r="I43" i="60"/>
  <c r="K43" i="60" s="1"/>
  <c r="I43" i="65"/>
  <c r="K43" i="65" s="1"/>
  <c r="I44" i="68"/>
  <c r="K44" i="68" s="1"/>
  <c r="I43" i="67"/>
  <c r="K43" i="67" s="1"/>
  <c r="I43" i="55"/>
  <c r="K43" i="55" s="1"/>
  <c r="I43" i="61"/>
  <c r="K43" i="61" s="1"/>
  <c r="I43" i="56"/>
  <c r="K43" i="56" s="1"/>
  <c r="I43" i="62"/>
  <c r="K43" i="62" s="1"/>
  <c r="I43" i="58"/>
  <c r="K43" i="58" s="1"/>
  <c r="I37" i="64"/>
  <c r="K37" i="64" s="1"/>
  <c r="I37" i="59"/>
  <c r="K37" i="59" s="1"/>
  <c r="I37" i="55"/>
  <c r="K37" i="55" s="1"/>
  <c r="I37" i="63"/>
  <c r="K37" i="63" s="1"/>
  <c r="I37" i="67"/>
  <c r="K37" i="67" s="1"/>
  <c r="I44" i="102"/>
  <c r="I39" i="28" s="1"/>
  <c r="I38" i="68"/>
  <c r="K38" i="68" s="1"/>
  <c r="I37" i="61"/>
  <c r="K37" i="61" s="1"/>
  <c r="I37" i="56"/>
  <c r="K37" i="56" s="1"/>
  <c r="I37" i="62"/>
  <c r="K37" i="62" s="1"/>
  <c r="I37" i="57"/>
  <c r="K37" i="57" s="1"/>
  <c r="I37" i="65"/>
  <c r="K37" i="65" s="1"/>
  <c r="I37" i="60"/>
  <c r="K37" i="60" s="1"/>
  <c r="I37" i="58"/>
  <c r="K37" i="58" s="1"/>
  <c r="I28" i="20"/>
  <c r="I29" i="101"/>
  <c r="I31" i="101" s="1"/>
  <c r="I30" i="20" s="1"/>
  <c r="J8" i="108"/>
  <c r="E31" i="109"/>
  <c r="G31" i="109" s="1"/>
  <c r="K51" i="109"/>
  <c r="M51" i="109" s="1"/>
  <c r="E17" i="109"/>
  <c r="G17" i="109" s="1"/>
  <c r="E14" i="109"/>
  <c r="G14" i="109" s="1"/>
  <c r="G16" i="109"/>
  <c r="K32" i="109"/>
  <c r="M32" i="109" s="1"/>
  <c r="I30" i="102"/>
  <c r="I30" i="107"/>
  <c r="I11" i="108"/>
  <c r="I38" i="102"/>
  <c r="I36" i="101"/>
  <c r="I37" i="107"/>
  <c r="L20" i="108"/>
  <c r="M20" i="108" s="1"/>
  <c r="L17" i="108"/>
  <c r="M17" i="108" s="1"/>
  <c r="K22" i="109"/>
  <c r="M22" i="109" s="1"/>
  <c r="E33" i="109"/>
  <c r="G33" i="109" s="1"/>
  <c r="K33" i="109"/>
  <c r="M33" i="109" s="1"/>
  <c r="E34" i="109"/>
  <c r="G34" i="109" s="1"/>
  <c r="K34" i="109"/>
  <c r="M34" i="109" s="1"/>
  <c r="K31" i="109"/>
  <c r="M31" i="109" s="1"/>
  <c r="K18" i="109"/>
  <c r="M18" i="109" s="1"/>
  <c r="M19" i="109" s="1"/>
  <c r="G18" i="109"/>
  <c r="M80" i="108"/>
  <c r="J115" i="108"/>
  <c r="M76" i="108"/>
  <c r="M87" i="108"/>
  <c r="M67" i="108"/>
  <c r="M38" i="108"/>
  <c r="M104" i="108"/>
  <c r="S115" i="108"/>
  <c r="D10" i="108" s="1"/>
  <c r="D11" i="108" s="1"/>
  <c r="T15" i="108"/>
  <c r="R115" i="108"/>
  <c r="M71" i="108"/>
  <c r="M32" i="108"/>
  <c r="M43" i="108"/>
  <c r="M55" i="108"/>
  <c r="M64" i="108"/>
  <c r="M109" i="108"/>
  <c r="M103" i="108"/>
  <c r="M35" i="108"/>
  <c r="M30" i="108"/>
  <c r="M108" i="108"/>
  <c r="M75" i="108"/>
  <c r="M112" i="108"/>
  <c r="M59" i="108"/>
  <c r="M91" i="108"/>
  <c r="M93" i="108"/>
  <c r="M92" i="108"/>
  <c r="M45" i="108"/>
  <c r="M99" i="108"/>
  <c r="M107" i="108"/>
  <c r="M96" i="108"/>
  <c r="M48" i="108"/>
  <c r="M60" i="108"/>
  <c r="J11" i="108" l="1"/>
  <c r="I32" i="71"/>
  <c r="K32" i="71" s="1"/>
  <c r="I32" i="90"/>
  <c r="K32" i="90" s="1"/>
  <c r="I32" i="86"/>
  <c r="K32" i="86" s="1"/>
  <c r="I32" i="80"/>
  <c r="K32" i="80" s="1"/>
  <c r="I32" i="79"/>
  <c r="K32" i="79" s="1"/>
  <c r="I32" i="98"/>
  <c r="K32" i="98" s="1"/>
  <c r="I32" i="82"/>
  <c r="K32" i="82" s="1"/>
  <c r="I32" i="70"/>
  <c r="K32" i="70" s="1"/>
  <c r="I32" i="72"/>
  <c r="K32" i="72" s="1"/>
  <c r="I32" i="91"/>
  <c r="K32" i="91" s="1"/>
  <c r="I32" i="87"/>
  <c r="K32" i="87" s="1"/>
  <c r="I32" i="83"/>
  <c r="K32" i="83" s="1"/>
  <c r="I32" i="81"/>
  <c r="K32" i="81" s="1"/>
  <c r="I32" i="75"/>
  <c r="K32" i="75" s="1"/>
  <c r="I32" i="73"/>
  <c r="K32" i="73" s="1"/>
  <c r="I32" i="69"/>
  <c r="K32" i="69" s="1"/>
  <c r="I32" i="134"/>
  <c r="K32" i="134" s="1"/>
  <c r="I32" i="97"/>
  <c r="K32" i="97" s="1"/>
  <c r="I32" i="99"/>
  <c r="K32" i="99" s="1"/>
  <c r="I32" i="74"/>
  <c r="K32" i="74" s="1"/>
  <c r="I32" i="95"/>
  <c r="K32" i="95" s="1"/>
  <c r="I32" i="92"/>
  <c r="K32" i="92" s="1"/>
  <c r="I32" i="88"/>
  <c r="K32" i="88" s="1"/>
  <c r="I32" i="84"/>
  <c r="K32" i="84" s="1"/>
  <c r="I32" i="76"/>
  <c r="K32" i="76" s="1"/>
  <c r="I32" i="100"/>
  <c r="K32" i="100" s="1"/>
  <c r="I32" i="93"/>
  <c r="K32" i="93" s="1"/>
  <c r="I32" i="96"/>
  <c r="K32" i="96" s="1"/>
  <c r="I32" i="94"/>
  <c r="K32" i="94" s="1"/>
  <c r="I32" i="89"/>
  <c r="K32" i="89" s="1"/>
  <c r="I32" i="85"/>
  <c r="K32" i="85" s="1"/>
  <c r="I32" i="77"/>
  <c r="K32" i="77" s="1"/>
  <c r="I32" i="78"/>
  <c r="K32" i="78" s="1"/>
  <c r="I26" i="100"/>
  <c r="K26" i="100" s="1"/>
  <c r="I26" i="93"/>
  <c r="K26" i="93" s="1"/>
  <c r="I26" i="96"/>
  <c r="K26" i="96" s="1"/>
  <c r="I26" i="94"/>
  <c r="K26" i="94" s="1"/>
  <c r="I26" i="89"/>
  <c r="K26" i="89" s="1"/>
  <c r="I26" i="85"/>
  <c r="K26" i="85" s="1"/>
  <c r="I26" i="77"/>
  <c r="K26" i="77" s="1"/>
  <c r="I26" i="88"/>
  <c r="K26" i="88" s="1"/>
  <c r="I26" i="97"/>
  <c r="K26" i="97" s="1"/>
  <c r="I26" i="79"/>
  <c r="K26" i="79" s="1"/>
  <c r="I26" i="78"/>
  <c r="K26" i="78" s="1"/>
  <c r="I26" i="95"/>
  <c r="K26" i="95" s="1"/>
  <c r="I26" i="71"/>
  <c r="K26" i="71" s="1"/>
  <c r="I26" i="90"/>
  <c r="K26" i="90" s="1"/>
  <c r="I26" i="86"/>
  <c r="K26" i="86" s="1"/>
  <c r="I26" i="80"/>
  <c r="K26" i="80" s="1"/>
  <c r="I26" i="98"/>
  <c r="K26" i="98" s="1"/>
  <c r="I26" i="82"/>
  <c r="K26" i="82" s="1"/>
  <c r="I26" i="70"/>
  <c r="K26" i="70" s="1"/>
  <c r="I26" i="72"/>
  <c r="K26" i="72" s="1"/>
  <c r="I26" i="91"/>
  <c r="K26" i="91" s="1"/>
  <c r="I26" i="87"/>
  <c r="K26" i="87" s="1"/>
  <c r="I26" i="83"/>
  <c r="K26" i="83" s="1"/>
  <c r="I26" i="81"/>
  <c r="K26" i="81" s="1"/>
  <c r="I26" i="69"/>
  <c r="K26" i="69" s="1"/>
  <c r="I26" i="134"/>
  <c r="K26" i="134" s="1"/>
  <c r="I26" i="99"/>
  <c r="K26" i="99" s="1"/>
  <c r="I26" i="75"/>
  <c r="K26" i="75" s="1"/>
  <c r="I26" i="74"/>
  <c r="K26" i="74" s="1"/>
  <c r="I26" i="73"/>
  <c r="K26" i="73" s="1"/>
  <c r="I26" i="92"/>
  <c r="K26" i="92" s="1"/>
  <c r="I26" i="84"/>
  <c r="K26" i="84" s="1"/>
  <c r="I26" i="76"/>
  <c r="K26" i="76" s="1"/>
  <c r="I40" i="20"/>
  <c r="I46" i="21"/>
  <c r="I45" i="38"/>
  <c r="K45" i="38" s="1"/>
  <c r="I45" i="31"/>
  <c r="I46" i="23"/>
  <c r="I45" i="30"/>
  <c r="I39" i="33"/>
  <c r="K39" i="33" s="1"/>
  <c r="I43" i="54"/>
  <c r="K43" i="54" s="1"/>
  <c r="I39" i="34"/>
  <c r="K39" i="34" s="1"/>
  <c r="I45" i="33"/>
  <c r="K45" i="33" s="1"/>
  <c r="I45" i="36"/>
  <c r="K45" i="36" s="1"/>
  <c r="I45" i="34"/>
  <c r="K45" i="34" s="1"/>
  <c r="I45" i="42"/>
  <c r="K45" i="42" s="1"/>
  <c r="I45" i="39"/>
  <c r="K45" i="39" s="1"/>
  <c r="I43" i="49"/>
  <c r="K43" i="49" s="1"/>
  <c r="I45" i="37"/>
  <c r="K45" i="37" s="1"/>
  <c r="I43" i="50"/>
  <c r="K43" i="50" s="1"/>
  <c r="I43" i="51"/>
  <c r="K43" i="51" s="1"/>
  <c r="I43" i="52"/>
  <c r="K43" i="52" s="1"/>
  <c r="I45" i="29"/>
  <c r="I46" i="19"/>
  <c r="I46" i="22"/>
  <c r="I45" i="27"/>
  <c r="I45" i="32"/>
  <c r="K45" i="32" s="1"/>
  <c r="I45" i="25"/>
  <c r="I46" i="24"/>
  <c r="I45" i="28"/>
  <c r="I45" i="41"/>
  <c r="K45" i="41" s="1"/>
  <c r="I45" i="35"/>
  <c r="K45" i="35" s="1"/>
  <c r="I45" i="26"/>
  <c r="I45" i="40"/>
  <c r="K45" i="40" s="1"/>
  <c r="I43" i="53"/>
  <c r="K43" i="53" s="1"/>
  <c r="I37" i="51"/>
  <c r="K37" i="51" s="1"/>
  <c r="I39" i="41"/>
  <c r="K39" i="41" s="1"/>
  <c r="I40" i="22"/>
  <c r="I39" i="26"/>
  <c r="I39" i="35"/>
  <c r="K39" i="35" s="1"/>
  <c r="I37" i="52"/>
  <c r="K37" i="52" s="1"/>
  <c r="I39" i="31"/>
  <c r="I39" i="25"/>
  <c r="I37" i="54"/>
  <c r="K37" i="54" s="1"/>
  <c r="I39" i="32"/>
  <c r="K39" i="32" s="1"/>
  <c r="I39" i="27"/>
  <c r="I39" i="29"/>
  <c r="I39" i="38"/>
  <c r="K39" i="38" s="1"/>
  <c r="I39" i="39"/>
  <c r="K39" i="39" s="1"/>
  <c r="I39" i="40"/>
  <c r="K39" i="40" s="1"/>
  <c r="I37" i="53"/>
  <c r="K37" i="53" s="1"/>
  <c r="I40" i="21"/>
  <c r="I39" i="37"/>
  <c r="K39" i="37" s="1"/>
  <c r="I39" i="42"/>
  <c r="K39" i="42" s="1"/>
  <c r="I37" i="50"/>
  <c r="K37" i="50" s="1"/>
  <c r="I39" i="36"/>
  <c r="K39" i="36" s="1"/>
  <c r="I40" i="19"/>
  <c r="I40" i="17"/>
  <c r="I40" i="23"/>
  <c r="I39" i="30"/>
  <c r="I37" i="49"/>
  <c r="K37" i="49" s="1"/>
  <c r="I40" i="24"/>
  <c r="I32" i="68"/>
  <c r="K32" i="68" s="1"/>
  <c r="I31" i="63"/>
  <c r="K31" i="63" s="1"/>
  <c r="I31" i="66"/>
  <c r="K31" i="66" s="1"/>
  <c r="I31" i="65"/>
  <c r="K31" i="65" s="1"/>
  <c r="I31" i="62"/>
  <c r="K31" i="62" s="1"/>
  <c r="I31" i="61"/>
  <c r="K31" i="61" s="1"/>
  <c r="I31" i="55"/>
  <c r="K31" i="55" s="1"/>
  <c r="I31" i="67"/>
  <c r="K31" i="67" s="1"/>
  <c r="I31" i="60"/>
  <c r="K31" i="60" s="1"/>
  <c r="I31" i="59"/>
  <c r="K31" i="59" s="1"/>
  <c r="I31" i="64"/>
  <c r="K31" i="64" s="1"/>
  <c r="I31" i="58"/>
  <c r="K31" i="58" s="1"/>
  <c r="I31" i="57"/>
  <c r="K31" i="57" s="1"/>
  <c r="I31" i="56"/>
  <c r="K31" i="56" s="1"/>
  <c r="I33" i="40"/>
  <c r="K33" i="40" s="1"/>
  <c r="I33" i="33"/>
  <c r="K33" i="33" s="1"/>
  <c r="I34" i="19"/>
  <c r="I31" i="50"/>
  <c r="K31" i="50" s="1"/>
  <c r="I33" i="36"/>
  <c r="K33" i="36" s="1"/>
  <c r="I31" i="54"/>
  <c r="K31" i="54" s="1"/>
  <c r="I33" i="39"/>
  <c r="K33" i="39" s="1"/>
  <c r="I33" i="30"/>
  <c r="I33" i="29"/>
  <c r="I31" i="49"/>
  <c r="K31" i="49" s="1"/>
  <c r="I33" i="35"/>
  <c r="K33" i="35" s="1"/>
  <c r="I34" i="21"/>
  <c r="I31" i="53"/>
  <c r="K31" i="53" s="1"/>
  <c r="I33" i="32"/>
  <c r="K33" i="32" s="1"/>
  <c r="I33" i="28"/>
  <c r="I33" i="27"/>
  <c r="I34" i="23"/>
  <c r="I31" i="52"/>
  <c r="K31" i="52" s="1"/>
  <c r="I33" i="42"/>
  <c r="K33" i="42" s="1"/>
  <c r="I33" i="38"/>
  <c r="K33" i="38" s="1"/>
  <c r="I33" i="31"/>
  <c r="I33" i="26"/>
  <c r="I34" i="24"/>
  <c r="I34" i="22"/>
  <c r="I31" i="51"/>
  <c r="K31" i="51" s="1"/>
  <c r="I33" i="41"/>
  <c r="K33" i="41" s="1"/>
  <c r="I34" i="17"/>
  <c r="I33" i="37"/>
  <c r="K33" i="37" s="1"/>
  <c r="I33" i="34"/>
  <c r="K33" i="34" s="1"/>
  <c r="I33" i="25"/>
  <c r="I25" i="58"/>
  <c r="K25" i="58" s="1"/>
  <c r="I25" i="57"/>
  <c r="K25" i="57" s="1"/>
  <c r="I25" i="56"/>
  <c r="K25" i="56" s="1"/>
  <c r="I26" i="68"/>
  <c r="K26" i="68" s="1"/>
  <c r="I25" i="63"/>
  <c r="K25" i="63" s="1"/>
  <c r="I25" i="66"/>
  <c r="K25" i="66" s="1"/>
  <c r="I25" i="65"/>
  <c r="K25" i="65" s="1"/>
  <c r="I25" i="62"/>
  <c r="K25" i="62" s="1"/>
  <c r="I25" i="61"/>
  <c r="K25" i="61" s="1"/>
  <c r="I25" i="67"/>
  <c r="K25" i="67" s="1"/>
  <c r="I25" i="60"/>
  <c r="K25" i="60" s="1"/>
  <c r="I25" i="59"/>
  <c r="K25" i="59" s="1"/>
  <c r="I25" i="49"/>
  <c r="K25" i="49" s="1"/>
  <c r="I25" i="55"/>
  <c r="K25" i="55" s="1"/>
  <c r="I25" i="64"/>
  <c r="K25" i="64" s="1"/>
  <c r="I25" i="50"/>
  <c r="K25" i="50" s="1"/>
  <c r="I26" i="37"/>
  <c r="K26" i="37" s="1"/>
  <c r="I26" i="34"/>
  <c r="K26" i="34" s="1"/>
  <c r="I26" i="33"/>
  <c r="K26" i="33" s="1"/>
  <c r="I26" i="31"/>
  <c r="I27" i="26"/>
  <c r="I27" i="24"/>
  <c r="I27" i="22"/>
  <c r="I26" i="40"/>
  <c r="K26" i="40" s="1"/>
  <c r="I27" i="17"/>
  <c r="I25" i="54"/>
  <c r="K25" i="54" s="1"/>
  <c r="I26" i="36"/>
  <c r="K26" i="36" s="1"/>
  <c r="I27" i="25"/>
  <c r="I26" i="39"/>
  <c r="K26" i="39" s="1"/>
  <c r="I27" i="19"/>
  <c r="I25" i="53"/>
  <c r="K25" i="53" s="1"/>
  <c r="I25" i="52"/>
  <c r="K25" i="52" s="1"/>
  <c r="I26" i="35"/>
  <c r="K26" i="35" s="1"/>
  <c r="I26" i="32"/>
  <c r="K26" i="32" s="1"/>
  <c r="I25" i="51"/>
  <c r="K25" i="51" s="1"/>
  <c r="I27" i="30"/>
  <c r="I27" i="29"/>
  <c r="I26" i="42"/>
  <c r="K26" i="42" s="1"/>
  <c r="I26" i="38"/>
  <c r="K26" i="38" s="1"/>
  <c r="I27" i="21"/>
  <c r="I26" i="41"/>
  <c r="K26" i="41" s="1"/>
  <c r="I27" i="28"/>
  <c r="I27" i="27"/>
  <c r="I27" i="23"/>
  <c r="I38" i="101"/>
  <c r="I37" i="16"/>
  <c r="I34" i="20"/>
  <c r="G19" i="109"/>
  <c r="K36" i="109"/>
  <c r="K35" i="109"/>
  <c r="M35" i="109" s="1"/>
  <c r="T115" i="108"/>
  <c r="U15" i="108"/>
  <c r="L18" i="108" l="1"/>
  <c r="M18" i="108" s="1"/>
  <c r="L19" i="108"/>
  <c r="M19" i="108" s="1"/>
  <c r="I36" i="20"/>
  <c r="I39" i="16"/>
  <c r="L25" i="108"/>
  <c r="L26" i="108"/>
  <c r="M26" i="108" s="1"/>
  <c r="L23" i="108"/>
  <c r="L24" i="108"/>
  <c r="M24" i="108" s="1"/>
  <c r="K50" i="109"/>
  <c r="E48" i="109" s="1"/>
  <c r="G48" i="109" s="1"/>
  <c r="G53" i="109" s="1"/>
  <c r="E29" i="109"/>
  <c r="G29" i="109" s="1"/>
  <c r="G46" i="109" s="1"/>
  <c r="M36" i="109"/>
  <c r="L15" i="108"/>
  <c r="M15" i="108" s="1"/>
  <c r="L21" i="108"/>
  <c r="L22" i="108"/>
  <c r="M22" i="108" s="1"/>
  <c r="L16" i="108"/>
  <c r="M16" i="108" s="1"/>
  <c r="M25" i="108" l="1"/>
  <c r="K8" i="108"/>
  <c r="M23" i="108"/>
  <c r="K7" i="108"/>
  <c r="I35" i="101" s="1"/>
  <c r="I33" i="20" s="1"/>
  <c r="D36" i="20" s="1"/>
  <c r="F36" i="20" s="1"/>
  <c r="M50" i="109"/>
  <c r="H56" i="109"/>
  <c r="K6" i="108"/>
  <c r="L115" i="108"/>
  <c r="N15" i="108" s="1"/>
  <c r="K9" i="108"/>
  <c r="M21" i="108"/>
  <c r="M115" i="108" l="1"/>
  <c r="I36" i="16"/>
  <c r="D40" i="16" s="1"/>
  <c r="F40" i="16" s="1"/>
  <c r="L7" i="108"/>
  <c r="I36" i="107"/>
  <c r="I37" i="102"/>
  <c r="L8" i="108"/>
  <c r="I42" i="107"/>
  <c r="I43" i="102"/>
  <c r="I27" i="20"/>
  <c r="D30" i="20" s="1"/>
  <c r="F30" i="20" s="1"/>
  <c r="I28" i="101"/>
  <c r="N96" i="108"/>
  <c r="N70" i="108"/>
  <c r="N72" i="108"/>
  <c r="N43" i="108"/>
  <c r="N48" i="108"/>
  <c r="N80" i="108"/>
  <c r="N99" i="108"/>
  <c r="N62" i="108"/>
  <c r="N89" i="108"/>
  <c r="N64" i="108"/>
  <c r="N91" i="108"/>
  <c r="N17" i="108"/>
  <c r="N58" i="108"/>
  <c r="N69" i="108"/>
  <c r="N79" i="108"/>
  <c r="N30" i="108"/>
  <c r="N24" i="108"/>
  <c r="N110" i="108"/>
  <c r="N98" i="108"/>
  <c r="N105" i="108"/>
  <c r="N113" i="108"/>
  <c r="N54" i="108"/>
  <c r="N61" i="108"/>
  <c r="N112" i="108"/>
  <c r="N102" i="108"/>
  <c r="N35" i="108"/>
  <c r="N76" i="108"/>
  <c r="N33" i="108"/>
  <c r="N74" i="108"/>
  <c r="N114" i="108"/>
  <c r="N20" i="108"/>
  <c r="N85" i="108"/>
  <c r="N108" i="108"/>
  <c r="N84" i="108"/>
  <c r="N27" i="108"/>
  <c r="N75" i="108"/>
  <c r="N95" i="108"/>
  <c r="N45" i="108"/>
  <c r="N71" i="108"/>
  <c r="N104" i="108"/>
  <c r="N56" i="108"/>
  <c r="N88" i="108"/>
  <c r="N41" i="108"/>
  <c r="N87" i="108"/>
  <c r="N31" i="108"/>
  <c r="N28" i="108"/>
  <c r="N38" i="108"/>
  <c r="N16" i="108"/>
  <c r="N66" i="108"/>
  <c r="N18" i="108"/>
  <c r="N22" i="108"/>
  <c r="N67" i="108"/>
  <c r="N103" i="108"/>
  <c r="N52" i="108"/>
  <c r="N78" i="108"/>
  <c r="N51" i="108"/>
  <c r="N39" i="108"/>
  <c r="N93" i="108"/>
  <c r="N86" i="108"/>
  <c r="N25" i="108"/>
  <c r="N83" i="108"/>
  <c r="N34" i="108"/>
  <c r="N21" i="108"/>
  <c r="N109" i="108"/>
  <c r="N107" i="108"/>
  <c r="N55" i="108"/>
  <c r="N32" i="108"/>
  <c r="N73" i="108"/>
  <c r="N42" i="108"/>
  <c r="N37" i="108"/>
  <c r="N65" i="108"/>
  <c r="N53" i="108"/>
  <c r="N23" i="108"/>
  <c r="N106" i="108"/>
  <c r="N26" i="108"/>
  <c r="N49" i="108"/>
  <c r="L9" i="108"/>
  <c r="I48" i="107"/>
  <c r="I49" i="102"/>
  <c r="I42" i="101"/>
  <c r="I39" i="20" s="1"/>
  <c r="D42" i="20" s="1"/>
  <c r="F42" i="20" s="1"/>
  <c r="L6" i="108"/>
  <c r="I29" i="107"/>
  <c r="I29" i="102"/>
  <c r="N92" i="108"/>
  <c r="N97" i="108"/>
  <c r="N90" i="108"/>
  <c r="N68" i="108"/>
  <c r="N50" i="108"/>
  <c r="N111" i="108"/>
  <c r="N82" i="108"/>
  <c r="N57" i="108"/>
  <c r="N19" i="108"/>
  <c r="N77" i="108"/>
  <c r="N60" i="108"/>
  <c r="N59" i="108"/>
  <c r="N47" i="108"/>
  <c r="N29" i="108"/>
  <c r="N63" i="108"/>
  <c r="N36" i="108"/>
  <c r="N100" i="108"/>
  <c r="N40" i="108"/>
  <c r="N94" i="108"/>
  <c r="H57" i="109"/>
  <c r="H65" i="109"/>
  <c r="H58" i="109"/>
  <c r="N81" i="108"/>
  <c r="N46" i="108"/>
  <c r="N101" i="108"/>
  <c r="N44" i="108"/>
  <c r="K11" i="108"/>
  <c r="M7" i="108" l="1"/>
  <c r="I43" i="74"/>
  <c r="I43" i="70"/>
  <c r="I43" i="134"/>
  <c r="I43" i="100"/>
  <c r="I43" i="97"/>
  <c r="I43" i="95"/>
  <c r="I43" i="85"/>
  <c r="I43" i="82"/>
  <c r="I43" i="80"/>
  <c r="I43" i="78"/>
  <c r="I43" i="75"/>
  <c r="I43" i="72"/>
  <c r="I43" i="93"/>
  <c r="I43" i="91"/>
  <c r="I43" i="88"/>
  <c r="I43" i="84"/>
  <c r="I43" i="99"/>
  <c r="I43" i="76"/>
  <c r="I43" i="71"/>
  <c r="I43" i="90"/>
  <c r="I43" i="87"/>
  <c r="I43" i="77"/>
  <c r="I43" i="73"/>
  <c r="I43" i="94"/>
  <c r="I43" i="92"/>
  <c r="I43" i="89"/>
  <c r="I43" i="86"/>
  <c r="I43" i="83"/>
  <c r="I43" i="81"/>
  <c r="I43" i="98"/>
  <c r="I43" i="96"/>
  <c r="I43" i="79"/>
  <c r="I43" i="69"/>
  <c r="I37" i="99"/>
  <c r="I37" i="84"/>
  <c r="I37" i="98"/>
  <c r="I37" i="96"/>
  <c r="I37" i="71"/>
  <c r="I37" i="90"/>
  <c r="I37" i="87"/>
  <c r="I37" i="77"/>
  <c r="I37" i="73"/>
  <c r="I37" i="79"/>
  <c r="I37" i="69"/>
  <c r="I37" i="94"/>
  <c r="I37" i="86"/>
  <c r="I37" i="83"/>
  <c r="I37" i="81"/>
  <c r="I37" i="76"/>
  <c r="I37" i="92"/>
  <c r="I37" i="89"/>
  <c r="I37" i="74"/>
  <c r="I37" i="100"/>
  <c r="I37" i="97"/>
  <c r="I37" i="95"/>
  <c r="I37" i="85"/>
  <c r="I37" i="70"/>
  <c r="I37" i="72"/>
  <c r="I37" i="93"/>
  <c r="I37" i="91"/>
  <c r="I37" i="88"/>
  <c r="I37" i="82"/>
  <c r="I37" i="80"/>
  <c r="I37" i="78"/>
  <c r="I37" i="75"/>
  <c r="I37" i="134"/>
  <c r="I25" i="99"/>
  <c r="I25" i="93"/>
  <c r="I25" i="134"/>
  <c r="I25" i="98"/>
  <c r="I25" i="71"/>
  <c r="I25" i="90"/>
  <c r="I25" i="87"/>
  <c r="I25" i="84"/>
  <c r="I25" i="77"/>
  <c r="I25" i="79"/>
  <c r="I25" i="69"/>
  <c r="I25" i="96"/>
  <c r="I25" i="94"/>
  <c r="I25" i="86"/>
  <c r="I25" i="83"/>
  <c r="I25" i="81"/>
  <c r="I25" i="73"/>
  <c r="I25" i="76"/>
  <c r="I25" i="95"/>
  <c r="I25" i="92"/>
  <c r="I25" i="89"/>
  <c r="I25" i="85"/>
  <c r="I25" i="74"/>
  <c r="I25" i="70"/>
  <c r="I25" i="72"/>
  <c r="I25" i="91"/>
  <c r="I25" i="88"/>
  <c r="I25" i="80"/>
  <c r="I25" i="75"/>
  <c r="I25" i="100"/>
  <c r="I25" i="97"/>
  <c r="I25" i="82"/>
  <c r="I25" i="78"/>
  <c r="I31" i="92"/>
  <c r="I31" i="89"/>
  <c r="I31" i="76"/>
  <c r="I31" i="97"/>
  <c r="I31" i="78"/>
  <c r="I31" i="75"/>
  <c r="I31" i="95"/>
  <c r="I31" i="85"/>
  <c r="I31" i="74"/>
  <c r="I31" i="70"/>
  <c r="I31" i="82"/>
  <c r="I31" i="100"/>
  <c r="I31" i="72"/>
  <c r="I31" i="91"/>
  <c r="I31" i="88"/>
  <c r="I31" i="80"/>
  <c r="I31" i="134"/>
  <c r="I31" i="99"/>
  <c r="I31" i="93"/>
  <c r="I31" i="84"/>
  <c r="I31" i="71"/>
  <c r="I31" i="90"/>
  <c r="I31" i="87"/>
  <c r="I31" i="77"/>
  <c r="I31" i="96"/>
  <c r="I31" i="94"/>
  <c r="I31" i="86"/>
  <c r="I31" i="83"/>
  <c r="I31" i="81"/>
  <c r="I31" i="98"/>
  <c r="I31" i="79"/>
  <c r="I31" i="73"/>
  <c r="I31" i="69"/>
  <c r="I39" i="21"/>
  <c r="D42" i="21" s="1"/>
  <c r="F42" i="21" s="1"/>
  <c r="I39" i="22"/>
  <c r="D42" i="22" s="1"/>
  <c r="F42" i="22" s="1"/>
  <c r="I38" i="31"/>
  <c r="I36" i="51"/>
  <c r="I38" i="29"/>
  <c r="D41" i="29" s="1"/>
  <c r="F41" i="29" s="1"/>
  <c r="I38" i="35"/>
  <c r="K38" i="35" s="1"/>
  <c r="I36" i="54"/>
  <c r="I38" i="34"/>
  <c r="K38" i="34" s="1"/>
  <c r="I38" i="37"/>
  <c r="K38" i="37" s="1"/>
  <c r="I39" i="24"/>
  <c r="D42" i="24" s="1"/>
  <c r="F42" i="24" s="1"/>
  <c r="I36" i="52"/>
  <c r="I38" i="32"/>
  <c r="K38" i="32" s="1"/>
  <c r="I36" i="49"/>
  <c r="I36" i="53"/>
  <c r="I36" i="50"/>
  <c r="I39" i="19"/>
  <c r="D42" i="19" s="1"/>
  <c r="F42" i="19" s="1"/>
  <c r="I38" i="33"/>
  <c r="K38" i="33" s="1"/>
  <c r="I38" i="42"/>
  <c r="K38" i="42" s="1"/>
  <c r="I38" i="28"/>
  <c r="D41" i="28" s="1"/>
  <c r="F41" i="28" s="1"/>
  <c r="I38" i="40"/>
  <c r="K38" i="40" s="1"/>
  <c r="I38" i="39"/>
  <c r="K38" i="39" s="1"/>
  <c r="I38" i="27"/>
  <c r="D41" i="27" s="1"/>
  <c r="F41" i="27" s="1"/>
  <c r="I38" i="41"/>
  <c r="K38" i="41" s="1"/>
  <c r="I38" i="38"/>
  <c r="K38" i="38" s="1"/>
  <c r="I38" i="26"/>
  <c r="D41" i="26" s="1"/>
  <c r="F41" i="26" s="1"/>
  <c r="I39" i="23"/>
  <c r="D42" i="23" s="1"/>
  <c r="F42" i="23" s="1"/>
  <c r="I38" i="36"/>
  <c r="K38" i="36" s="1"/>
  <c r="I38" i="25"/>
  <c r="D41" i="25" s="1"/>
  <c r="F41" i="25" s="1"/>
  <c r="I38" i="30"/>
  <c r="D41" i="30" s="1"/>
  <c r="F41" i="30" s="1"/>
  <c r="I39" i="17"/>
  <c r="D42" i="17" s="1"/>
  <c r="F42" i="17" s="1"/>
  <c r="I36" i="57"/>
  <c r="I36" i="66"/>
  <c r="I36" i="55"/>
  <c r="I36" i="67"/>
  <c r="I37" i="68"/>
  <c r="I36" i="59"/>
  <c r="I36" i="63"/>
  <c r="I36" i="58"/>
  <c r="I36" i="65"/>
  <c r="I36" i="60"/>
  <c r="I36" i="62"/>
  <c r="I36" i="56"/>
  <c r="I36" i="61"/>
  <c r="I36" i="64"/>
  <c r="I32" i="31"/>
  <c r="I32" i="28"/>
  <c r="D35" i="28" s="1"/>
  <c r="F35" i="28" s="1"/>
  <c r="I32" i="33"/>
  <c r="K32" i="33" s="1"/>
  <c r="I32" i="38"/>
  <c r="K32" i="38" s="1"/>
  <c r="I32" i="39"/>
  <c r="K32" i="39" s="1"/>
  <c r="I30" i="51"/>
  <c r="I32" i="26"/>
  <c r="D35" i="26" s="1"/>
  <c r="F35" i="26" s="1"/>
  <c r="I32" i="32"/>
  <c r="K32" i="32" s="1"/>
  <c r="I33" i="19"/>
  <c r="D36" i="19" s="1"/>
  <c r="F36" i="19" s="1"/>
  <c r="I30" i="50"/>
  <c r="I32" i="25"/>
  <c r="D35" i="25" s="1"/>
  <c r="F35" i="25" s="1"/>
  <c r="I33" i="22"/>
  <c r="D36" i="22" s="1"/>
  <c r="F36" i="22" s="1"/>
  <c r="I30" i="54"/>
  <c r="I32" i="42"/>
  <c r="K32" i="42" s="1"/>
  <c r="I30" i="53"/>
  <c r="I32" i="27"/>
  <c r="D35" i="27" s="1"/>
  <c r="F35" i="27" s="1"/>
  <c r="I30" i="52"/>
  <c r="I32" i="41"/>
  <c r="K32" i="41" s="1"/>
  <c r="I30" i="49"/>
  <c r="I33" i="23"/>
  <c r="D36" i="23" s="1"/>
  <c r="F36" i="23" s="1"/>
  <c r="I32" i="29"/>
  <c r="D35" i="29" s="1"/>
  <c r="F35" i="29" s="1"/>
  <c r="I32" i="36"/>
  <c r="K32" i="36" s="1"/>
  <c r="I32" i="37"/>
  <c r="K32" i="37" s="1"/>
  <c r="I32" i="40"/>
  <c r="K32" i="40" s="1"/>
  <c r="I33" i="17"/>
  <c r="D36" i="17" s="1"/>
  <c r="F36" i="17" s="1"/>
  <c r="I33" i="21"/>
  <c r="D36" i="21" s="1"/>
  <c r="F36" i="21" s="1"/>
  <c r="I32" i="35"/>
  <c r="K32" i="35" s="1"/>
  <c r="I33" i="24"/>
  <c r="D36" i="24" s="1"/>
  <c r="F36" i="24" s="1"/>
  <c r="I32" i="34"/>
  <c r="K32" i="34" s="1"/>
  <c r="I32" i="30"/>
  <c r="D35" i="30" s="1"/>
  <c r="F35" i="30" s="1"/>
  <c r="I30" i="57"/>
  <c r="I30" i="67"/>
  <c r="I30" i="55"/>
  <c r="I30" i="61"/>
  <c r="I30" i="64"/>
  <c r="I30" i="62"/>
  <c r="I30" i="65"/>
  <c r="I30" i="58"/>
  <c r="I30" i="66"/>
  <c r="I30" i="63"/>
  <c r="I31" i="68"/>
  <c r="I30" i="59"/>
  <c r="I30" i="60"/>
  <c r="I30" i="56"/>
  <c r="I24" i="58"/>
  <c r="D27" i="58" s="1"/>
  <c r="F27" i="58" s="1"/>
  <c r="F28" i="58" s="1"/>
  <c r="I24" i="57"/>
  <c r="D27" i="57" s="1"/>
  <c r="F27" i="57" s="1"/>
  <c r="F28" i="57" s="1"/>
  <c r="I24" i="49"/>
  <c r="D27" i="49" s="1"/>
  <c r="I24" i="65"/>
  <c r="D27" i="65" s="1"/>
  <c r="F27" i="65" s="1"/>
  <c r="F28" i="65" s="1"/>
  <c r="I25" i="68"/>
  <c r="D28" i="68" s="1"/>
  <c r="F28" i="68" s="1"/>
  <c r="F29" i="68" s="1"/>
  <c r="I24" i="67"/>
  <c r="D27" i="67" s="1"/>
  <c r="F27" i="67" s="1"/>
  <c r="F28" i="67" s="1"/>
  <c r="I24" i="63"/>
  <c r="D27" i="63" s="1"/>
  <c r="F27" i="63" s="1"/>
  <c r="F28" i="63" s="1"/>
  <c r="I24" i="61"/>
  <c r="D27" i="61" s="1"/>
  <c r="F27" i="61" s="1"/>
  <c r="F28" i="61" s="1"/>
  <c r="I24" i="60"/>
  <c r="D27" i="60" s="1"/>
  <c r="F27" i="60" s="1"/>
  <c r="F28" i="60" s="1"/>
  <c r="I24" i="55"/>
  <c r="D27" i="55" s="1"/>
  <c r="F27" i="55" s="1"/>
  <c r="F28" i="55" s="1"/>
  <c r="I24" i="62"/>
  <c r="D27" i="62" s="1"/>
  <c r="F27" i="62" s="1"/>
  <c r="F28" i="62" s="1"/>
  <c r="I24" i="56"/>
  <c r="D27" i="56" s="1"/>
  <c r="F27" i="56" s="1"/>
  <c r="F28" i="56" s="1"/>
  <c r="I24" i="66"/>
  <c r="D27" i="66" s="1"/>
  <c r="F27" i="66" s="1"/>
  <c r="F28" i="66" s="1"/>
  <c r="I24" i="59"/>
  <c r="D27" i="59" s="1"/>
  <c r="F27" i="59" s="1"/>
  <c r="F28" i="59" s="1"/>
  <c r="I24" i="64"/>
  <c r="D27" i="64" s="1"/>
  <c r="F27" i="64" s="1"/>
  <c r="F28" i="64" s="1"/>
  <c r="I25" i="39"/>
  <c r="I24" i="51"/>
  <c r="D27" i="51" s="1"/>
  <c r="F27" i="51" s="1"/>
  <c r="F28" i="51" s="1"/>
  <c r="I26" i="24"/>
  <c r="D29" i="24" s="1"/>
  <c r="I25" i="33"/>
  <c r="I26" i="19"/>
  <c r="D29" i="19" s="1"/>
  <c r="I24" i="52"/>
  <c r="D27" i="52" s="1"/>
  <c r="F27" i="52" s="1"/>
  <c r="F28" i="52" s="1"/>
  <c r="I26" i="26"/>
  <c r="D29" i="26" s="1"/>
  <c r="F29" i="26" s="1"/>
  <c r="I26" i="25"/>
  <c r="D29" i="25" s="1"/>
  <c r="F29" i="25" s="1"/>
  <c r="I26" i="22"/>
  <c r="D29" i="22" s="1"/>
  <c r="I26" i="17"/>
  <c r="D29" i="17" s="1"/>
  <c r="F29" i="17" s="1"/>
  <c r="I25" i="41"/>
  <c r="I26" i="28"/>
  <c r="D29" i="28" s="1"/>
  <c r="F29" i="28" s="1"/>
  <c r="I25" i="34"/>
  <c r="I25" i="32"/>
  <c r="I26" i="21"/>
  <c r="D29" i="21" s="1"/>
  <c r="I24" i="50"/>
  <c r="D27" i="50" s="1"/>
  <c r="F27" i="50" s="1"/>
  <c r="F28" i="50" s="1"/>
  <c r="I25" i="36"/>
  <c r="I25" i="35"/>
  <c r="I26" i="27"/>
  <c r="D29" i="27" s="1"/>
  <c r="F29" i="27" s="1"/>
  <c r="I26" i="23"/>
  <c r="D29" i="23" s="1"/>
  <c r="I24" i="54"/>
  <c r="D27" i="54" s="1"/>
  <c r="F27" i="54" s="1"/>
  <c r="F28" i="54" s="1"/>
  <c r="I25" i="42"/>
  <c r="I25" i="37"/>
  <c r="I25" i="31"/>
  <c r="I25" i="40"/>
  <c r="I26" i="29"/>
  <c r="D29" i="29" s="1"/>
  <c r="F29" i="29" s="1"/>
  <c r="I24" i="53"/>
  <c r="D27" i="53" s="1"/>
  <c r="F27" i="53" s="1"/>
  <c r="F28" i="53" s="1"/>
  <c r="I25" i="38"/>
  <c r="I26" i="30"/>
  <c r="D29" i="30" s="1"/>
  <c r="F29" i="30" s="1"/>
  <c r="I42" i="52"/>
  <c r="I42" i="51"/>
  <c r="I44" i="33"/>
  <c r="K44" i="33" s="1"/>
  <c r="I44" i="32"/>
  <c r="K44" i="32" s="1"/>
  <c r="I44" i="31"/>
  <c r="I44" i="38"/>
  <c r="K44" i="38" s="1"/>
  <c r="I44" i="26"/>
  <c r="D47" i="26" s="1"/>
  <c r="F47" i="26" s="1"/>
  <c r="I44" i="25"/>
  <c r="D47" i="25" s="1"/>
  <c r="F47" i="25" s="1"/>
  <c r="I44" i="29"/>
  <c r="D47" i="29" s="1"/>
  <c r="F47" i="29" s="1"/>
  <c r="I44" i="28"/>
  <c r="D47" i="28" s="1"/>
  <c r="F47" i="28" s="1"/>
  <c r="I44" i="34"/>
  <c r="K44" i="34" s="1"/>
  <c r="I45" i="19"/>
  <c r="D48" i="19" s="1"/>
  <c r="F48" i="19" s="1"/>
  <c r="I45" i="22"/>
  <c r="D48" i="22" s="1"/>
  <c r="F48" i="22" s="1"/>
  <c r="I44" i="41"/>
  <c r="K44" i="41" s="1"/>
  <c r="I44" i="35"/>
  <c r="K44" i="35" s="1"/>
  <c r="I45" i="24"/>
  <c r="D48" i="24" s="1"/>
  <c r="F48" i="24" s="1"/>
  <c r="I45" i="21"/>
  <c r="D48" i="21" s="1"/>
  <c r="F48" i="21" s="1"/>
  <c r="I44" i="42"/>
  <c r="K44" i="42" s="1"/>
  <c r="I44" i="40"/>
  <c r="K44" i="40" s="1"/>
  <c r="I44" i="39"/>
  <c r="K44" i="39" s="1"/>
  <c r="I42" i="49"/>
  <c r="I44" i="37"/>
  <c r="K44" i="37" s="1"/>
  <c r="I44" i="30"/>
  <c r="D47" i="30" s="1"/>
  <c r="F47" i="30" s="1"/>
  <c r="I42" i="50"/>
  <c r="I42" i="54"/>
  <c r="I42" i="53"/>
  <c r="I44" i="36"/>
  <c r="K44" i="36" s="1"/>
  <c r="I44" i="27"/>
  <c r="D47" i="27" s="1"/>
  <c r="F47" i="27" s="1"/>
  <c r="I45" i="23"/>
  <c r="D48" i="23" s="1"/>
  <c r="F48" i="23" s="1"/>
  <c r="I45" i="17"/>
  <c r="D48" i="17" s="1"/>
  <c r="F48" i="17" s="1"/>
  <c r="I42" i="67"/>
  <c r="I42" i="61"/>
  <c r="I42" i="60"/>
  <c r="I42" i="66"/>
  <c r="I42" i="55"/>
  <c r="I42" i="59"/>
  <c r="I42" i="56"/>
  <c r="I42" i="64"/>
  <c r="I42" i="58"/>
  <c r="I42" i="57"/>
  <c r="I42" i="63"/>
  <c r="I42" i="62"/>
  <c r="I43" i="68"/>
  <c r="I42" i="65"/>
  <c r="M8" i="108"/>
  <c r="M9" i="108"/>
  <c r="L11" i="108"/>
  <c r="M11" i="108" s="1"/>
  <c r="N115" i="108"/>
  <c r="H59" i="109"/>
  <c r="M6" i="108"/>
  <c r="D29" i="35" l="1"/>
  <c r="F29" i="35" s="1"/>
  <c r="F30" i="35" s="1"/>
  <c r="D29" i="40"/>
  <c r="F29" i="40" s="1"/>
  <c r="F30" i="40" s="1"/>
  <c r="K42" i="57"/>
  <c r="D45" i="57"/>
  <c r="F45" i="57" s="1"/>
  <c r="F46" i="57" s="1"/>
  <c r="K42" i="50"/>
  <c r="D45" i="50"/>
  <c r="F45" i="50" s="1"/>
  <c r="F46" i="50" s="1"/>
  <c r="K42" i="58"/>
  <c r="D45" i="58"/>
  <c r="F45" i="58" s="1"/>
  <c r="F46" i="58" s="1"/>
  <c r="K42" i="67"/>
  <c r="D45" i="67"/>
  <c r="F45" i="67" s="1"/>
  <c r="F46" i="67" s="1"/>
  <c r="D29" i="38"/>
  <c r="F29" i="38" s="1"/>
  <c r="F30" i="38" s="1"/>
  <c r="F29" i="23"/>
  <c r="D29" i="33"/>
  <c r="F29" i="33" s="1"/>
  <c r="F30" i="33" s="1"/>
  <c r="F27" i="49"/>
  <c r="F28" i="49" s="1"/>
  <c r="K30" i="66"/>
  <c r="D33" i="66"/>
  <c r="F33" i="66" s="1"/>
  <c r="F34" i="66" s="1"/>
  <c r="K30" i="57"/>
  <c r="D33" i="57"/>
  <c r="F33" i="57" s="1"/>
  <c r="F34" i="57" s="1"/>
  <c r="K30" i="53"/>
  <c r="D33" i="53"/>
  <c r="F33" i="53" s="1"/>
  <c r="F34" i="53" s="1"/>
  <c r="K36" i="61"/>
  <c r="D39" i="61"/>
  <c r="F39" i="61" s="1"/>
  <c r="F40" i="61" s="1"/>
  <c r="K36" i="52"/>
  <c r="D39" i="52"/>
  <c r="F39" i="52" s="1"/>
  <c r="F40" i="52" s="1"/>
  <c r="D34" i="81"/>
  <c r="F34" i="81" s="1"/>
  <c r="F35" i="81" s="1"/>
  <c r="K31" i="81"/>
  <c r="D34" i="71"/>
  <c r="F34" i="71" s="1"/>
  <c r="F35" i="71" s="1"/>
  <c r="K31" i="71"/>
  <c r="D34" i="72"/>
  <c r="F34" i="72" s="1"/>
  <c r="F35" i="72" s="1"/>
  <c r="K31" i="72"/>
  <c r="D34" i="78"/>
  <c r="F34" i="78" s="1"/>
  <c r="F35" i="78" s="1"/>
  <c r="K31" i="78"/>
  <c r="D28" i="100"/>
  <c r="F28" i="100" s="1"/>
  <c r="F29" i="100" s="1"/>
  <c r="K25" i="100"/>
  <c r="D28" i="85"/>
  <c r="F28" i="85" s="1"/>
  <c r="F29" i="85" s="1"/>
  <c r="K25" i="85"/>
  <c r="D28" i="86"/>
  <c r="F28" i="86" s="1"/>
  <c r="F29" i="86" s="1"/>
  <c r="K25" i="86"/>
  <c r="D28" i="90"/>
  <c r="F28" i="90" s="1"/>
  <c r="F29" i="90" s="1"/>
  <c r="K25" i="90"/>
  <c r="D40" i="78"/>
  <c r="F40" i="78" s="1"/>
  <c r="F41" i="78" s="1"/>
  <c r="K37" i="78"/>
  <c r="D40" i="85"/>
  <c r="F40" i="85" s="1"/>
  <c r="F41" i="85" s="1"/>
  <c r="K37" i="85"/>
  <c r="D40" i="81"/>
  <c r="F40" i="81" s="1"/>
  <c r="F41" i="81" s="1"/>
  <c r="K37" i="81"/>
  <c r="D40" i="87"/>
  <c r="F40" i="87" s="1"/>
  <c r="F41" i="87" s="1"/>
  <c r="K37" i="87"/>
  <c r="D46" i="79"/>
  <c r="F46" i="79" s="1"/>
  <c r="F47" i="79" s="1"/>
  <c r="K43" i="79"/>
  <c r="D46" i="94"/>
  <c r="F46" i="94" s="1"/>
  <c r="F47" i="94" s="1"/>
  <c r="K43" i="94"/>
  <c r="D46" i="84"/>
  <c r="F46" i="84" s="1"/>
  <c r="F47" i="84" s="1"/>
  <c r="K43" i="84"/>
  <c r="D46" i="82"/>
  <c r="F46" i="82" s="1"/>
  <c r="F47" i="82" s="1"/>
  <c r="K43" i="82"/>
  <c r="D29" i="41"/>
  <c r="F29" i="41" s="1"/>
  <c r="F30" i="41" s="1"/>
  <c r="F29" i="24"/>
  <c r="K30" i="58"/>
  <c r="D33" i="58"/>
  <c r="F33" i="58" s="1"/>
  <c r="F34" i="58" s="1"/>
  <c r="K30" i="51"/>
  <c r="D33" i="51"/>
  <c r="F33" i="51" s="1"/>
  <c r="F34" i="51" s="1"/>
  <c r="K36" i="56"/>
  <c r="D39" i="56"/>
  <c r="F39" i="56" s="1"/>
  <c r="F40" i="56" s="1"/>
  <c r="K36" i="67"/>
  <c r="D39" i="67"/>
  <c r="F39" i="67" s="1"/>
  <c r="F40" i="67" s="1"/>
  <c r="D34" i="83"/>
  <c r="F34" i="83" s="1"/>
  <c r="F35" i="83" s="1"/>
  <c r="K31" i="83"/>
  <c r="D34" i="84"/>
  <c r="F34" i="84" s="1"/>
  <c r="F35" i="84" s="1"/>
  <c r="K31" i="84"/>
  <c r="D34" i="100"/>
  <c r="F34" i="100" s="1"/>
  <c r="F35" i="100" s="1"/>
  <c r="K31" i="100"/>
  <c r="D34" i="97"/>
  <c r="F34" i="97" s="1"/>
  <c r="F35" i="97" s="1"/>
  <c r="K31" i="97"/>
  <c r="D28" i="75"/>
  <c r="F28" i="75" s="1"/>
  <c r="F29" i="75" s="1"/>
  <c r="K25" i="75"/>
  <c r="D28" i="89"/>
  <c r="F28" i="89" s="1"/>
  <c r="F29" i="89" s="1"/>
  <c r="K25" i="89"/>
  <c r="D28" i="94"/>
  <c r="F28" i="94" s="1"/>
  <c r="F29" i="94" s="1"/>
  <c r="K25" i="94"/>
  <c r="D28" i="71"/>
  <c r="F28" i="71" s="1"/>
  <c r="F29" i="71" s="1"/>
  <c r="K25" i="71"/>
  <c r="D40" i="80"/>
  <c r="F40" i="80" s="1"/>
  <c r="F41" i="80" s="1"/>
  <c r="K37" i="80"/>
  <c r="D40" i="95"/>
  <c r="F40" i="95" s="1"/>
  <c r="F41" i="95" s="1"/>
  <c r="K37" i="95"/>
  <c r="D40" i="83"/>
  <c r="F40" i="83" s="1"/>
  <c r="F41" i="83" s="1"/>
  <c r="K37" i="83"/>
  <c r="D40" i="90"/>
  <c r="F40" i="90" s="1"/>
  <c r="F41" i="90" s="1"/>
  <c r="K37" i="90"/>
  <c r="D46" i="96"/>
  <c r="F46" i="96" s="1"/>
  <c r="F47" i="96" s="1"/>
  <c r="K43" i="96"/>
  <c r="D46" i="73"/>
  <c r="F46" i="73" s="1"/>
  <c r="F47" i="73" s="1"/>
  <c r="K43" i="73"/>
  <c r="D46" i="88"/>
  <c r="F46" i="88" s="1"/>
  <c r="F47" i="88" s="1"/>
  <c r="K43" i="88"/>
  <c r="D46" i="85"/>
  <c r="F46" i="85" s="1"/>
  <c r="F47" i="85" s="1"/>
  <c r="K43" i="85"/>
  <c r="K42" i="49"/>
  <c r="D45" i="49"/>
  <c r="F45" i="49" s="1"/>
  <c r="F46" i="49" s="1"/>
  <c r="K30" i="65"/>
  <c r="D33" i="65"/>
  <c r="F33" i="65" s="1"/>
  <c r="F34" i="65" s="1"/>
  <c r="K30" i="54"/>
  <c r="D33" i="54"/>
  <c r="F33" i="54" s="1"/>
  <c r="F34" i="54" s="1"/>
  <c r="K36" i="62"/>
  <c r="D39" i="62"/>
  <c r="F39" i="62" s="1"/>
  <c r="F40" i="62" s="1"/>
  <c r="K36" i="55"/>
  <c r="D39" i="55"/>
  <c r="F39" i="55" s="1"/>
  <c r="F40" i="55" s="1"/>
  <c r="D34" i="86"/>
  <c r="F34" i="86" s="1"/>
  <c r="F35" i="86" s="1"/>
  <c r="K31" i="86"/>
  <c r="D34" i="93"/>
  <c r="F34" i="93" s="1"/>
  <c r="F35" i="93" s="1"/>
  <c r="K31" i="93"/>
  <c r="D34" i="82"/>
  <c r="F34" i="82" s="1"/>
  <c r="F35" i="82" s="1"/>
  <c r="K31" i="82"/>
  <c r="D34" i="76"/>
  <c r="F34" i="76" s="1"/>
  <c r="F35" i="76" s="1"/>
  <c r="K31" i="76"/>
  <c r="D28" i="80"/>
  <c r="F28" i="80" s="1"/>
  <c r="F29" i="80" s="1"/>
  <c r="K25" i="80"/>
  <c r="D28" i="92"/>
  <c r="F28" i="92" s="1"/>
  <c r="F29" i="92" s="1"/>
  <c r="K25" i="92"/>
  <c r="D28" i="96"/>
  <c r="F28" i="96" s="1"/>
  <c r="F29" i="96" s="1"/>
  <c r="K25" i="96"/>
  <c r="D28" i="98"/>
  <c r="F28" i="98" s="1"/>
  <c r="F29" i="98" s="1"/>
  <c r="K25" i="98"/>
  <c r="D40" i="82"/>
  <c r="F40" i="82" s="1"/>
  <c r="F41" i="82" s="1"/>
  <c r="K37" i="82"/>
  <c r="D40" i="97"/>
  <c r="F40" i="97" s="1"/>
  <c r="F41" i="97" s="1"/>
  <c r="K37" i="97"/>
  <c r="D40" i="86"/>
  <c r="F40" i="86" s="1"/>
  <c r="F41" i="86" s="1"/>
  <c r="K37" i="86"/>
  <c r="D40" i="71"/>
  <c r="F40" i="71" s="1"/>
  <c r="F41" i="71" s="1"/>
  <c r="K37" i="71"/>
  <c r="D46" i="98"/>
  <c r="F46" i="98" s="1"/>
  <c r="F47" i="98" s="1"/>
  <c r="K43" i="98"/>
  <c r="D46" i="77"/>
  <c r="F46" i="77" s="1"/>
  <c r="F47" i="77" s="1"/>
  <c r="K43" i="77"/>
  <c r="D46" i="91"/>
  <c r="F46" i="91" s="1"/>
  <c r="F47" i="91" s="1"/>
  <c r="K43" i="91"/>
  <c r="D46" i="95"/>
  <c r="F46" i="95" s="1"/>
  <c r="F47" i="95" s="1"/>
  <c r="K43" i="95"/>
  <c r="K42" i="64"/>
  <c r="D45" i="64"/>
  <c r="F45" i="64" s="1"/>
  <c r="F46" i="64" s="1"/>
  <c r="K42" i="56"/>
  <c r="D45" i="56"/>
  <c r="F45" i="56" s="1"/>
  <c r="F46" i="56" s="1"/>
  <c r="K42" i="59"/>
  <c r="D45" i="59"/>
  <c r="F45" i="59" s="1"/>
  <c r="F46" i="59" s="1"/>
  <c r="D29" i="36"/>
  <c r="F29" i="36" s="1"/>
  <c r="F30" i="36" s="1"/>
  <c r="F29" i="22"/>
  <c r="D29" i="39"/>
  <c r="F29" i="39" s="1"/>
  <c r="F30" i="39" s="1"/>
  <c r="K30" i="56"/>
  <c r="D33" i="56"/>
  <c r="F33" i="56" s="1"/>
  <c r="F34" i="56" s="1"/>
  <c r="K30" i="62"/>
  <c r="D33" i="62"/>
  <c r="F33" i="62" s="1"/>
  <c r="F34" i="62" s="1"/>
  <c r="K36" i="60"/>
  <c r="D39" i="60"/>
  <c r="F39" i="60" s="1"/>
  <c r="F40" i="60" s="1"/>
  <c r="K36" i="66"/>
  <c r="D39" i="66"/>
  <c r="F39" i="66" s="1"/>
  <c r="F40" i="66" s="1"/>
  <c r="D34" i="94"/>
  <c r="F34" i="94" s="1"/>
  <c r="F35" i="94" s="1"/>
  <c r="K31" i="94"/>
  <c r="D34" i="99"/>
  <c r="F34" i="99" s="1"/>
  <c r="F35" i="99" s="1"/>
  <c r="K31" i="99"/>
  <c r="D34" i="70"/>
  <c r="F34" i="70" s="1"/>
  <c r="F35" i="70" s="1"/>
  <c r="K31" i="70"/>
  <c r="D34" i="89"/>
  <c r="F34" i="89" s="1"/>
  <c r="F35" i="89" s="1"/>
  <c r="K31" i="89"/>
  <c r="D28" i="88"/>
  <c r="F28" i="88" s="1"/>
  <c r="F29" i="88" s="1"/>
  <c r="K25" i="88"/>
  <c r="D28" i="95"/>
  <c r="F28" i="95" s="1"/>
  <c r="F29" i="95" s="1"/>
  <c r="K25" i="95"/>
  <c r="D28" i="69"/>
  <c r="F28" i="69" s="1"/>
  <c r="F29" i="69" s="1"/>
  <c r="K25" i="69"/>
  <c r="D28" i="134"/>
  <c r="F28" i="134" s="1"/>
  <c r="F29" i="134" s="1"/>
  <c r="K25" i="134"/>
  <c r="D40" i="88"/>
  <c r="F40" i="88" s="1"/>
  <c r="F41" i="88" s="1"/>
  <c r="K37" i="88"/>
  <c r="D40" i="100"/>
  <c r="F40" i="100" s="1"/>
  <c r="F41" i="100" s="1"/>
  <c r="K37" i="100"/>
  <c r="D40" i="94"/>
  <c r="F40" i="94" s="1"/>
  <c r="F41" i="94" s="1"/>
  <c r="K37" i="94"/>
  <c r="D40" i="96"/>
  <c r="F40" i="96" s="1"/>
  <c r="F41" i="96" s="1"/>
  <c r="K37" i="96"/>
  <c r="D46" i="81"/>
  <c r="F46" i="81" s="1"/>
  <c r="F47" i="81" s="1"/>
  <c r="K43" i="81"/>
  <c r="D46" i="87"/>
  <c r="F46" i="87" s="1"/>
  <c r="F47" i="87" s="1"/>
  <c r="K43" i="87"/>
  <c r="D46" i="93"/>
  <c r="F46" i="93" s="1"/>
  <c r="F47" i="93" s="1"/>
  <c r="K43" i="93"/>
  <c r="D46" i="97"/>
  <c r="F46" i="97" s="1"/>
  <c r="F47" i="97" s="1"/>
  <c r="K43" i="97"/>
  <c r="K42" i="65"/>
  <c r="D45" i="65"/>
  <c r="F45" i="65" s="1"/>
  <c r="F46" i="65" s="1"/>
  <c r="K42" i="55"/>
  <c r="D45" i="55"/>
  <c r="F45" i="55" s="1"/>
  <c r="F46" i="55" s="1"/>
  <c r="D29" i="31"/>
  <c r="F29" i="31" s="1"/>
  <c r="K30" i="60"/>
  <c r="D33" i="60"/>
  <c r="F33" i="60" s="1"/>
  <c r="F34" i="60" s="1"/>
  <c r="K30" i="64"/>
  <c r="D33" i="64"/>
  <c r="F33" i="64" s="1"/>
  <c r="F34" i="64" s="1"/>
  <c r="K30" i="49"/>
  <c r="D33" i="49"/>
  <c r="F33" i="49" s="1"/>
  <c r="F34" i="49" s="1"/>
  <c r="K36" i="65"/>
  <c r="D39" i="65"/>
  <c r="F39" i="65" s="1"/>
  <c r="F40" i="65" s="1"/>
  <c r="K36" i="57"/>
  <c r="D39" i="57"/>
  <c r="F39" i="57" s="1"/>
  <c r="F40" i="57" s="1"/>
  <c r="K36" i="50"/>
  <c r="D39" i="50"/>
  <c r="F39" i="50" s="1"/>
  <c r="F40" i="50" s="1"/>
  <c r="K36" i="54"/>
  <c r="D39" i="54"/>
  <c r="F39" i="54" s="1"/>
  <c r="F40" i="54" s="1"/>
  <c r="D34" i="69"/>
  <c r="F34" i="69" s="1"/>
  <c r="F35" i="69" s="1"/>
  <c r="K31" i="69"/>
  <c r="D34" i="96"/>
  <c r="F34" i="96" s="1"/>
  <c r="F35" i="96" s="1"/>
  <c r="K31" i="96"/>
  <c r="D34" i="134"/>
  <c r="F34" i="134" s="1"/>
  <c r="F35" i="134" s="1"/>
  <c r="K31" i="134"/>
  <c r="D34" i="74"/>
  <c r="F34" i="74" s="1"/>
  <c r="F35" i="74" s="1"/>
  <c r="K31" i="74"/>
  <c r="D34" i="92"/>
  <c r="F34" i="92" s="1"/>
  <c r="F35" i="92" s="1"/>
  <c r="K31" i="92"/>
  <c r="D28" i="91"/>
  <c r="F28" i="91" s="1"/>
  <c r="F29" i="91" s="1"/>
  <c r="K25" i="91"/>
  <c r="D28" i="76"/>
  <c r="F28" i="76" s="1"/>
  <c r="F29" i="76" s="1"/>
  <c r="K25" i="76"/>
  <c r="D28" i="79"/>
  <c r="F28" i="79" s="1"/>
  <c r="F29" i="79" s="1"/>
  <c r="K25" i="79"/>
  <c r="D28" i="93"/>
  <c r="F28" i="93" s="1"/>
  <c r="F29" i="93" s="1"/>
  <c r="K25" i="93"/>
  <c r="D40" i="91"/>
  <c r="F40" i="91" s="1"/>
  <c r="F41" i="91" s="1"/>
  <c r="K37" i="91"/>
  <c r="D40" i="74"/>
  <c r="F40" i="74" s="1"/>
  <c r="F41" i="74" s="1"/>
  <c r="K37" i="74"/>
  <c r="D40" i="69"/>
  <c r="F40" i="69" s="1"/>
  <c r="F41" i="69" s="1"/>
  <c r="K37" i="69"/>
  <c r="D40" i="98"/>
  <c r="F40" i="98" s="1"/>
  <c r="F41" i="98" s="1"/>
  <c r="K37" i="98"/>
  <c r="D46" i="83"/>
  <c r="F46" i="83" s="1"/>
  <c r="F47" i="83" s="1"/>
  <c r="K43" i="83"/>
  <c r="D46" i="90"/>
  <c r="F46" i="90" s="1"/>
  <c r="F47" i="90" s="1"/>
  <c r="K43" i="90"/>
  <c r="D46" i="72"/>
  <c r="F46" i="72" s="1"/>
  <c r="F47" i="72" s="1"/>
  <c r="K43" i="72"/>
  <c r="D46" i="100"/>
  <c r="F46" i="100" s="1"/>
  <c r="F47" i="100" s="1"/>
  <c r="K43" i="100"/>
  <c r="K42" i="62"/>
  <c r="D45" i="62"/>
  <c r="F45" i="62" s="1"/>
  <c r="F46" i="62" s="1"/>
  <c r="K42" i="66"/>
  <c r="D45" i="66"/>
  <c r="F45" i="66" s="1"/>
  <c r="F46" i="66" s="1"/>
  <c r="K42" i="53"/>
  <c r="D45" i="53"/>
  <c r="F45" i="53" s="1"/>
  <c r="F46" i="53" s="1"/>
  <c r="K42" i="51"/>
  <c r="D45" i="51"/>
  <c r="F45" i="51" s="1"/>
  <c r="F46" i="51" s="1"/>
  <c r="D29" i="37"/>
  <c r="F29" i="37" s="1"/>
  <c r="F30" i="37" s="1"/>
  <c r="F29" i="21"/>
  <c r="K30" i="59"/>
  <c r="D33" i="59"/>
  <c r="F33" i="59" s="1"/>
  <c r="F34" i="59" s="1"/>
  <c r="K30" i="61"/>
  <c r="D33" i="61"/>
  <c r="F33" i="61" s="1"/>
  <c r="F34" i="61" s="1"/>
  <c r="K30" i="50"/>
  <c r="D33" i="50"/>
  <c r="F33" i="50" s="1"/>
  <c r="F34" i="50" s="1"/>
  <c r="K36" i="58"/>
  <c r="D39" i="58"/>
  <c r="F39" i="58" s="1"/>
  <c r="F40" i="58" s="1"/>
  <c r="K36" i="53"/>
  <c r="D39" i="53"/>
  <c r="F39" i="53" s="1"/>
  <c r="F40" i="53" s="1"/>
  <c r="D34" i="73"/>
  <c r="F34" i="73" s="1"/>
  <c r="F35" i="73" s="1"/>
  <c r="K31" i="73"/>
  <c r="D34" i="77"/>
  <c r="F34" i="77" s="1"/>
  <c r="F35" i="77" s="1"/>
  <c r="K31" i="77"/>
  <c r="D34" i="80"/>
  <c r="F34" i="80" s="1"/>
  <c r="F35" i="80" s="1"/>
  <c r="K31" i="80"/>
  <c r="D34" i="85"/>
  <c r="F34" i="85" s="1"/>
  <c r="F35" i="85" s="1"/>
  <c r="K31" i="85"/>
  <c r="D28" i="78"/>
  <c r="F28" i="78" s="1"/>
  <c r="F29" i="78" s="1"/>
  <c r="K25" i="78"/>
  <c r="D28" i="72"/>
  <c r="F28" i="72" s="1"/>
  <c r="F29" i="72" s="1"/>
  <c r="K25" i="72"/>
  <c r="D28" i="73"/>
  <c r="F28" i="73" s="1"/>
  <c r="F29" i="73" s="1"/>
  <c r="K25" i="73"/>
  <c r="D28" i="77"/>
  <c r="F28" i="77" s="1"/>
  <c r="F29" i="77" s="1"/>
  <c r="K25" i="77"/>
  <c r="D28" i="99"/>
  <c r="F28" i="99" s="1"/>
  <c r="F29" i="99" s="1"/>
  <c r="K25" i="99"/>
  <c r="D40" i="93"/>
  <c r="F40" i="93" s="1"/>
  <c r="F41" i="93" s="1"/>
  <c r="K37" i="93"/>
  <c r="D40" i="89"/>
  <c r="F40" i="89" s="1"/>
  <c r="F41" i="89" s="1"/>
  <c r="K37" i="89"/>
  <c r="D40" i="79"/>
  <c r="F40" i="79" s="1"/>
  <c r="F41" i="79" s="1"/>
  <c r="K37" i="79"/>
  <c r="D40" i="84"/>
  <c r="F40" i="84" s="1"/>
  <c r="F41" i="84" s="1"/>
  <c r="K37" i="84"/>
  <c r="D46" i="86"/>
  <c r="F46" i="86" s="1"/>
  <c r="F47" i="86" s="1"/>
  <c r="K43" i="86"/>
  <c r="D46" i="71"/>
  <c r="F46" i="71" s="1"/>
  <c r="F47" i="71" s="1"/>
  <c r="K43" i="71"/>
  <c r="D46" i="75"/>
  <c r="F46" i="75" s="1"/>
  <c r="F47" i="75" s="1"/>
  <c r="K43" i="75"/>
  <c r="D46" i="134"/>
  <c r="F46" i="134" s="1"/>
  <c r="F47" i="134" s="1"/>
  <c r="K43" i="134"/>
  <c r="K42" i="60"/>
  <c r="D45" i="60"/>
  <c r="F45" i="60" s="1"/>
  <c r="F46" i="60" s="1"/>
  <c r="K42" i="54"/>
  <c r="D45" i="54"/>
  <c r="F45" i="54" s="1"/>
  <c r="F46" i="54" s="1"/>
  <c r="K42" i="52"/>
  <c r="D45" i="52"/>
  <c r="F45" i="52" s="1"/>
  <c r="F46" i="52" s="1"/>
  <c r="D29" i="42"/>
  <c r="F29" i="42" s="1"/>
  <c r="F30" i="42" s="1"/>
  <c r="D29" i="32"/>
  <c r="F29" i="32" s="1"/>
  <c r="F30" i="32" s="1"/>
  <c r="K30" i="55"/>
  <c r="D33" i="55"/>
  <c r="F33" i="55" s="1"/>
  <c r="F34" i="55" s="1"/>
  <c r="K30" i="52"/>
  <c r="D33" i="52"/>
  <c r="F33" i="52" s="1"/>
  <c r="F34" i="52" s="1"/>
  <c r="K36" i="63"/>
  <c r="D39" i="63"/>
  <c r="F39" i="63" s="1"/>
  <c r="F40" i="63" s="1"/>
  <c r="K36" i="49"/>
  <c r="D39" i="49"/>
  <c r="F39" i="49" s="1"/>
  <c r="F40" i="49" s="1"/>
  <c r="D34" i="79"/>
  <c r="F34" i="79" s="1"/>
  <c r="F35" i="79" s="1"/>
  <c r="K31" i="79"/>
  <c r="D34" i="87"/>
  <c r="F34" i="87" s="1"/>
  <c r="F35" i="87" s="1"/>
  <c r="K31" i="87"/>
  <c r="D34" i="88"/>
  <c r="F34" i="88" s="1"/>
  <c r="F35" i="88" s="1"/>
  <c r="K31" i="88"/>
  <c r="D34" i="95"/>
  <c r="F34" i="95" s="1"/>
  <c r="F35" i="95" s="1"/>
  <c r="K31" i="95"/>
  <c r="D28" i="82"/>
  <c r="F28" i="82" s="1"/>
  <c r="F29" i="82" s="1"/>
  <c r="K25" i="82"/>
  <c r="D28" i="70"/>
  <c r="F28" i="70" s="1"/>
  <c r="F29" i="70" s="1"/>
  <c r="K25" i="70"/>
  <c r="D28" i="81"/>
  <c r="F28" i="81" s="1"/>
  <c r="F29" i="81" s="1"/>
  <c r="K25" i="81"/>
  <c r="D28" i="84"/>
  <c r="F28" i="84" s="1"/>
  <c r="F29" i="84" s="1"/>
  <c r="K25" i="84"/>
  <c r="D40" i="134"/>
  <c r="F40" i="134" s="1"/>
  <c r="F41" i="134" s="1"/>
  <c r="K37" i="134"/>
  <c r="D40" i="72"/>
  <c r="F40" i="72" s="1"/>
  <c r="F41" i="72" s="1"/>
  <c r="K37" i="72"/>
  <c r="D40" i="92"/>
  <c r="F40" i="92" s="1"/>
  <c r="F41" i="92" s="1"/>
  <c r="K37" i="92"/>
  <c r="D40" i="73"/>
  <c r="F40" i="73" s="1"/>
  <c r="F41" i="73" s="1"/>
  <c r="K37" i="73"/>
  <c r="D40" i="99"/>
  <c r="F40" i="99" s="1"/>
  <c r="F41" i="99" s="1"/>
  <c r="K37" i="99"/>
  <c r="D46" i="89"/>
  <c r="F46" i="89" s="1"/>
  <c r="F47" i="89" s="1"/>
  <c r="K43" i="89"/>
  <c r="D46" i="76"/>
  <c r="F46" i="76" s="1"/>
  <c r="F47" i="76" s="1"/>
  <c r="K43" i="76"/>
  <c r="D46" i="78"/>
  <c r="F46" i="78" s="1"/>
  <c r="F47" i="78" s="1"/>
  <c r="K43" i="78"/>
  <c r="D46" i="70"/>
  <c r="F46" i="70" s="1"/>
  <c r="F47" i="70" s="1"/>
  <c r="K43" i="70"/>
  <c r="K42" i="63"/>
  <c r="D45" i="63"/>
  <c r="F45" i="63" s="1"/>
  <c r="F46" i="63" s="1"/>
  <c r="K42" i="61"/>
  <c r="D45" i="61"/>
  <c r="F45" i="61" s="1"/>
  <c r="F46" i="61" s="1"/>
  <c r="D29" i="34"/>
  <c r="F29" i="34" s="1"/>
  <c r="F30" i="34" s="1"/>
  <c r="F29" i="19"/>
  <c r="K30" i="63"/>
  <c r="D33" i="63"/>
  <c r="F33" i="63" s="1"/>
  <c r="F34" i="63" s="1"/>
  <c r="K30" i="67"/>
  <c r="D33" i="67"/>
  <c r="F33" i="67" s="1"/>
  <c r="F34" i="67" s="1"/>
  <c r="K36" i="64"/>
  <c r="D39" i="64"/>
  <c r="F39" i="64" s="1"/>
  <c r="F40" i="64" s="1"/>
  <c r="K36" i="59"/>
  <c r="D39" i="59"/>
  <c r="F39" i="59" s="1"/>
  <c r="F40" i="59" s="1"/>
  <c r="K36" i="51"/>
  <c r="D39" i="51"/>
  <c r="F39" i="51" s="1"/>
  <c r="F40" i="51" s="1"/>
  <c r="D34" i="98"/>
  <c r="F34" i="98" s="1"/>
  <c r="F35" i="98" s="1"/>
  <c r="K31" i="98"/>
  <c r="D34" i="90"/>
  <c r="F34" i="90" s="1"/>
  <c r="F35" i="90" s="1"/>
  <c r="K31" i="90"/>
  <c r="D34" i="91"/>
  <c r="F34" i="91" s="1"/>
  <c r="F35" i="91" s="1"/>
  <c r="K31" i="91"/>
  <c r="D34" i="75"/>
  <c r="F34" i="75" s="1"/>
  <c r="F35" i="75" s="1"/>
  <c r="K31" i="75"/>
  <c r="D28" i="97"/>
  <c r="F28" i="97" s="1"/>
  <c r="F29" i="97" s="1"/>
  <c r="K25" i="97"/>
  <c r="D28" i="74"/>
  <c r="F28" i="74" s="1"/>
  <c r="F29" i="74" s="1"/>
  <c r="K25" i="74"/>
  <c r="D28" i="83"/>
  <c r="F28" i="83" s="1"/>
  <c r="F29" i="83" s="1"/>
  <c r="K25" i="83"/>
  <c r="D28" i="87"/>
  <c r="F28" i="87" s="1"/>
  <c r="F29" i="87" s="1"/>
  <c r="K25" i="87"/>
  <c r="D40" i="75"/>
  <c r="F40" i="75" s="1"/>
  <c r="F41" i="75" s="1"/>
  <c r="K37" i="75"/>
  <c r="D40" i="70"/>
  <c r="F40" i="70" s="1"/>
  <c r="F41" i="70" s="1"/>
  <c r="K37" i="70"/>
  <c r="D40" i="76"/>
  <c r="F40" i="76" s="1"/>
  <c r="F41" i="76" s="1"/>
  <c r="K37" i="76"/>
  <c r="D40" i="77"/>
  <c r="F40" i="77" s="1"/>
  <c r="F41" i="77" s="1"/>
  <c r="K37" i="77"/>
  <c r="D46" i="69"/>
  <c r="F46" i="69" s="1"/>
  <c r="F47" i="69" s="1"/>
  <c r="K43" i="69"/>
  <c r="D46" i="92"/>
  <c r="F46" i="92" s="1"/>
  <c r="F47" i="92" s="1"/>
  <c r="K43" i="92"/>
  <c r="D46" i="99"/>
  <c r="F46" i="99" s="1"/>
  <c r="F47" i="99" s="1"/>
  <c r="K43" i="99"/>
  <c r="D46" i="80"/>
  <c r="F46" i="80" s="1"/>
  <c r="F47" i="80" s="1"/>
  <c r="K43" i="80"/>
  <c r="D46" i="74"/>
  <c r="F46" i="74" s="1"/>
  <c r="F47" i="74" s="1"/>
  <c r="K43" i="74"/>
  <c r="K31" i="68"/>
  <c r="D34" i="68"/>
  <c r="F34" i="68" s="1"/>
  <c r="F35" i="68" s="1"/>
  <c r="K37" i="68"/>
  <c r="D40" i="68"/>
  <c r="F40" i="68" s="1"/>
  <c r="F41" i="68" s="1"/>
  <c r="K43" i="68"/>
  <c r="D46" i="68"/>
  <c r="F46" i="68" s="1"/>
  <c r="F47" i="68" s="1"/>
  <c r="K25" i="40"/>
  <c r="K25" i="36"/>
  <c r="K25" i="39"/>
  <c r="K24" i="61"/>
  <c r="K24" i="50"/>
  <c r="K24" i="64"/>
  <c r="K24" i="63"/>
  <c r="K25" i="37"/>
  <c r="K24" i="59"/>
  <c r="K24" i="67"/>
  <c r="K25" i="42"/>
  <c r="K25" i="32"/>
  <c r="K24" i="52"/>
  <c r="K24" i="66"/>
  <c r="K25" i="68"/>
  <c r="K24" i="54"/>
  <c r="K25" i="34"/>
  <c r="K24" i="56"/>
  <c r="K24" i="65"/>
  <c r="K25" i="38"/>
  <c r="K25" i="33"/>
  <c r="K24" i="62"/>
  <c r="K24" i="49"/>
  <c r="K24" i="53"/>
  <c r="K25" i="41"/>
  <c r="K24" i="55"/>
  <c r="K24" i="57"/>
  <c r="K25" i="35"/>
  <c r="K24" i="51"/>
  <c r="K24" i="60"/>
  <c r="K24" i="58"/>
  <c r="J16" i="16"/>
  <c r="J13" i="16"/>
  <c r="I13" i="22"/>
  <c r="K13" i="22" s="1"/>
  <c r="D13" i="22"/>
  <c r="XFD73" i="107"/>
  <c r="I50" i="107"/>
  <c r="F48" i="107"/>
  <c r="F52" i="107" s="1"/>
  <c r="I44" i="107"/>
  <c r="I38" i="107"/>
  <c r="F36" i="107"/>
  <c r="F40" i="107" s="1"/>
  <c r="I32" i="107"/>
  <c r="I39" i="95" l="1"/>
  <c r="K39" i="95" s="1"/>
  <c r="I39" i="92"/>
  <c r="K39" i="92" s="1"/>
  <c r="I39" i="88"/>
  <c r="K39" i="88" s="1"/>
  <c r="I39" i="84"/>
  <c r="K39" i="84" s="1"/>
  <c r="I39" i="76"/>
  <c r="K39" i="76" s="1"/>
  <c r="I39" i="100"/>
  <c r="K39" i="100" s="1"/>
  <c r="I39" i="93"/>
  <c r="K39" i="93" s="1"/>
  <c r="I39" i="99"/>
  <c r="K39" i="99" s="1"/>
  <c r="I39" i="96"/>
  <c r="K39" i="96" s="1"/>
  <c r="I39" i="94"/>
  <c r="K39" i="94" s="1"/>
  <c r="I39" i="89"/>
  <c r="K39" i="89" s="1"/>
  <c r="I39" i="85"/>
  <c r="K39" i="85" s="1"/>
  <c r="I39" i="77"/>
  <c r="K39" i="77" s="1"/>
  <c r="I39" i="74"/>
  <c r="K39" i="74" s="1"/>
  <c r="I39" i="97"/>
  <c r="K39" i="97" s="1"/>
  <c r="I39" i="79"/>
  <c r="K39" i="79" s="1"/>
  <c r="I39" i="78"/>
  <c r="K39" i="78" s="1"/>
  <c r="I39" i="71"/>
  <c r="K39" i="71" s="1"/>
  <c r="I39" i="90"/>
  <c r="K39" i="90" s="1"/>
  <c r="I39" i="86"/>
  <c r="K39" i="86" s="1"/>
  <c r="I39" i="80"/>
  <c r="K39" i="80" s="1"/>
  <c r="I39" i="98"/>
  <c r="K39" i="98" s="1"/>
  <c r="I39" i="82"/>
  <c r="K39" i="82" s="1"/>
  <c r="I39" i="70"/>
  <c r="K39" i="70" s="1"/>
  <c r="I39" i="134"/>
  <c r="K39" i="134" s="1"/>
  <c r="I39" i="72"/>
  <c r="K39" i="72" s="1"/>
  <c r="I39" i="91"/>
  <c r="K39" i="91" s="1"/>
  <c r="I39" i="87"/>
  <c r="K39" i="87" s="1"/>
  <c r="I39" i="83"/>
  <c r="K39" i="83" s="1"/>
  <c r="I39" i="81"/>
  <c r="K39" i="81" s="1"/>
  <c r="I39" i="75"/>
  <c r="K39" i="75" s="1"/>
  <c r="I39" i="73"/>
  <c r="K39" i="73" s="1"/>
  <c r="I39" i="69"/>
  <c r="K39" i="69" s="1"/>
  <c r="I45" i="97"/>
  <c r="K45" i="97" s="1"/>
  <c r="I45" i="79"/>
  <c r="K45" i="79" s="1"/>
  <c r="I45" i="78"/>
  <c r="K45" i="78" s="1"/>
  <c r="I45" i="71"/>
  <c r="K45" i="71" s="1"/>
  <c r="I45" i="90"/>
  <c r="K45" i="90" s="1"/>
  <c r="I45" i="86"/>
  <c r="K45" i="86" s="1"/>
  <c r="I45" i="80"/>
  <c r="K45" i="80" s="1"/>
  <c r="I45" i="70"/>
  <c r="K45" i="70" s="1"/>
  <c r="I45" i="134"/>
  <c r="K45" i="134" s="1"/>
  <c r="I45" i="98"/>
  <c r="K45" i="98" s="1"/>
  <c r="I45" i="82"/>
  <c r="K45" i="82" s="1"/>
  <c r="I45" i="85"/>
  <c r="K45" i="85" s="1"/>
  <c r="I45" i="77"/>
  <c r="K45" i="77" s="1"/>
  <c r="I45" i="72"/>
  <c r="K45" i="72" s="1"/>
  <c r="I45" i="91"/>
  <c r="K45" i="91" s="1"/>
  <c r="I45" i="87"/>
  <c r="K45" i="87" s="1"/>
  <c r="I45" i="83"/>
  <c r="K45" i="83" s="1"/>
  <c r="I45" i="81"/>
  <c r="K45" i="81" s="1"/>
  <c r="I45" i="75"/>
  <c r="K45" i="75" s="1"/>
  <c r="I45" i="73"/>
  <c r="K45" i="73" s="1"/>
  <c r="I45" i="69"/>
  <c r="K45" i="69" s="1"/>
  <c r="I45" i="99"/>
  <c r="K45" i="99" s="1"/>
  <c r="I45" i="74"/>
  <c r="K45" i="74" s="1"/>
  <c r="I45" i="94"/>
  <c r="K45" i="94" s="1"/>
  <c r="I45" i="89"/>
  <c r="K45" i="89" s="1"/>
  <c r="I45" i="95"/>
  <c r="K45" i="95" s="1"/>
  <c r="I45" i="92"/>
  <c r="K45" i="92" s="1"/>
  <c r="I45" i="88"/>
  <c r="K45" i="88" s="1"/>
  <c r="I45" i="84"/>
  <c r="K45" i="84" s="1"/>
  <c r="I45" i="76"/>
  <c r="K45" i="76" s="1"/>
  <c r="I45" i="100"/>
  <c r="K45" i="100" s="1"/>
  <c r="I45" i="93"/>
  <c r="K45" i="93" s="1"/>
  <c r="I45" i="96"/>
  <c r="K45" i="96" s="1"/>
  <c r="I33" i="98"/>
  <c r="K33" i="98" s="1"/>
  <c r="I33" i="82"/>
  <c r="K33" i="82" s="1"/>
  <c r="I33" i="70"/>
  <c r="K33" i="70" s="1"/>
  <c r="I33" i="86"/>
  <c r="K33" i="86" s="1"/>
  <c r="I33" i="72"/>
  <c r="K33" i="72" s="1"/>
  <c r="I33" i="91"/>
  <c r="K33" i="91" s="1"/>
  <c r="I33" i="87"/>
  <c r="K33" i="87" s="1"/>
  <c r="I33" i="83"/>
  <c r="K33" i="83" s="1"/>
  <c r="I33" i="81"/>
  <c r="K33" i="81" s="1"/>
  <c r="I33" i="75"/>
  <c r="K33" i="75" s="1"/>
  <c r="I33" i="73"/>
  <c r="K33" i="73" s="1"/>
  <c r="I33" i="69"/>
  <c r="K33" i="69" s="1"/>
  <c r="I33" i="134"/>
  <c r="K33" i="134" s="1"/>
  <c r="I33" i="99"/>
  <c r="K33" i="99" s="1"/>
  <c r="I33" i="74"/>
  <c r="K33" i="74" s="1"/>
  <c r="I33" i="80"/>
  <c r="K33" i="80" s="1"/>
  <c r="I33" i="95"/>
  <c r="K33" i="95" s="1"/>
  <c r="I33" i="92"/>
  <c r="K33" i="92" s="1"/>
  <c r="I33" i="88"/>
  <c r="K33" i="88" s="1"/>
  <c r="I33" i="84"/>
  <c r="K33" i="84" s="1"/>
  <c r="I33" i="76"/>
  <c r="K33" i="76" s="1"/>
  <c r="I33" i="90"/>
  <c r="K33" i="90" s="1"/>
  <c r="I33" i="100"/>
  <c r="K33" i="100" s="1"/>
  <c r="I33" i="93"/>
  <c r="K33" i="93" s="1"/>
  <c r="I33" i="96"/>
  <c r="K33" i="96" s="1"/>
  <c r="I33" i="94"/>
  <c r="K33" i="94" s="1"/>
  <c r="I33" i="89"/>
  <c r="K33" i="89" s="1"/>
  <c r="I33" i="85"/>
  <c r="K33" i="85" s="1"/>
  <c r="I33" i="77"/>
  <c r="K33" i="77" s="1"/>
  <c r="I33" i="97"/>
  <c r="K33" i="97" s="1"/>
  <c r="I33" i="79"/>
  <c r="K33" i="79" s="1"/>
  <c r="I33" i="78"/>
  <c r="K33" i="78" s="1"/>
  <c r="I33" i="71"/>
  <c r="K33" i="71" s="1"/>
  <c r="I28" i="97"/>
  <c r="K28" i="97" s="1"/>
  <c r="I28" i="79"/>
  <c r="K28" i="79" s="1"/>
  <c r="I28" i="78"/>
  <c r="K28" i="78" s="1"/>
  <c r="I28" i="71"/>
  <c r="K28" i="71" s="1"/>
  <c r="I28" i="90"/>
  <c r="K28" i="90" s="1"/>
  <c r="I28" i="86"/>
  <c r="K28" i="86" s="1"/>
  <c r="I28" i="80"/>
  <c r="K28" i="80" s="1"/>
  <c r="I28" i="98"/>
  <c r="K28" i="98" s="1"/>
  <c r="I28" i="82"/>
  <c r="K28" i="82" s="1"/>
  <c r="I28" i="70"/>
  <c r="K28" i="70" s="1"/>
  <c r="I28" i="96"/>
  <c r="K28" i="96" s="1"/>
  <c r="I28" i="94"/>
  <c r="K28" i="94" s="1"/>
  <c r="I28" i="72"/>
  <c r="K28" i="72" s="1"/>
  <c r="I28" i="91"/>
  <c r="K28" i="91" s="1"/>
  <c r="I28" i="87"/>
  <c r="K28" i="87" s="1"/>
  <c r="I28" i="83"/>
  <c r="K28" i="83" s="1"/>
  <c r="I28" i="81"/>
  <c r="K28" i="81" s="1"/>
  <c r="I28" i="75"/>
  <c r="K28" i="75" s="1"/>
  <c r="I28" i="73"/>
  <c r="K28" i="73" s="1"/>
  <c r="I28" i="69"/>
  <c r="K28" i="69" s="1"/>
  <c r="I28" i="134"/>
  <c r="K28" i="134" s="1"/>
  <c r="I28" i="89"/>
  <c r="K28" i="89" s="1"/>
  <c r="I28" i="85"/>
  <c r="K28" i="85" s="1"/>
  <c r="I28" i="99"/>
  <c r="K28" i="99" s="1"/>
  <c r="I28" i="74"/>
  <c r="K28" i="74" s="1"/>
  <c r="I28" i="77"/>
  <c r="K28" i="77" s="1"/>
  <c r="I28" i="95"/>
  <c r="K28" i="95" s="1"/>
  <c r="I28" i="92"/>
  <c r="K28" i="92" s="1"/>
  <c r="I28" i="88"/>
  <c r="K28" i="88" s="1"/>
  <c r="I28" i="84"/>
  <c r="K28" i="84" s="1"/>
  <c r="I28" i="76"/>
  <c r="K28" i="76" s="1"/>
  <c r="I28" i="100"/>
  <c r="K28" i="100" s="1"/>
  <c r="I28" i="93"/>
  <c r="K28" i="93" s="1"/>
  <c r="I14" i="28"/>
  <c r="K14" i="28" s="1"/>
  <c r="I27" i="66"/>
  <c r="K27" i="66" s="1"/>
  <c r="I27" i="65"/>
  <c r="K27" i="65" s="1"/>
  <c r="I27" i="62"/>
  <c r="K27" i="62" s="1"/>
  <c r="I27" i="61"/>
  <c r="K27" i="61" s="1"/>
  <c r="I27" i="67"/>
  <c r="K27" i="67" s="1"/>
  <c r="I27" i="60"/>
  <c r="K27" i="60" s="1"/>
  <c r="I27" i="59"/>
  <c r="K27" i="59" s="1"/>
  <c r="I27" i="64"/>
  <c r="K27" i="64" s="1"/>
  <c r="I27" i="58"/>
  <c r="K27" i="58" s="1"/>
  <c r="I27" i="57"/>
  <c r="K27" i="57" s="1"/>
  <c r="I27" i="56"/>
  <c r="K27" i="56" s="1"/>
  <c r="I27" i="49"/>
  <c r="K27" i="49" s="1"/>
  <c r="I27" i="55"/>
  <c r="K27" i="55" s="1"/>
  <c r="I28" i="68"/>
  <c r="K28" i="68" s="1"/>
  <c r="I27" i="63"/>
  <c r="K27" i="63" s="1"/>
  <c r="I32" i="66"/>
  <c r="K32" i="66" s="1"/>
  <c r="I32" i="65"/>
  <c r="K32" i="65" s="1"/>
  <c r="I32" i="62"/>
  <c r="K32" i="62" s="1"/>
  <c r="I32" i="61"/>
  <c r="K32" i="61" s="1"/>
  <c r="I32" i="67"/>
  <c r="K32" i="67" s="1"/>
  <c r="I32" i="60"/>
  <c r="K32" i="60" s="1"/>
  <c r="I32" i="55"/>
  <c r="K32" i="55" s="1"/>
  <c r="I32" i="59"/>
  <c r="K32" i="59" s="1"/>
  <c r="I32" i="64"/>
  <c r="K32" i="64" s="1"/>
  <c r="I32" i="58"/>
  <c r="K32" i="58" s="1"/>
  <c r="I32" i="57"/>
  <c r="K32" i="57" s="1"/>
  <c r="I32" i="56"/>
  <c r="K32" i="56" s="1"/>
  <c r="I33" i="68"/>
  <c r="K33" i="68" s="1"/>
  <c r="I32" i="63"/>
  <c r="K32" i="63" s="1"/>
  <c r="I44" i="67"/>
  <c r="K44" i="67" s="1"/>
  <c r="I44" i="60"/>
  <c r="K44" i="60" s="1"/>
  <c r="I44" i="59"/>
  <c r="K44" i="59" s="1"/>
  <c r="I44" i="64"/>
  <c r="K44" i="64" s="1"/>
  <c r="I44" i="58"/>
  <c r="K44" i="58" s="1"/>
  <c r="I44" i="57"/>
  <c r="K44" i="57" s="1"/>
  <c r="I44" i="56"/>
  <c r="K44" i="56" s="1"/>
  <c r="I45" i="68"/>
  <c r="K45" i="68" s="1"/>
  <c r="I44" i="63"/>
  <c r="K44" i="63" s="1"/>
  <c r="I44" i="55"/>
  <c r="K44" i="55" s="1"/>
  <c r="I44" i="66"/>
  <c r="K44" i="66" s="1"/>
  <c r="I44" i="65"/>
  <c r="K44" i="65" s="1"/>
  <c r="I44" i="62"/>
  <c r="K44" i="62" s="1"/>
  <c r="I44" i="61"/>
  <c r="K44" i="61" s="1"/>
  <c r="I38" i="66"/>
  <c r="K38" i="66" s="1"/>
  <c r="I38" i="65"/>
  <c r="K38" i="65" s="1"/>
  <c r="I38" i="62"/>
  <c r="K38" i="62" s="1"/>
  <c r="I38" i="61"/>
  <c r="K38" i="61" s="1"/>
  <c r="I38" i="67"/>
  <c r="K38" i="67" s="1"/>
  <c r="I38" i="60"/>
  <c r="K38" i="60" s="1"/>
  <c r="I38" i="59"/>
  <c r="K38" i="59" s="1"/>
  <c r="I38" i="64"/>
  <c r="K38" i="64" s="1"/>
  <c r="I38" i="58"/>
  <c r="K38" i="58" s="1"/>
  <c r="I38" i="57"/>
  <c r="K38" i="57" s="1"/>
  <c r="I38" i="56"/>
  <c r="K38" i="56" s="1"/>
  <c r="I39" i="68"/>
  <c r="K39" i="68" s="1"/>
  <c r="I38" i="63"/>
  <c r="K38" i="63" s="1"/>
  <c r="I38" i="55"/>
  <c r="K38" i="55" s="1"/>
  <c r="J27" i="28"/>
  <c r="K27" i="28" s="1"/>
  <c r="J27" i="27"/>
  <c r="K27" i="27" s="1"/>
  <c r="J27" i="25"/>
  <c r="K27" i="25" s="1"/>
  <c r="J27" i="30"/>
  <c r="K27" i="30" s="1"/>
  <c r="J27" i="29"/>
  <c r="K27" i="29" s="1"/>
  <c r="J26" i="31"/>
  <c r="K26" i="31" s="1"/>
  <c r="J27" i="23"/>
  <c r="K27" i="23" s="1"/>
  <c r="J27" i="26"/>
  <c r="K27" i="26" s="1"/>
  <c r="J27" i="24"/>
  <c r="K27" i="24" s="1"/>
  <c r="J44" i="29"/>
  <c r="K44" i="29" s="1"/>
  <c r="J45" i="24"/>
  <c r="K45" i="24" s="1"/>
  <c r="J45" i="22"/>
  <c r="K45" i="22" s="1"/>
  <c r="J44" i="30"/>
  <c r="K44" i="30" s="1"/>
  <c r="K44" i="31"/>
  <c r="J44" i="26"/>
  <c r="K44" i="26" s="1"/>
  <c r="J44" i="28"/>
  <c r="K44" i="28" s="1"/>
  <c r="J44" i="27"/>
  <c r="K44" i="27" s="1"/>
  <c r="J45" i="23"/>
  <c r="K45" i="23" s="1"/>
  <c r="J44" i="25"/>
  <c r="K44" i="25" s="1"/>
  <c r="J45" i="28"/>
  <c r="K45" i="28" s="1"/>
  <c r="J45" i="30"/>
  <c r="K45" i="30" s="1"/>
  <c r="J45" i="26"/>
  <c r="K45" i="26" s="1"/>
  <c r="J45" i="25"/>
  <c r="K45" i="25" s="1"/>
  <c r="J45" i="27"/>
  <c r="K45" i="27" s="1"/>
  <c r="J45" i="29"/>
  <c r="K45" i="29" s="1"/>
  <c r="J46" i="24"/>
  <c r="K46" i="24" s="1"/>
  <c r="J46" i="23"/>
  <c r="K46" i="23" s="1"/>
  <c r="J45" i="31"/>
  <c r="K45" i="31" s="1"/>
  <c r="J27" i="31"/>
  <c r="J28" i="30"/>
  <c r="J28" i="23"/>
  <c r="J28" i="24"/>
  <c r="J28" i="28"/>
  <c r="J28" i="26"/>
  <c r="J28" i="25"/>
  <c r="J28" i="29"/>
  <c r="J28" i="27"/>
  <c r="J41" i="25"/>
  <c r="J41" i="30"/>
  <c r="J42" i="23"/>
  <c r="J41" i="29"/>
  <c r="J41" i="28"/>
  <c r="J41" i="31"/>
  <c r="J42" i="24"/>
  <c r="J41" i="26"/>
  <c r="J41" i="27"/>
  <c r="K38" i="31"/>
  <c r="J38" i="30"/>
  <c r="K38" i="30" s="1"/>
  <c r="J39" i="22"/>
  <c r="K39" i="22" s="1"/>
  <c r="J38" i="28"/>
  <c r="K38" i="28" s="1"/>
  <c r="J39" i="24"/>
  <c r="K39" i="24" s="1"/>
  <c r="J38" i="29"/>
  <c r="K38" i="29" s="1"/>
  <c r="J38" i="26"/>
  <c r="K38" i="26" s="1"/>
  <c r="J39" i="23"/>
  <c r="K39" i="23" s="1"/>
  <c r="J38" i="27"/>
  <c r="K38" i="27" s="1"/>
  <c r="J38" i="25"/>
  <c r="K38" i="25" s="1"/>
  <c r="J35" i="24"/>
  <c r="J35" i="23"/>
  <c r="J34" i="26"/>
  <c r="J34" i="28"/>
  <c r="J34" i="29"/>
  <c r="J34" i="27"/>
  <c r="J34" i="31"/>
  <c r="J34" i="30"/>
  <c r="J34" i="25"/>
  <c r="J35" i="29"/>
  <c r="J35" i="28"/>
  <c r="J35" i="27"/>
  <c r="J35" i="26"/>
  <c r="J35" i="25"/>
  <c r="J35" i="31"/>
  <c r="J35" i="30"/>
  <c r="J36" i="23"/>
  <c r="J36" i="24"/>
  <c r="J40" i="27"/>
  <c r="J40" i="31"/>
  <c r="J40" i="26"/>
  <c r="J40" i="25"/>
  <c r="J40" i="30"/>
  <c r="J41" i="24"/>
  <c r="J41" i="23"/>
  <c r="J40" i="29"/>
  <c r="J40" i="28"/>
  <c r="J32" i="25"/>
  <c r="K32" i="25" s="1"/>
  <c r="K32" i="31"/>
  <c r="J32" i="30"/>
  <c r="K32" i="30" s="1"/>
  <c r="J33" i="22"/>
  <c r="K33" i="22" s="1"/>
  <c r="J32" i="29"/>
  <c r="K32" i="29" s="1"/>
  <c r="J33" i="23"/>
  <c r="K33" i="23" s="1"/>
  <c r="J32" i="27"/>
  <c r="K32" i="27" s="1"/>
  <c r="J33" i="24"/>
  <c r="K33" i="24" s="1"/>
  <c r="J32" i="28"/>
  <c r="K32" i="28" s="1"/>
  <c r="J32" i="26"/>
  <c r="K32" i="26" s="1"/>
  <c r="J33" i="31"/>
  <c r="K33" i="31" s="1"/>
  <c r="J33" i="30"/>
  <c r="K33" i="30" s="1"/>
  <c r="J34" i="23"/>
  <c r="K34" i="23" s="1"/>
  <c r="J34" i="24"/>
  <c r="K34" i="24" s="1"/>
  <c r="J33" i="28"/>
  <c r="K33" i="28" s="1"/>
  <c r="J33" i="26"/>
  <c r="K33" i="26" s="1"/>
  <c r="J33" i="25"/>
  <c r="K33" i="25" s="1"/>
  <c r="J33" i="29"/>
  <c r="K33" i="29" s="1"/>
  <c r="J33" i="27"/>
  <c r="K33" i="27" s="1"/>
  <c r="J28" i="31"/>
  <c r="J29" i="28"/>
  <c r="J29" i="27"/>
  <c r="J29" i="29"/>
  <c r="J29" i="24"/>
  <c r="J29" i="26"/>
  <c r="J29" i="25"/>
  <c r="J29" i="30"/>
  <c r="J29" i="23"/>
  <c r="J46" i="31"/>
  <c r="J46" i="25"/>
  <c r="J46" i="29"/>
  <c r="J46" i="28"/>
  <c r="J46" i="27"/>
  <c r="J47" i="23"/>
  <c r="J47" i="24"/>
  <c r="J46" i="26"/>
  <c r="J46" i="30"/>
  <c r="J47" i="28"/>
  <c r="J47" i="27"/>
  <c r="J48" i="23"/>
  <c r="J47" i="29"/>
  <c r="J48" i="24"/>
  <c r="J47" i="31"/>
  <c r="J47" i="30"/>
  <c r="J47" i="26"/>
  <c r="J47" i="25"/>
  <c r="J39" i="29"/>
  <c r="K39" i="29" s="1"/>
  <c r="J40" i="24"/>
  <c r="K40" i="24" s="1"/>
  <c r="J39" i="28"/>
  <c r="K39" i="28" s="1"/>
  <c r="J39" i="27"/>
  <c r="K39" i="27" s="1"/>
  <c r="J39" i="26"/>
  <c r="K39" i="26" s="1"/>
  <c r="J39" i="31"/>
  <c r="K39" i="31" s="1"/>
  <c r="J39" i="25"/>
  <c r="K39" i="25" s="1"/>
  <c r="J40" i="23"/>
  <c r="K40" i="23" s="1"/>
  <c r="J39" i="30"/>
  <c r="K39" i="30" s="1"/>
  <c r="J26" i="26"/>
  <c r="K26" i="26" s="1"/>
  <c r="J26" i="29"/>
  <c r="K26" i="29" s="1"/>
  <c r="J26" i="27"/>
  <c r="K26" i="27" s="1"/>
  <c r="J26" i="22"/>
  <c r="K26" i="22" s="1"/>
  <c r="J26" i="28"/>
  <c r="K26" i="28" s="1"/>
  <c r="J26" i="25"/>
  <c r="K26" i="25" s="1"/>
  <c r="K25" i="31"/>
  <c r="J26" i="24"/>
  <c r="K26" i="24" s="1"/>
  <c r="J26" i="23"/>
  <c r="K26" i="23" s="1"/>
  <c r="J26" i="30"/>
  <c r="K26" i="30" s="1"/>
  <c r="J42" i="19"/>
  <c r="J42" i="22"/>
  <c r="J42" i="17"/>
  <c r="J42" i="21"/>
  <c r="J27" i="17"/>
  <c r="J27" i="22"/>
  <c r="K27" i="22" s="1"/>
  <c r="J27" i="21"/>
  <c r="K27" i="21" s="1"/>
  <c r="J27" i="19"/>
  <c r="K27" i="19" s="1"/>
  <c r="J45" i="21"/>
  <c r="K45" i="21" s="1"/>
  <c r="J45" i="19"/>
  <c r="K45" i="19" s="1"/>
  <c r="J45" i="17"/>
  <c r="J41" i="21"/>
  <c r="J41" i="22"/>
  <c r="J41" i="19"/>
  <c r="J41" i="17"/>
  <c r="F13" i="22"/>
  <c r="J28" i="21"/>
  <c r="J28" i="17"/>
  <c r="J28" i="22"/>
  <c r="J28" i="19"/>
  <c r="J35" i="19"/>
  <c r="J35" i="21"/>
  <c r="J35" i="22"/>
  <c r="J35" i="17"/>
  <c r="J46" i="22"/>
  <c r="K46" i="22" s="1"/>
  <c r="J46" i="19"/>
  <c r="K46" i="19" s="1"/>
  <c r="J46" i="17"/>
  <c r="J46" i="21"/>
  <c r="K46" i="21" s="1"/>
  <c r="J47" i="17"/>
  <c r="J47" i="21"/>
  <c r="J47" i="22"/>
  <c r="J47" i="19"/>
  <c r="J36" i="21"/>
  <c r="J36" i="22"/>
  <c r="J36" i="17"/>
  <c r="J36" i="19"/>
  <c r="J48" i="21"/>
  <c r="J48" i="22"/>
  <c r="J48" i="19"/>
  <c r="J48" i="17"/>
  <c r="J39" i="19"/>
  <c r="K39" i="19" s="1"/>
  <c r="J39" i="17"/>
  <c r="J39" i="21"/>
  <c r="K39" i="21" s="1"/>
  <c r="J34" i="22"/>
  <c r="K34" i="22" s="1"/>
  <c r="J34" i="17"/>
  <c r="J34" i="19"/>
  <c r="K34" i="19" s="1"/>
  <c r="J34" i="21"/>
  <c r="K34" i="21" s="1"/>
  <c r="J29" i="19"/>
  <c r="J29" i="22"/>
  <c r="J29" i="17"/>
  <c r="J29" i="21"/>
  <c r="J26" i="17"/>
  <c r="J26" i="21"/>
  <c r="K26" i="21" s="1"/>
  <c r="J26" i="19"/>
  <c r="K26" i="19" s="1"/>
  <c r="J33" i="21"/>
  <c r="K33" i="21" s="1"/>
  <c r="J33" i="17"/>
  <c r="J33" i="19"/>
  <c r="K33" i="19" s="1"/>
  <c r="J40" i="17"/>
  <c r="J40" i="21"/>
  <c r="K40" i="21" s="1"/>
  <c r="J40" i="22"/>
  <c r="K40" i="22" s="1"/>
  <c r="J40" i="19"/>
  <c r="K40" i="19" s="1"/>
  <c r="K50" i="107"/>
  <c r="K38" i="107"/>
  <c r="F42" i="107"/>
  <c r="F46" i="107" s="1"/>
  <c r="K43" i="107"/>
  <c r="I39" i="107"/>
  <c r="I45" i="107"/>
  <c r="K37" i="107"/>
  <c r="K44" i="107"/>
  <c r="F29" i="107"/>
  <c r="F33" i="107" s="1"/>
  <c r="K32" i="107"/>
  <c r="K30" i="107"/>
  <c r="I51" i="107"/>
  <c r="I31" i="107"/>
  <c r="K49" i="107"/>
  <c r="I40" i="100" l="1"/>
  <c r="K40" i="100" s="1"/>
  <c r="K41" i="100" s="1"/>
  <c r="I40" i="93"/>
  <c r="K40" i="93" s="1"/>
  <c r="K41" i="93" s="1"/>
  <c r="I40" i="96"/>
  <c r="K40" i="96" s="1"/>
  <c r="K41" i="96" s="1"/>
  <c r="I40" i="94"/>
  <c r="K40" i="94" s="1"/>
  <c r="K41" i="94" s="1"/>
  <c r="I40" i="89"/>
  <c r="K40" i="89" s="1"/>
  <c r="K41" i="89" s="1"/>
  <c r="I40" i="85"/>
  <c r="K40" i="85" s="1"/>
  <c r="K41" i="85" s="1"/>
  <c r="I40" i="77"/>
  <c r="K40" i="77" s="1"/>
  <c r="K41" i="77" s="1"/>
  <c r="I40" i="76"/>
  <c r="K40" i="76" s="1"/>
  <c r="K41" i="76" s="1"/>
  <c r="I40" i="97"/>
  <c r="K40" i="97" s="1"/>
  <c r="K41" i="97" s="1"/>
  <c r="I40" i="79"/>
  <c r="K40" i="79" s="1"/>
  <c r="K41" i="79" s="1"/>
  <c r="I40" i="78"/>
  <c r="K40" i="78" s="1"/>
  <c r="K41" i="78" s="1"/>
  <c r="I40" i="92"/>
  <c r="K40" i="92" s="1"/>
  <c r="K41" i="92" s="1"/>
  <c r="I40" i="71"/>
  <c r="K40" i="71" s="1"/>
  <c r="K41" i="71" s="1"/>
  <c r="I40" i="90"/>
  <c r="K40" i="90" s="1"/>
  <c r="K41" i="90" s="1"/>
  <c r="I40" i="86"/>
  <c r="K40" i="86" s="1"/>
  <c r="K41" i="86" s="1"/>
  <c r="I40" i="80"/>
  <c r="K40" i="80" s="1"/>
  <c r="K41" i="80" s="1"/>
  <c r="I40" i="70"/>
  <c r="K40" i="70" s="1"/>
  <c r="K41" i="70" s="1"/>
  <c r="I40" i="134"/>
  <c r="K40" i="134" s="1"/>
  <c r="K41" i="134" s="1"/>
  <c r="I40" i="98"/>
  <c r="K40" i="98" s="1"/>
  <c r="K41" i="98" s="1"/>
  <c r="I40" i="82"/>
  <c r="K40" i="82" s="1"/>
  <c r="K41" i="82" s="1"/>
  <c r="I40" i="72"/>
  <c r="K40" i="72" s="1"/>
  <c r="K41" i="72" s="1"/>
  <c r="I40" i="91"/>
  <c r="K40" i="91" s="1"/>
  <c r="K41" i="91" s="1"/>
  <c r="I40" i="87"/>
  <c r="K40" i="87" s="1"/>
  <c r="K41" i="87" s="1"/>
  <c r="I40" i="83"/>
  <c r="K40" i="83" s="1"/>
  <c r="K41" i="83" s="1"/>
  <c r="I40" i="81"/>
  <c r="K40" i="81" s="1"/>
  <c r="K41" i="81" s="1"/>
  <c r="I40" i="75"/>
  <c r="K40" i="75" s="1"/>
  <c r="K41" i="75" s="1"/>
  <c r="I40" i="73"/>
  <c r="K40" i="73" s="1"/>
  <c r="K41" i="73" s="1"/>
  <c r="I40" i="69"/>
  <c r="K40" i="69" s="1"/>
  <c r="K41" i="69" s="1"/>
  <c r="I40" i="88"/>
  <c r="K40" i="88" s="1"/>
  <c r="K41" i="88" s="1"/>
  <c r="I40" i="84"/>
  <c r="K40" i="84" s="1"/>
  <c r="K41" i="84" s="1"/>
  <c r="I40" i="99"/>
  <c r="K40" i="99" s="1"/>
  <c r="K41" i="99" s="1"/>
  <c r="I40" i="74"/>
  <c r="K40" i="74" s="1"/>
  <c r="K41" i="74" s="1"/>
  <c r="I40" i="95"/>
  <c r="K40" i="95" s="1"/>
  <c r="K41" i="95" s="1"/>
  <c r="I27" i="96"/>
  <c r="K27" i="96" s="1"/>
  <c r="K29" i="96" s="1"/>
  <c r="I27" i="94"/>
  <c r="K27" i="94" s="1"/>
  <c r="K29" i="94" s="1"/>
  <c r="I27" i="89"/>
  <c r="K27" i="89" s="1"/>
  <c r="K29" i="89" s="1"/>
  <c r="I27" i="85"/>
  <c r="K27" i="85" s="1"/>
  <c r="K29" i="85" s="1"/>
  <c r="I27" i="77"/>
  <c r="K27" i="77" s="1"/>
  <c r="K29" i="77" s="1"/>
  <c r="I27" i="97"/>
  <c r="K27" i="97" s="1"/>
  <c r="K29" i="97" s="1"/>
  <c r="I27" i="79"/>
  <c r="K27" i="79" s="1"/>
  <c r="K29" i="79" s="1"/>
  <c r="I27" i="78"/>
  <c r="K27" i="78" s="1"/>
  <c r="K29" i="78" s="1"/>
  <c r="I27" i="71"/>
  <c r="K27" i="71" s="1"/>
  <c r="K29" i="71" s="1"/>
  <c r="I27" i="90"/>
  <c r="K27" i="90" s="1"/>
  <c r="K29" i="90" s="1"/>
  <c r="I27" i="86"/>
  <c r="K27" i="86" s="1"/>
  <c r="K29" i="86" s="1"/>
  <c r="I27" i="80"/>
  <c r="K27" i="80" s="1"/>
  <c r="K29" i="80" s="1"/>
  <c r="I27" i="98"/>
  <c r="K27" i="98" s="1"/>
  <c r="K29" i="98" s="1"/>
  <c r="I27" i="82"/>
  <c r="K27" i="82" s="1"/>
  <c r="K29" i="82" s="1"/>
  <c r="I27" i="70"/>
  <c r="K27" i="70" s="1"/>
  <c r="K29" i="70" s="1"/>
  <c r="I27" i="72"/>
  <c r="K27" i="72" s="1"/>
  <c r="K29" i="72" s="1"/>
  <c r="I27" i="91"/>
  <c r="K27" i="91" s="1"/>
  <c r="K29" i="91" s="1"/>
  <c r="I27" i="87"/>
  <c r="K27" i="87" s="1"/>
  <c r="K29" i="87" s="1"/>
  <c r="I27" i="83"/>
  <c r="K27" i="83" s="1"/>
  <c r="K29" i="83" s="1"/>
  <c r="I27" i="81"/>
  <c r="K27" i="81" s="1"/>
  <c r="K29" i="81" s="1"/>
  <c r="I27" i="69"/>
  <c r="K27" i="69" s="1"/>
  <c r="K29" i="69" s="1"/>
  <c r="I27" i="134"/>
  <c r="K27" i="134" s="1"/>
  <c r="K29" i="134" s="1"/>
  <c r="I27" i="100"/>
  <c r="K27" i="100" s="1"/>
  <c r="K29" i="100" s="1"/>
  <c r="I27" i="99"/>
  <c r="K27" i="99" s="1"/>
  <c r="K29" i="99" s="1"/>
  <c r="I27" i="75"/>
  <c r="K27" i="75" s="1"/>
  <c r="K29" i="75" s="1"/>
  <c r="I27" i="74"/>
  <c r="K27" i="74" s="1"/>
  <c r="K29" i="74" s="1"/>
  <c r="I27" i="73"/>
  <c r="K27" i="73" s="1"/>
  <c r="K29" i="73" s="1"/>
  <c r="I27" i="93"/>
  <c r="K27" i="93" s="1"/>
  <c r="K29" i="93" s="1"/>
  <c r="I27" i="95"/>
  <c r="K27" i="95" s="1"/>
  <c r="K29" i="95" s="1"/>
  <c r="I27" i="92"/>
  <c r="K27" i="92" s="1"/>
  <c r="K29" i="92" s="1"/>
  <c r="I27" i="88"/>
  <c r="K27" i="88" s="1"/>
  <c r="K29" i="88" s="1"/>
  <c r="I27" i="84"/>
  <c r="K27" i="84" s="1"/>
  <c r="K29" i="84" s="1"/>
  <c r="I27" i="76"/>
  <c r="K27" i="76" s="1"/>
  <c r="K29" i="76" s="1"/>
  <c r="I34" i="72"/>
  <c r="K34" i="72" s="1"/>
  <c r="K35" i="72" s="1"/>
  <c r="I34" i="91"/>
  <c r="K34" i="91" s="1"/>
  <c r="K35" i="91" s="1"/>
  <c r="I34" i="87"/>
  <c r="K34" i="87" s="1"/>
  <c r="K35" i="87" s="1"/>
  <c r="I34" i="83"/>
  <c r="K34" i="83" s="1"/>
  <c r="K35" i="83" s="1"/>
  <c r="I34" i="81"/>
  <c r="K34" i="81" s="1"/>
  <c r="K35" i="81" s="1"/>
  <c r="I34" i="75"/>
  <c r="K34" i="75" s="1"/>
  <c r="K35" i="75" s="1"/>
  <c r="I34" i="73"/>
  <c r="K34" i="73" s="1"/>
  <c r="K35" i="73" s="1"/>
  <c r="I34" i="69"/>
  <c r="K34" i="69" s="1"/>
  <c r="K35" i="69" s="1"/>
  <c r="I34" i="99"/>
  <c r="K34" i="99" s="1"/>
  <c r="K35" i="99" s="1"/>
  <c r="I34" i="74"/>
  <c r="K34" i="74" s="1"/>
  <c r="K35" i="74" s="1"/>
  <c r="I34" i="95"/>
  <c r="K34" i="95" s="1"/>
  <c r="K35" i="95" s="1"/>
  <c r="I34" i="92"/>
  <c r="K34" i="92" s="1"/>
  <c r="K35" i="92" s="1"/>
  <c r="I34" i="88"/>
  <c r="K34" i="88" s="1"/>
  <c r="K35" i="88" s="1"/>
  <c r="I34" i="84"/>
  <c r="K34" i="84" s="1"/>
  <c r="K35" i="84" s="1"/>
  <c r="I34" i="76"/>
  <c r="K34" i="76" s="1"/>
  <c r="K35" i="76" s="1"/>
  <c r="I34" i="98"/>
  <c r="K34" i="98" s="1"/>
  <c r="K35" i="98" s="1"/>
  <c r="I34" i="100"/>
  <c r="K34" i="100" s="1"/>
  <c r="K35" i="100" s="1"/>
  <c r="I34" i="93"/>
  <c r="K34" i="93" s="1"/>
  <c r="K35" i="93" s="1"/>
  <c r="I34" i="70"/>
  <c r="K34" i="70" s="1"/>
  <c r="K35" i="70" s="1"/>
  <c r="I34" i="96"/>
  <c r="K34" i="96" s="1"/>
  <c r="K35" i="96" s="1"/>
  <c r="I34" i="94"/>
  <c r="K34" i="94" s="1"/>
  <c r="K35" i="94" s="1"/>
  <c r="I34" i="89"/>
  <c r="K34" i="89" s="1"/>
  <c r="K35" i="89" s="1"/>
  <c r="I34" i="85"/>
  <c r="K34" i="85" s="1"/>
  <c r="K35" i="85" s="1"/>
  <c r="I34" i="77"/>
  <c r="K34" i="77" s="1"/>
  <c r="K35" i="77" s="1"/>
  <c r="I34" i="134"/>
  <c r="K34" i="134" s="1"/>
  <c r="K35" i="134" s="1"/>
  <c r="I34" i="97"/>
  <c r="K34" i="97" s="1"/>
  <c r="K35" i="97" s="1"/>
  <c r="I34" i="79"/>
  <c r="K34" i="79" s="1"/>
  <c r="K35" i="79" s="1"/>
  <c r="I34" i="78"/>
  <c r="K34" i="78" s="1"/>
  <c r="K35" i="78" s="1"/>
  <c r="I34" i="71"/>
  <c r="K34" i="71" s="1"/>
  <c r="K35" i="71" s="1"/>
  <c r="I34" i="90"/>
  <c r="K34" i="90" s="1"/>
  <c r="K35" i="90" s="1"/>
  <c r="I34" i="86"/>
  <c r="K34" i="86" s="1"/>
  <c r="K35" i="86" s="1"/>
  <c r="I34" i="80"/>
  <c r="K34" i="80" s="1"/>
  <c r="K35" i="80" s="1"/>
  <c r="I34" i="82"/>
  <c r="K34" i="82" s="1"/>
  <c r="K35" i="82" s="1"/>
  <c r="I46" i="71"/>
  <c r="K46" i="71" s="1"/>
  <c r="K47" i="71" s="1"/>
  <c r="I46" i="90"/>
  <c r="K46" i="90" s="1"/>
  <c r="K47" i="90" s="1"/>
  <c r="I46" i="86"/>
  <c r="K46" i="86" s="1"/>
  <c r="K47" i="86" s="1"/>
  <c r="I46" i="80"/>
  <c r="K46" i="80" s="1"/>
  <c r="K47" i="80" s="1"/>
  <c r="I46" i="70"/>
  <c r="K46" i="70" s="1"/>
  <c r="K47" i="70" s="1"/>
  <c r="I46" i="134"/>
  <c r="K46" i="134" s="1"/>
  <c r="K47" i="134" s="1"/>
  <c r="I46" i="98"/>
  <c r="K46" i="98" s="1"/>
  <c r="K47" i="98" s="1"/>
  <c r="I46" i="82"/>
  <c r="K46" i="82" s="1"/>
  <c r="K47" i="82" s="1"/>
  <c r="I46" i="69"/>
  <c r="K46" i="69" s="1"/>
  <c r="K47" i="69" s="1"/>
  <c r="I46" i="72"/>
  <c r="K46" i="72" s="1"/>
  <c r="K47" i="72" s="1"/>
  <c r="I46" i="91"/>
  <c r="K46" i="91" s="1"/>
  <c r="K47" i="91" s="1"/>
  <c r="I46" i="87"/>
  <c r="K46" i="87" s="1"/>
  <c r="K47" i="87" s="1"/>
  <c r="I46" i="83"/>
  <c r="K46" i="83" s="1"/>
  <c r="K47" i="83" s="1"/>
  <c r="I46" i="81"/>
  <c r="K46" i="81" s="1"/>
  <c r="K47" i="81" s="1"/>
  <c r="I46" i="75"/>
  <c r="K46" i="75" s="1"/>
  <c r="K47" i="75" s="1"/>
  <c r="I46" i="74"/>
  <c r="K46" i="74" s="1"/>
  <c r="K47" i="74" s="1"/>
  <c r="I46" i="73"/>
  <c r="K46" i="73" s="1"/>
  <c r="K47" i="73" s="1"/>
  <c r="I46" i="99"/>
  <c r="K46" i="99" s="1"/>
  <c r="K47" i="99" s="1"/>
  <c r="I46" i="95"/>
  <c r="K46" i="95" s="1"/>
  <c r="K47" i="95" s="1"/>
  <c r="I46" i="92"/>
  <c r="K46" i="92" s="1"/>
  <c r="K47" i="92" s="1"/>
  <c r="I46" i="88"/>
  <c r="K46" i="88" s="1"/>
  <c r="K47" i="88" s="1"/>
  <c r="I46" i="84"/>
  <c r="K46" i="84" s="1"/>
  <c r="K47" i="84" s="1"/>
  <c r="I46" i="76"/>
  <c r="K46" i="76" s="1"/>
  <c r="K47" i="76" s="1"/>
  <c r="I46" i="100"/>
  <c r="K46" i="100" s="1"/>
  <c r="K47" i="100" s="1"/>
  <c r="I46" i="93"/>
  <c r="K46" i="93" s="1"/>
  <c r="K47" i="93" s="1"/>
  <c r="I46" i="96"/>
  <c r="K46" i="96" s="1"/>
  <c r="K47" i="96" s="1"/>
  <c r="I46" i="94"/>
  <c r="K46" i="94" s="1"/>
  <c r="K47" i="94" s="1"/>
  <c r="I46" i="89"/>
  <c r="K46" i="89" s="1"/>
  <c r="K47" i="89" s="1"/>
  <c r="I46" i="85"/>
  <c r="K46" i="85" s="1"/>
  <c r="K47" i="85" s="1"/>
  <c r="I46" i="78"/>
  <c r="K46" i="78" s="1"/>
  <c r="K47" i="78" s="1"/>
  <c r="I46" i="77"/>
  <c r="K46" i="77" s="1"/>
  <c r="K47" i="77" s="1"/>
  <c r="I46" i="97"/>
  <c r="K46" i="97" s="1"/>
  <c r="K47" i="97" s="1"/>
  <c r="I46" i="79"/>
  <c r="K46" i="79" s="1"/>
  <c r="K47" i="79" s="1"/>
  <c r="I14" i="68"/>
  <c r="K14" i="68" s="1"/>
  <c r="I14" i="49"/>
  <c r="K14" i="49" s="1"/>
  <c r="I14" i="22"/>
  <c r="K14" i="22" s="1"/>
  <c r="I14" i="25"/>
  <c r="K14" i="25" s="1"/>
  <c r="D14" i="22"/>
  <c r="F14" i="22" s="1"/>
  <c r="D14" i="28"/>
  <c r="F14" i="28" s="1"/>
  <c r="D14" i="25"/>
  <c r="F14" i="25" s="1"/>
  <c r="I29" i="41"/>
  <c r="K29" i="41" s="1"/>
  <c r="I29" i="39"/>
  <c r="K29" i="39" s="1"/>
  <c r="I29" i="37"/>
  <c r="K29" i="37" s="1"/>
  <c r="I29" i="35"/>
  <c r="K29" i="35" s="1"/>
  <c r="I29" i="33"/>
  <c r="K29" i="33" s="1"/>
  <c r="I29" i="31"/>
  <c r="K29" i="31" s="1"/>
  <c r="I29" i="42"/>
  <c r="K29" i="42" s="1"/>
  <c r="I29" i="40"/>
  <c r="K29" i="40" s="1"/>
  <c r="I29" i="38"/>
  <c r="K29" i="38" s="1"/>
  <c r="I29" i="36"/>
  <c r="K29" i="36" s="1"/>
  <c r="I29" i="34"/>
  <c r="K29" i="34" s="1"/>
  <c r="I29" i="32"/>
  <c r="K29" i="32" s="1"/>
  <c r="K45" i="107"/>
  <c r="I39" i="59"/>
  <c r="K39" i="59" s="1"/>
  <c r="K40" i="59" s="1"/>
  <c r="I39" i="64"/>
  <c r="K39" i="64" s="1"/>
  <c r="K40" i="64" s="1"/>
  <c r="I39" i="58"/>
  <c r="K39" i="58" s="1"/>
  <c r="K40" i="58" s="1"/>
  <c r="I39" i="57"/>
  <c r="K39" i="57" s="1"/>
  <c r="K40" i="57" s="1"/>
  <c r="I39" i="56"/>
  <c r="K39" i="56" s="1"/>
  <c r="K40" i="56" s="1"/>
  <c r="I40" i="68"/>
  <c r="K40" i="68" s="1"/>
  <c r="K41" i="68" s="1"/>
  <c r="I39" i="63"/>
  <c r="K39" i="63" s="1"/>
  <c r="K40" i="63" s="1"/>
  <c r="I39" i="66"/>
  <c r="K39" i="66" s="1"/>
  <c r="K40" i="66" s="1"/>
  <c r="I39" i="65"/>
  <c r="K39" i="65" s="1"/>
  <c r="K40" i="65" s="1"/>
  <c r="I39" i="62"/>
  <c r="K39" i="62" s="1"/>
  <c r="K40" i="62" s="1"/>
  <c r="I39" i="61"/>
  <c r="K39" i="61" s="1"/>
  <c r="K40" i="61" s="1"/>
  <c r="I39" i="55"/>
  <c r="K39" i="55" s="1"/>
  <c r="K40" i="55" s="1"/>
  <c r="I39" i="67"/>
  <c r="K39" i="67" s="1"/>
  <c r="K40" i="67" s="1"/>
  <c r="I39" i="60"/>
  <c r="K39" i="60" s="1"/>
  <c r="K40" i="60" s="1"/>
  <c r="K31" i="107"/>
  <c r="I26" i="66"/>
  <c r="K26" i="66" s="1"/>
  <c r="K28" i="66" s="1"/>
  <c r="I26" i="65"/>
  <c r="K26" i="65" s="1"/>
  <c r="K28" i="65" s="1"/>
  <c r="I26" i="62"/>
  <c r="K26" i="62" s="1"/>
  <c r="K28" i="62" s="1"/>
  <c r="I26" i="61"/>
  <c r="K26" i="61" s="1"/>
  <c r="K28" i="61" s="1"/>
  <c r="I26" i="67"/>
  <c r="K26" i="67" s="1"/>
  <c r="K28" i="67" s="1"/>
  <c r="I26" i="60"/>
  <c r="K26" i="60" s="1"/>
  <c r="K28" i="60" s="1"/>
  <c r="I26" i="59"/>
  <c r="K26" i="59" s="1"/>
  <c r="K28" i="59" s="1"/>
  <c r="I26" i="64"/>
  <c r="K26" i="64" s="1"/>
  <c r="K28" i="64" s="1"/>
  <c r="I26" i="49"/>
  <c r="K26" i="49" s="1"/>
  <c r="K28" i="49" s="1"/>
  <c r="I26" i="55"/>
  <c r="K26" i="55" s="1"/>
  <c r="K28" i="55" s="1"/>
  <c r="I26" i="58"/>
  <c r="K26" i="58" s="1"/>
  <c r="K28" i="58" s="1"/>
  <c r="I26" i="57"/>
  <c r="K26" i="57" s="1"/>
  <c r="K28" i="57" s="1"/>
  <c r="I26" i="56"/>
  <c r="K26" i="56" s="1"/>
  <c r="K28" i="56" s="1"/>
  <c r="I27" i="68"/>
  <c r="K27" i="68" s="1"/>
  <c r="K29" i="68" s="1"/>
  <c r="I26" i="63"/>
  <c r="K26" i="63" s="1"/>
  <c r="K28" i="63" s="1"/>
  <c r="K39" i="107"/>
  <c r="I33" i="67"/>
  <c r="K33" i="67" s="1"/>
  <c r="K34" i="67" s="1"/>
  <c r="I33" i="60"/>
  <c r="K33" i="60" s="1"/>
  <c r="K34" i="60" s="1"/>
  <c r="I33" i="59"/>
  <c r="K33" i="59" s="1"/>
  <c r="K34" i="59" s="1"/>
  <c r="I33" i="55"/>
  <c r="K33" i="55" s="1"/>
  <c r="K34" i="55" s="1"/>
  <c r="I33" i="64"/>
  <c r="K33" i="64" s="1"/>
  <c r="K34" i="64" s="1"/>
  <c r="I33" i="58"/>
  <c r="K33" i="58" s="1"/>
  <c r="K34" i="58" s="1"/>
  <c r="I33" i="57"/>
  <c r="K33" i="57" s="1"/>
  <c r="K34" i="57" s="1"/>
  <c r="I33" i="56"/>
  <c r="K33" i="56" s="1"/>
  <c r="K34" i="56" s="1"/>
  <c r="I34" i="68"/>
  <c r="K34" i="68" s="1"/>
  <c r="K35" i="68" s="1"/>
  <c r="I33" i="63"/>
  <c r="K33" i="63" s="1"/>
  <c r="K34" i="63" s="1"/>
  <c r="I33" i="66"/>
  <c r="K33" i="66" s="1"/>
  <c r="K34" i="66" s="1"/>
  <c r="I33" i="65"/>
  <c r="K33" i="65" s="1"/>
  <c r="K34" i="65" s="1"/>
  <c r="I33" i="62"/>
  <c r="K33" i="62" s="1"/>
  <c r="K34" i="62" s="1"/>
  <c r="I33" i="61"/>
  <c r="K33" i="61" s="1"/>
  <c r="K34" i="61" s="1"/>
  <c r="K51" i="107"/>
  <c r="I45" i="64"/>
  <c r="K45" i="64" s="1"/>
  <c r="K46" i="64" s="1"/>
  <c r="I45" i="58"/>
  <c r="K45" i="58" s="1"/>
  <c r="K46" i="58" s="1"/>
  <c r="I45" i="57"/>
  <c r="K45" i="57" s="1"/>
  <c r="K46" i="57" s="1"/>
  <c r="I45" i="56"/>
  <c r="K45" i="56" s="1"/>
  <c r="K46" i="56" s="1"/>
  <c r="I46" i="68"/>
  <c r="K46" i="68" s="1"/>
  <c r="K47" i="68" s="1"/>
  <c r="I45" i="63"/>
  <c r="K45" i="63" s="1"/>
  <c r="K46" i="63" s="1"/>
  <c r="I45" i="55"/>
  <c r="K45" i="55" s="1"/>
  <c r="K46" i="55" s="1"/>
  <c r="I45" i="66"/>
  <c r="K45" i="66" s="1"/>
  <c r="K46" i="66" s="1"/>
  <c r="I45" i="65"/>
  <c r="K45" i="65" s="1"/>
  <c r="K46" i="65" s="1"/>
  <c r="I45" i="62"/>
  <c r="K45" i="62" s="1"/>
  <c r="K46" i="62" s="1"/>
  <c r="I45" i="61"/>
  <c r="K45" i="61" s="1"/>
  <c r="K46" i="61" s="1"/>
  <c r="I45" i="67"/>
  <c r="K45" i="67" s="1"/>
  <c r="K46" i="67" s="1"/>
  <c r="I45" i="60"/>
  <c r="K45" i="60" s="1"/>
  <c r="K46" i="60" s="1"/>
  <c r="I45" i="59"/>
  <c r="K45" i="59" s="1"/>
  <c r="K46" i="59" s="1"/>
  <c r="K8" i="106"/>
  <c r="J8" i="106"/>
  <c r="K13" i="106"/>
  <c r="K49" i="106"/>
  <c r="E13" i="106"/>
  <c r="E38" i="106"/>
  <c r="K26" i="106"/>
  <c r="I17" i="106"/>
  <c r="E17" i="106"/>
  <c r="E30" i="106" l="1"/>
  <c r="G30" i="106" s="1"/>
  <c r="K43" i="106"/>
  <c r="M43" i="106" s="1"/>
  <c r="K43" i="109"/>
  <c r="M43" i="109" s="1"/>
  <c r="E37" i="106"/>
  <c r="G37" i="106" s="1"/>
  <c r="E25" i="31"/>
  <c r="E26" i="30"/>
  <c r="E26" i="26"/>
  <c r="E32" i="31"/>
  <c r="E32" i="28"/>
  <c r="E32" i="27"/>
  <c r="E32" i="26"/>
  <c r="E26" i="24"/>
  <c r="E32" i="29"/>
  <c r="E32" i="25"/>
  <c r="E32" i="30"/>
  <c r="E26" i="29"/>
  <c r="E26" i="27"/>
  <c r="E26" i="25"/>
  <c r="E33" i="23"/>
  <c r="E33" i="24"/>
  <c r="E26" i="28"/>
  <c r="E26" i="23"/>
  <c r="E44" i="31"/>
  <c r="E44" i="28"/>
  <c r="E44" i="29"/>
  <c r="E44" i="27"/>
  <c r="E45" i="24"/>
  <c r="E44" i="30"/>
  <c r="E44" i="26"/>
  <c r="E44" i="25"/>
  <c r="E45" i="23"/>
  <c r="D26" i="30"/>
  <c r="D26" i="26"/>
  <c r="D26" i="24"/>
  <c r="D26" i="25"/>
  <c r="D26" i="29"/>
  <c r="D25" i="31"/>
  <c r="F25" i="31" s="1"/>
  <c r="F30" i="31" s="1"/>
  <c r="D26" i="28"/>
  <c r="D26" i="27"/>
  <c r="D26" i="23"/>
  <c r="E38" i="31"/>
  <c r="E38" i="25"/>
  <c r="E39" i="23"/>
  <c r="E38" i="30"/>
  <c r="E38" i="29"/>
  <c r="E38" i="26"/>
  <c r="E38" i="27"/>
  <c r="E39" i="24"/>
  <c r="E38" i="28"/>
  <c r="D33" i="24"/>
  <c r="D32" i="29"/>
  <c r="D32" i="28"/>
  <c r="D32" i="27"/>
  <c r="D32" i="26"/>
  <c r="D32" i="25"/>
  <c r="D32" i="31"/>
  <c r="F32" i="31" s="1"/>
  <c r="F36" i="31" s="1"/>
  <c r="D32" i="30"/>
  <c r="D33" i="23"/>
  <c r="D38" i="27"/>
  <c r="D38" i="26"/>
  <c r="D38" i="30"/>
  <c r="D38" i="31"/>
  <c r="D38" i="25"/>
  <c r="D38" i="28"/>
  <c r="D39" i="23"/>
  <c r="D38" i="29"/>
  <c r="D39" i="24"/>
  <c r="D45" i="23"/>
  <c r="D44" i="27"/>
  <c r="D44" i="28"/>
  <c r="D44" i="29"/>
  <c r="D45" i="24"/>
  <c r="D44" i="31"/>
  <c r="D44" i="30"/>
  <c r="D44" i="26"/>
  <c r="D44" i="25"/>
  <c r="D45" i="17"/>
  <c r="D45" i="19"/>
  <c r="D45" i="21"/>
  <c r="D45" i="22"/>
  <c r="D39" i="21"/>
  <c r="D39" i="22"/>
  <c r="D39" i="17"/>
  <c r="D39" i="19"/>
  <c r="E26" i="17"/>
  <c r="E26" i="21"/>
  <c r="E26" i="19"/>
  <c r="E33" i="21"/>
  <c r="E33" i="17"/>
  <c r="E33" i="22"/>
  <c r="E33" i="19"/>
  <c r="E26" i="22"/>
  <c r="E39" i="22"/>
  <c r="E39" i="19"/>
  <c r="E39" i="17"/>
  <c r="E39" i="21"/>
  <c r="E45" i="21"/>
  <c r="E45" i="22"/>
  <c r="E45" i="17"/>
  <c r="E45" i="19"/>
  <c r="D26" i="22"/>
  <c r="D26" i="21"/>
  <c r="D26" i="19"/>
  <c r="F26" i="19" s="1"/>
  <c r="F30" i="19" s="1"/>
  <c r="D26" i="17"/>
  <c r="D33" i="17"/>
  <c r="D33" i="19"/>
  <c r="D33" i="21"/>
  <c r="D33" i="22"/>
  <c r="K44" i="106"/>
  <c r="M44" i="106" s="1"/>
  <c r="E44" i="106"/>
  <c r="G44" i="106" s="1"/>
  <c r="E21" i="106"/>
  <c r="G21" i="106" s="1"/>
  <c r="K17" i="106"/>
  <c r="G13" i="106"/>
  <c r="M13" i="106"/>
  <c r="G17" i="106"/>
  <c r="M26" i="106"/>
  <c r="G38" i="106"/>
  <c r="K38" i="106"/>
  <c r="M38" i="106" s="1"/>
  <c r="M49" i="106"/>
  <c r="I14" i="134" l="1"/>
  <c r="K14" i="134" s="1"/>
  <c r="I14" i="92"/>
  <c r="K14" i="92" s="1"/>
  <c r="I14" i="81"/>
  <c r="K14" i="81" s="1"/>
  <c r="I14" i="62"/>
  <c r="K14" i="62" s="1"/>
  <c r="I14" i="56"/>
  <c r="K14" i="56" s="1"/>
  <c r="I14" i="51"/>
  <c r="K14" i="51" s="1"/>
  <c r="I14" i="50"/>
  <c r="K14" i="50" s="1"/>
  <c r="F26" i="21"/>
  <c r="F30" i="21" s="1"/>
  <c r="F26" i="30"/>
  <c r="F30" i="30" s="1"/>
  <c r="F44" i="29"/>
  <c r="F48" i="29" s="1"/>
  <c r="F32" i="25"/>
  <c r="F36" i="25" s="1"/>
  <c r="F38" i="28"/>
  <c r="F42" i="28" s="1"/>
  <c r="F26" i="27"/>
  <c r="F30" i="27" s="1"/>
  <c r="F44" i="27"/>
  <c r="F48" i="27" s="1"/>
  <c r="F32" i="29"/>
  <c r="F36" i="29" s="1"/>
  <c r="F26" i="25"/>
  <c r="F30" i="25" s="1"/>
  <c r="F26" i="23"/>
  <c r="F30" i="23" s="1"/>
  <c r="F33" i="22"/>
  <c r="F37" i="22" s="1"/>
  <c r="F26" i="29"/>
  <c r="F30" i="29" s="1"/>
  <c r="F26" i="24"/>
  <c r="F30" i="24" s="1"/>
  <c r="F38" i="27"/>
  <c r="F42" i="27" s="1"/>
  <c r="F39" i="21"/>
  <c r="F43" i="21" s="1"/>
  <c r="F39" i="23"/>
  <c r="F43" i="23" s="1"/>
  <c r="F44" i="25"/>
  <c r="F48" i="25" s="1"/>
  <c r="F45" i="23"/>
  <c r="F49" i="23" s="1"/>
  <c r="F44" i="26"/>
  <c r="F48" i="26" s="1"/>
  <c r="F44" i="31"/>
  <c r="F48" i="31" s="1"/>
  <c r="F38" i="25"/>
  <c r="F42" i="25" s="1"/>
  <c r="F39" i="19"/>
  <c r="F43" i="19" s="1"/>
  <c r="F38" i="26"/>
  <c r="F42" i="26" s="1"/>
  <c r="F26" i="26"/>
  <c r="F30" i="26" s="1"/>
  <c r="F38" i="29"/>
  <c r="F42" i="29" s="1"/>
  <c r="F33" i="23"/>
  <c r="F37" i="23" s="1"/>
  <c r="K28" i="106"/>
  <c r="M28" i="106" s="1"/>
  <c r="F33" i="21"/>
  <c r="F37" i="21" s="1"/>
  <c r="F39" i="24"/>
  <c r="F43" i="24" s="1"/>
  <c r="F45" i="24"/>
  <c r="F49" i="24" s="1"/>
  <c r="F45" i="22"/>
  <c r="F49" i="22" s="1"/>
  <c r="F44" i="30"/>
  <c r="F48" i="30" s="1"/>
  <c r="F33" i="24"/>
  <c r="F37" i="24" s="1"/>
  <c r="F32" i="27"/>
  <c r="F36" i="27" s="1"/>
  <c r="F32" i="28"/>
  <c r="F36" i="28" s="1"/>
  <c r="F32" i="30"/>
  <c r="F36" i="30" s="1"/>
  <c r="F44" i="28"/>
  <c r="F48" i="28" s="1"/>
  <c r="F38" i="31"/>
  <c r="F42" i="31" s="1"/>
  <c r="F32" i="26"/>
  <c r="F36" i="26" s="1"/>
  <c r="F26" i="28"/>
  <c r="F30" i="28" s="1"/>
  <c r="F26" i="22"/>
  <c r="F30" i="22" s="1"/>
  <c r="F38" i="30"/>
  <c r="F42" i="30" s="1"/>
  <c r="F33" i="19"/>
  <c r="F37" i="19" s="1"/>
  <c r="F39" i="22"/>
  <c r="F43" i="22" s="1"/>
  <c r="F45" i="21"/>
  <c r="F49" i="21" s="1"/>
  <c r="F45" i="19"/>
  <c r="F49" i="19" s="1"/>
  <c r="M17" i="106"/>
  <c r="I13" i="28"/>
  <c r="K13" i="28" s="1"/>
  <c r="I14" i="57" l="1"/>
  <c r="K14" i="57" s="1"/>
  <c r="I14" i="63"/>
  <c r="K14" i="63" s="1"/>
  <c r="I14" i="69"/>
  <c r="K14" i="69" s="1"/>
  <c r="I14" i="93"/>
  <c r="K14" i="93" s="1"/>
  <c r="I14" i="82"/>
  <c r="K14" i="82" s="1"/>
  <c r="K42" i="106"/>
  <c r="M42" i="106" s="1"/>
  <c r="K42" i="109"/>
  <c r="M42" i="109" s="1"/>
  <c r="K52" i="106"/>
  <c r="M52" i="106" s="1"/>
  <c r="K52" i="109"/>
  <c r="M52" i="109" s="1"/>
  <c r="M53" i="109" s="1"/>
  <c r="H62" i="109" s="1"/>
  <c r="D13" i="28"/>
  <c r="D29" i="16"/>
  <c r="D27" i="20"/>
  <c r="E43" i="16"/>
  <c r="E39" i="20"/>
  <c r="D43" i="16"/>
  <c r="D39" i="20"/>
  <c r="D36" i="16"/>
  <c r="D33" i="20"/>
  <c r="E29" i="16"/>
  <c r="E27" i="20"/>
  <c r="E36" i="16"/>
  <c r="E33" i="20"/>
  <c r="E32" i="106"/>
  <c r="G32" i="106" s="1"/>
  <c r="K27" i="106"/>
  <c r="M27" i="106" s="1"/>
  <c r="K24" i="106"/>
  <c r="M24" i="106" s="1"/>
  <c r="K23" i="106"/>
  <c r="M23" i="106" s="1"/>
  <c r="E15" i="106"/>
  <c r="G15" i="106" s="1"/>
  <c r="E18" i="106"/>
  <c r="K30" i="106"/>
  <c r="M30" i="106" s="1"/>
  <c r="K45" i="106"/>
  <c r="M45" i="106" s="1"/>
  <c r="K37" i="106"/>
  <c r="M37" i="106" s="1"/>
  <c r="E16" i="106"/>
  <c r="K25" i="106"/>
  <c r="M25" i="106" s="1"/>
  <c r="K29" i="106"/>
  <c r="E14" i="106"/>
  <c r="G14" i="106" s="1"/>
  <c r="K51" i="106"/>
  <c r="M51" i="106" s="1"/>
  <c r="J29" i="20"/>
  <c r="I14" i="52" l="1"/>
  <c r="K14" i="52" s="1"/>
  <c r="I14" i="58"/>
  <c r="K14" i="58" s="1"/>
  <c r="I14" i="64"/>
  <c r="K14" i="64" s="1"/>
  <c r="I14" i="70"/>
  <c r="K14" i="70" s="1"/>
  <c r="I14" i="94"/>
  <c r="K14" i="94" s="1"/>
  <c r="I14" i="83"/>
  <c r="K14" i="83" s="1"/>
  <c r="F29" i="16"/>
  <c r="K21" i="106"/>
  <c r="M21" i="106" s="1"/>
  <c r="E35" i="106"/>
  <c r="G35" i="106" s="1"/>
  <c r="K41" i="109"/>
  <c r="M41" i="109" s="1"/>
  <c r="M46" i="109" s="1"/>
  <c r="H60" i="109" s="1"/>
  <c r="H61" i="109" s="1"/>
  <c r="F13" i="28"/>
  <c r="I13" i="25"/>
  <c r="K13" i="25" s="1"/>
  <c r="F36" i="16"/>
  <c r="D13" i="25"/>
  <c r="J38" i="16"/>
  <c r="J35" i="20"/>
  <c r="J45" i="16"/>
  <c r="J41" i="20"/>
  <c r="J32" i="16"/>
  <c r="J30" i="20"/>
  <c r="K30" i="20" s="1"/>
  <c r="J27" i="20"/>
  <c r="J39" i="16"/>
  <c r="J36" i="20"/>
  <c r="J46" i="16"/>
  <c r="J42" i="20"/>
  <c r="J44" i="16"/>
  <c r="J40" i="20"/>
  <c r="J33" i="20"/>
  <c r="J30" i="16"/>
  <c r="J28" i="20"/>
  <c r="J37" i="16"/>
  <c r="J34" i="20"/>
  <c r="J39" i="20"/>
  <c r="K32" i="106"/>
  <c r="M32" i="106" s="1"/>
  <c r="K31" i="106"/>
  <c r="M31" i="106" s="1"/>
  <c r="K34" i="106"/>
  <c r="M34" i="106" s="1"/>
  <c r="E34" i="106"/>
  <c r="G34" i="106" s="1"/>
  <c r="E31" i="106"/>
  <c r="G31" i="106" s="1"/>
  <c r="K33" i="106"/>
  <c r="M33" i="106" s="1"/>
  <c r="E33" i="106"/>
  <c r="G33" i="106" s="1"/>
  <c r="K39" i="106"/>
  <c r="M39" i="106" s="1"/>
  <c r="K18" i="106"/>
  <c r="M18" i="106" s="1"/>
  <c r="G18" i="106"/>
  <c r="K22" i="106"/>
  <c r="M22" i="106" s="1"/>
  <c r="M29" i="106"/>
  <c r="G16" i="106"/>
  <c r="K16" i="106"/>
  <c r="M16" i="106" s="1"/>
  <c r="J31" i="16"/>
  <c r="I14" i="65" l="1"/>
  <c r="K14" i="65" s="1"/>
  <c r="I14" i="53"/>
  <c r="K14" i="53" s="1"/>
  <c r="I14" i="59"/>
  <c r="K14" i="59" s="1"/>
  <c r="I14" i="73"/>
  <c r="K14" i="73" s="1"/>
  <c r="I14" i="71"/>
  <c r="K14" i="71" s="1"/>
  <c r="I14" i="84"/>
  <c r="K14" i="84" s="1"/>
  <c r="H63" i="109"/>
  <c r="H64" i="109" s="1"/>
  <c r="H66" i="109" s="1"/>
  <c r="F13" i="25"/>
  <c r="M19" i="106"/>
  <c r="K41" i="106"/>
  <c r="M41" i="106" s="1"/>
  <c r="G19" i="106"/>
  <c r="I14" i="61" l="1"/>
  <c r="K14" i="61" s="1"/>
  <c r="I14" i="66"/>
  <c r="K14" i="66" s="1"/>
  <c r="I14" i="55"/>
  <c r="K14" i="55" s="1"/>
  <c r="I14" i="67"/>
  <c r="K14" i="67" s="1"/>
  <c r="I14" i="60"/>
  <c r="K14" i="60" s="1"/>
  <c r="I14" i="54"/>
  <c r="K14" i="54" s="1"/>
  <c r="I14" i="85"/>
  <c r="K14" i="85" s="1"/>
  <c r="I14" i="74"/>
  <c r="K14" i="74" s="1"/>
  <c r="I14" i="72"/>
  <c r="K14" i="72" s="1"/>
  <c r="I14" i="75" l="1"/>
  <c r="K14" i="75" s="1"/>
  <c r="I14" i="95"/>
  <c r="K14" i="95" s="1"/>
  <c r="I14" i="86"/>
  <c r="K14" i="86" s="1"/>
  <c r="F35" i="101"/>
  <c r="J56" i="17"/>
  <c r="J49" i="20"/>
  <c r="J48" i="20"/>
  <c r="J53" i="16"/>
  <c r="J54" i="16"/>
  <c r="I14" i="96" l="1"/>
  <c r="K14" i="96" s="1"/>
  <c r="I14" i="87"/>
  <c r="K14" i="87" s="1"/>
  <c r="I14" i="76"/>
  <c r="K14" i="76" s="1"/>
  <c r="I41" i="16"/>
  <c r="D41" i="16"/>
  <c r="A35" i="16"/>
  <c r="I14" i="97" l="1"/>
  <c r="K14" i="97" s="1"/>
  <c r="I14" i="88"/>
  <c r="K14" i="88" s="1"/>
  <c r="I14" i="77"/>
  <c r="K14" i="77" s="1"/>
  <c r="I13" i="62"/>
  <c r="K13" i="62" s="1"/>
  <c r="I13" i="49"/>
  <c r="K13" i="49" s="1"/>
  <c r="I13" i="67"/>
  <c r="K13" i="67" s="1"/>
  <c r="I13" i="65"/>
  <c r="K13" i="65" s="1"/>
  <c r="I14" i="98" l="1"/>
  <c r="K14" i="98" s="1"/>
  <c r="I14" i="89"/>
  <c r="K14" i="89" s="1"/>
  <c r="I14" i="78"/>
  <c r="K14" i="78" s="1"/>
  <c r="I13" i="64"/>
  <c r="K13" i="64" s="1"/>
  <c r="I13" i="63"/>
  <c r="K13" i="63" s="1"/>
  <c r="I13" i="66"/>
  <c r="K13" i="66" s="1"/>
  <c r="D13" i="56"/>
  <c r="F13" i="56" s="1"/>
  <c r="D13" i="62"/>
  <c r="F13" i="62" s="1"/>
  <c r="D13" i="49"/>
  <c r="F13" i="49" s="1"/>
  <c r="I17" i="49"/>
  <c r="K17" i="49" s="1"/>
  <c r="I16" i="49"/>
  <c r="D15" i="56"/>
  <c r="I17" i="56"/>
  <c r="K17" i="56" s="1"/>
  <c r="I16" i="56"/>
  <c r="K16" i="56" s="1"/>
  <c r="I16" i="62"/>
  <c r="K16" i="62" s="1"/>
  <c r="D15" i="62"/>
  <c r="I17" i="62"/>
  <c r="K17" i="62" s="1"/>
  <c r="I14" i="99" l="1"/>
  <c r="K14" i="99" s="1"/>
  <c r="I14" i="90"/>
  <c r="K14" i="90" s="1"/>
  <c r="I14" i="79"/>
  <c r="K14" i="79" s="1"/>
  <c r="I14" i="91"/>
  <c r="K14" i="91" s="1"/>
  <c r="I14" i="80"/>
  <c r="K14" i="80" s="1"/>
  <c r="I14" i="100"/>
  <c r="K14" i="100" s="1"/>
  <c r="D15" i="49"/>
  <c r="D13" i="51"/>
  <c r="I15" i="62"/>
  <c r="K15" i="62" s="1"/>
  <c r="F15" i="62"/>
  <c r="I15" i="56"/>
  <c r="K15" i="56" s="1"/>
  <c r="F15" i="56"/>
  <c r="I17" i="51"/>
  <c r="K17" i="51" s="1"/>
  <c r="I16" i="51"/>
  <c r="K16" i="51" s="1"/>
  <c r="XFD74" i="102"/>
  <c r="F49" i="102"/>
  <c r="F43" i="102"/>
  <c r="F37" i="102"/>
  <c r="F41" i="102" s="1"/>
  <c r="F29" i="102"/>
  <c r="F34" i="102" s="1"/>
  <c r="XFD68" i="101"/>
  <c r="F42" i="101"/>
  <c r="F47" i="101" s="1"/>
  <c r="F40" i="101"/>
  <c r="F28" i="101"/>
  <c r="F33" i="101" s="1"/>
  <c r="K46" i="17"/>
  <c r="K45" i="17"/>
  <c r="F45" i="17"/>
  <c r="F13" i="51" l="1"/>
  <c r="D13" i="63"/>
  <c r="F13" i="63" s="1"/>
  <c r="D13" i="64"/>
  <c r="F13" i="64" s="1"/>
  <c r="D13" i="52"/>
  <c r="F13" i="52" s="1"/>
  <c r="D13" i="57"/>
  <c r="F13" i="57" s="1"/>
  <c r="I53" i="57"/>
  <c r="K53" i="57" s="1"/>
  <c r="D15" i="51"/>
  <c r="I15" i="49"/>
  <c r="K15" i="49" s="1"/>
  <c r="F15" i="49"/>
  <c r="I17" i="52"/>
  <c r="K17" i="52" s="1"/>
  <c r="I16" i="52"/>
  <c r="K16" i="52" s="1"/>
  <c r="D15" i="57"/>
  <c r="I17" i="57"/>
  <c r="K17" i="57" s="1"/>
  <c r="I16" i="57"/>
  <c r="K16" i="57" s="1"/>
  <c r="I53" i="64"/>
  <c r="K53" i="64" s="1"/>
  <c r="F49" i="17"/>
  <c r="F53" i="102"/>
  <c r="F47" i="102"/>
  <c r="D15" i="52" l="1"/>
  <c r="I53" i="52"/>
  <c r="K53" i="52" s="1"/>
  <c r="D13" i="58"/>
  <c r="F13" i="58" s="1"/>
  <c r="I53" i="58"/>
  <c r="K53" i="58" s="1"/>
  <c r="D15" i="64"/>
  <c r="D15" i="63"/>
  <c r="I17" i="64"/>
  <c r="K17" i="64" s="1"/>
  <c r="I17" i="63"/>
  <c r="K17" i="63" s="1"/>
  <c r="I16" i="64"/>
  <c r="K16" i="64" s="1"/>
  <c r="I16" i="63"/>
  <c r="K16" i="63" s="1"/>
  <c r="I15" i="57"/>
  <c r="K15" i="57" s="1"/>
  <c r="F15" i="57"/>
  <c r="I15" i="51"/>
  <c r="K15" i="51" s="1"/>
  <c r="F15" i="51"/>
  <c r="I53" i="53"/>
  <c r="K53" i="53" s="1"/>
  <c r="D13" i="53"/>
  <c r="F13" i="53" s="1"/>
  <c r="I17" i="53"/>
  <c r="K17" i="53" s="1"/>
  <c r="I16" i="53"/>
  <c r="K16" i="53" s="1"/>
  <c r="I16" i="58"/>
  <c r="K16" i="58" s="1"/>
  <c r="I17" i="58"/>
  <c r="K17" i="58" s="1"/>
  <c r="D15" i="58"/>
  <c r="D13" i="65" l="1"/>
  <c r="F13" i="65" s="1"/>
  <c r="I15" i="58"/>
  <c r="K15" i="58" s="1"/>
  <c r="F15" i="58"/>
  <c r="D15" i="53"/>
  <c r="I15" i="52"/>
  <c r="K15" i="52" s="1"/>
  <c r="F15" i="52"/>
  <c r="I53" i="59"/>
  <c r="K53" i="59" s="1"/>
  <c r="D13" i="59"/>
  <c r="F13" i="59" s="1"/>
  <c r="I15" i="63"/>
  <c r="K15" i="63" s="1"/>
  <c r="F15" i="63"/>
  <c r="D13" i="54"/>
  <c r="F13" i="54" s="1"/>
  <c r="I15" i="64"/>
  <c r="K15" i="64" s="1"/>
  <c r="F15" i="64"/>
  <c r="I16" i="59"/>
  <c r="K16" i="59" s="1"/>
  <c r="D15" i="59"/>
  <c r="I17" i="59"/>
  <c r="K17" i="59" s="1"/>
  <c r="I16" i="54"/>
  <c r="K16" i="54" s="1"/>
  <c r="I17" i="54"/>
  <c r="K17" i="54" s="1"/>
  <c r="I17" i="65"/>
  <c r="K17" i="65" s="1"/>
  <c r="I16" i="65"/>
  <c r="K16" i="65" s="1"/>
  <c r="D15" i="65"/>
  <c r="I46" i="102"/>
  <c r="I45" i="102"/>
  <c r="K44" i="102"/>
  <c r="K45" i="102" l="1"/>
  <c r="I38" i="54"/>
  <c r="K38" i="54" s="1"/>
  <c r="I38" i="50"/>
  <c r="K38" i="50" s="1"/>
  <c r="I40" i="35"/>
  <c r="K40" i="35" s="1"/>
  <c r="I40" i="28"/>
  <c r="K40" i="28" s="1"/>
  <c r="I40" i="27"/>
  <c r="K40" i="27" s="1"/>
  <c r="I41" i="23"/>
  <c r="K41" i="23" s="1"/>
  <c r="I40" i="31"/>
  <c r="K40" i="31" s="1"/>
  <c r="I40" i="26"/>
  <c r="K40" i="26" s="1"/>
  <c r="I41" i="24"/>
  <c r="K41" i="24" s="1"/>
  <c r="I41" i="22"/>
  <c r="K41" i="22" s="1"/>
  <c r="I38" i="53"/>
  <c r="K38" i="53" s="1"/>
  <c r="I40" i="42"/>
  <c r="K40" i="42" s="1"/>
  <c r="I40" i="38"/>
  <c r="K40" i="38" s="1"/>
  <c r="I40" i="32"/>
  <c r="K40" i="32" s="1"/>
  <c r="I41" i="17"/>
  <c r="I38" i="49"/>
  <c r="K38" i="49" s="1"/>
  <c r="I40" i="41"/>
  <c r="K40" i="41" s="1"/>
  <c r="I40" i="25"/>
  <c r="K40" i="25" s="1"/>
  <c r="I38" i="52"/>
  <c r="K38" i="52" s="1"/>
  <c r="I40" i="37"/>
  <c r="K40" i="37" s="1"/>
  <c r="I40" i="34"/>
  <c r="K40" i="34" s="1"/>
  <c r="I41" i="19"/>
  <c r="K41" i="19" s="1"/>
  <c r="I38" i="51"/>
  <c r="K38" i="51" s="1"/>
  <c r="I40" i="40"/>
  <c r="K40" i="40" s="1"/>
  <c r="I40" i="36"/>
  <c r="K40" i="36" s="1"/>
  <c r="I40" i="33"/>
  <c r="K40" i="33" s="1"/>
  <c r="I40" i="30"/>
  <c r="K40" i="30" s="1"/>
  <c r="I40" i="29"/>
  <c r="K40" i="29" s="1"/>
  <c r="I40" i="39"/>
  <c r="K40" i="39" s="1"/>
  <c r="I41" i="21"/>
  <c r="K41" i="21" s="1"/>
  <c r="K46" i="102"/>
  <c r="I39" i="53"/>
  <c r="K39" i="53" s="1"/>
  <c r="I41" i="42"/>
  <c r="K41" i="42" s="1"/>
  <c r="I41" i="38"/>
  <c r="K41" i="38" s="1"/>
  <c r="I41" i="32"/>
  <c r="K41" i="32" s="1"/>
  <c r="I41" i="31"/>
  <c r="K41" i="31" s="1"/>
  <c r="I41" i="26"/>
  <c r="K41" i="26" s="1"/>
  <c r="I42" i="24"/>
  <c r="K42" i="24" s="1"/>
  <c r="I42" i="22"/>
  <c r="K42" i="22" s="1"/>
  <c r="I39" i="49"/>
  <c r="K39" i="49" s="1"/>
  <c r="I41" i="41"/>
  <c r="K41" i="41" s="1"/>
  <c r="I42" i="17"/>
  <c r="I39" i="52"/>
  <c r="K39" i="52" s="1"/>
  <c r="I41" i="37"/>
  <c r="K41" i="37" s="1"/>
  <c r="I41" i="34"/>
  <c r="K41" i="34" s="1"/>
  <c r="I41" i="25"/>
  <c r="K41" i="25" s="1"/>
  <c r="I39" i="51"/>
  <c r="K39" i="51" s="1"/>
  <c r="I41" i="40"/>
  <c r="K41" i="40" s="1"/>
  <c r="I42" i="19"/>
  <c r="K42" i="19" s="1"/>
  <c r="I41" i="36"/>
  <c r="K41" i="36" s="1"/>
  <c r="I41" i="33"/>
  <c r="K41" i="33" s="1"/>
  <c r="I41" i="39"/>
  <c r="K41" i="39" s="1"/>
  <c r="I41" i="30"/>
  <c r="K41" i="30" s="1"/>
  <c r="I41" i="29"/>
  <c r="K41" i="29" s="1"/>
  <c r="I39" i="54"/>
  <c r="K39" i="54" s="1"/>
  <c r="I39" i="50"/>
  <c r="K39" i="50" s="1"/>
  <c r="I41" i="35"/>
  <c r="K41" i="35" s="1"/>
  <c r="I42" i="21"/>
  <c r="K42" i="21" s="1"/>
  <c r="I41" i="28"/>
  <c r="K41" i="28" s="1"/>
  <c r="I41" i="27"/>
  <c r="K41" i="27" s="1"/>
  <c r="I42" i="23"/>
  <c r="K42" i="23" s="1"/>
  <c r="D13" i="55"/>
  <c r="F13" i="55" s="1"/>
  <c r="I15" i="53"/>
  <c r="K15" i="53" s="1"/>
  <c r="F15" i="53"/>
  <c r="I53" i="60"/>
  <c r="K53" i="60" s="1"/>
  <c r="D13" i="60"/>
  <c r="F13" i="60" s="1"/>
  <c r="D15" i="54"/>
  <c r="I53" i="55"/>
  <c r="K53" i="55" s="1"/>
  <c r="I53" i="54"/>
  <c r="K53" i="54" s="1"/>
  <c r="D13" i="67"/>
  <c r="F13" i="67" s="1"/>
  <c r="I15" i="59"/>
  <c r="K15" i="59" s="1"/>
  <c r="F15" i="59"/>
  <c r="I53" i="67"/>
  <c r="K53" i="67" s="1"/>
  <c r="I53" i="65"/>
  <c r="K53" i="65" s="1"/>
  <c r="I15" i="65"/>
  <c r="K15" i="65" s="1"/>
  <c r="F15" i="65"/>
  <c r="I17" i="67"/>
  <c r="K17" i="67" s="1"/>
  <c r="I16" i="67"/>
  <c r="K16" i="67" s="1"/>
  <c r="D15" i="67"/>
  <c r="I17" i="60"/>
  <c r="K17" i="60" s="1"/>
  <c r="I16" i="60"/>
  <c r="K16" i="60" s="1"/>
  <c r="D15" i="60"/>
  <c r="I16" i="55"/>
  <c r="K16" i="55" s="1"/>
  <c r="I17" i="55"/>
  <c r="K17" i="55" s="1"/>
  <c r="I31" i="102"/>
  <c r="I32" i="102"/>
  <c r="K30" i="102"/>
  <c r="K38" i="101"/>
  <c r="I37" i="101"/>
  <c r="K36" i="101"/>
  <c r="I40" i="102"/>
  <c r="I39" i="102"/>
  <c r="K38" i="102"/>
  <c r="I52" i="102"/>
  <c r="I51" i="102"/>
  <c r="K50" i="102"/>
  <c r="I30" i="16"/>
  <c r="I30" i="101"/>
  <c r="I29" i="20" s="1"/>
  <c r="K29" i="20" s="1"/>
  <c r="K29" i="101"/>
  <c r="I44" i="16"/>
  <c r="I44" i="101"/>
  <c r="I41" i="20" s="1"/>
  <c r="K43" i="101"/>
  <c r="K48" i="107"/>
  <c r="K52" i="107" s="1"/>
  <c r="K40" i="53" l="1"/>
  <c r="K51" i="102"/>
  <c r="I44" i="54"/>
  <c r="K44" i="54" s="1"/>
  <c r="I46" i="25"/>
  <c r="K46" i="25" s="1"/>
  <c r="I44" i="50"/>
  <c r="K44" i="50" s="1"/>
  <c r="I46" i="42"/>
  <c r="K46" i="42" s="1"/>
  <c r="I46" i="38"/>
  <c r="K46" i="38" s="1"/>
  <c r="I47" i="19"/>
  <c r="K47" i="19" s="1"/>
  <c r="I44" i="53"/>
  <c r="K44" i="53" s="1"/>
  <c r="I46" i="41"/>
  <c r="K46" i="41" s="1"/>
  <c r="I46" i="32"/>
  <c r="K46" i="32" s="1"/>
  <c r="I46" i="37"/>
  <c r="K46" i="37" s="1"/>
  <c r="I46" i="34"/>
  <c r="K46" i="34" s="1"/>
  <c r="I46" i="30"/>
  <c r="K46" i="30" s="1"/>
  <c r="I46" i="29"/>
  <c r="K46" i="29" s="1"/>
  <c r="I46" i="40"/>
  <c r="K46" i="40" s="1"/>
  <c r="I47" i="21"/>
  <c r="K47" i="21" s="1"/>
  <c r="I44" i="52"/>
  <c r="K44" i="52" s="1"/>
  <c r="I44" i="49"/>
  <c r="K44" i="49" s="1"/>
  <c r="I46" i="36"/>
  <c r="K46" i="36" s="1"/>
  <c r="I46" i="28"/>
  <c r="K46" i="28" s="1"/>
  <c r="I46" i="27"/>
  <c r="K46" i="27" s="1"/>
  <c r="I47" i="23"/>
  <c r="K47" i="23" s="1"/>
  <c r="I44" i="51"/>
  <c r="K44" i="51" s="1"/>
  <c r="I46" i="39"/>
  <c r="K46" i="39" s="1"/>
  <c r="I46" i="33"/>
  <c r="K46" i="33" s="1"/>
  <c r="I46" i="31"/>
  <c r="K46" i="31" s="1"/>
  <c r="I46" i="26"/>
  <c r="K46" i="26" s="1"/>
  <c r="I47" i="24"/>
  <c r="K47" i="24" s="1"/>
  <c r="I47" i="22"/>
  <c r="K47" i="22" s="1"/>
  <c r="I46" i="35"/>
  <c r="K46" i="35" s="1"/>
  <c r="I47" i="17"/>
  <c r="K47" i="17" s="1"/>
  <c r="K40" i="51"/>
  <c r="K42" i="31"/>
  <c r="K52" i="102"/>
  <c r="I45" i="53"/>
  <c r="K45" i="53" s="1"/>
  <c r="I47" i="41"/>
  <c r="K47" i="41" s="1"/>
  <c r="I47" i="32"/>
  <c r="K47" i="32" s="1"/>
  <c r="I48" i="19"/>
  <c r="K48" i="19" s="1"/>
  <c r="I47" i="37"/>
  <c r="K47" i="37" s="1"/>
  <c r="I47" i="34"/>
  <c r="K47" i="34" s="1"/>
  <c r="I47" i="40"/>
  <c r="K47" i="40" s="1"/>
  <c r="I47" i="30"/>
  <c r="K47" i="30" s="1"/>
  <c r="I47" i="29"/>
  <c r="K47" i="29" s="1"/>
  <c r="I45" i="52"/>
  <c r="K45" i="52" s="1"/>
  <c r="I45" i="49"/>
  <c r="K45" i="49" s="1"/>
  <c r="I47" i="36"/>
  <c r="K47" i="36" s="1"/>
  <c r="I48" i="21"/>
  <c r="K48" i="21" s="1"/>
  <c r="I45" i="51"/>
  <c r="K45" i="51" s="1"/>
  <c r="I47" i="39"/>
  <c r="K47" i="39" s="1"/>
  <c r="I47" i="33"/>
  <c r="K47" i="33" s="1"/>
  <c r="I47" i="28"/>
  <c r="K47" i="28" s="1"/>
  <c r="I47" i="27"/>
  <c r="K47" i="27" s="1"/>
  <c r="I48" i="23"/>
  <c r="K48" i="23" s="1"/>
  <c r="I47" i="35"/>
  <c r="K47" i="35" s="1"/>
  <c r="I47" i="31"/>
  <c r="K47" i="31" s="1"/>
  <c r="I47" i="26"/>
  <c r="K47" i="26" s="1"/>
  <c r="I48" i="24"/>
  <c r="K48" i="24" s="1"/>
  <c r="I48" i="22"/>
  <c r="K48" i="22" s="1"/>
  <c r="I45" i="54"/>
  <c r="K45" i="54" s="1"/>
  <c r="I48" i="17"/>
  <c r="K48" i="17" s="1"/>
  <c r="I45" i="50"/>
  <c r="K45" i="50" s="1"/>
  <c r="I47" i="42"/>
  <c r="K47" i="42" s="1"/>
  <c r="I47" i="38"/>
  <c r="K47" i="38" s="1"/>
  <c r="I47" i="25"/>
  <c r="K47" i="25" s="1"/>
  <c r="K32" i="102"/>
  <c r="I27" i="53"/>
  <c r="K27" i="53" s="1"/>
  <c r="I27" i="52"/>
  <c r="K27" i="52" s="1"/>
  <c r="I28" i="35"/>
  <c r="K28" i="35" s="1"/>
  <c r="I28" i="32"/>
  <c r="K28" i="32" s="1"/>
  <c r="I29" i="25"/>
  <c r="K29" i="25" s="1"/>
  <c r="I27" i="51"/>
  <c r="K27" i="51" s="1"/>
  <c r="I29" i="19"/>
  <c r="K29" i="19" s="1"/>
  <c r="I28" i="42"/>
  <c r="K28" i="42" s="1"/>
  <c r="I28" i="38"/>
  <c r="K28" i="38" s="1"/>
  <c r="I28" i="41"/>
  <c r="K28" i="41" s="1"/>
  <c r="I29" i="30"/>
  <c r="K29" i="30" s="1"/>
  <c r="I29" i="29"/>
  <c r="K29" i="29" s="1"/>
  <c r="I27" i="50"/>
  <c r="K27" i="50" s="1"/>
  <c r="I28" i="37"/>
  <c r="K28" i="37" s="1"/>
  <c r="I28" i="34"/>
  <c r="K28" i="34" s="1"/>
  <c r="I28" i="33"/>
  <c r="K28" i="33" s="1"/>
  <c r="I29" i="21"/>
  <c r="K29" i="21" s="1"/>
  <c r="I28" i="40"/>
  <c r="K28" i="40" s="1"/>
  <c r="I29" i="28"/>
  <c r="K29" i="28" s="1"/>
  <c r="I29" i="27"/>
  <c r="K29" i="27" s="1"/>
  <c r="I29" i="23"/>
  <c r="K29" i="23" s="1"/>
  <c r="I27" i="54"/>
  <c r="K27" i="54" s="1"/>
  <c r="I28" i="36"/>
  <c r="K28" i="36" s="1"/>
  <c r="I28" i="31"/>
  <c r="K28" i="31" s="1"/>
  <c r="I29" i="26"/>
  <c r="K29" i="26" s="1"/>
  <c r="I29" i="24"/>
  <c r="K29" i="24" s="1"/>
  <c r="I29" i="22"/>
  <c r="K29" i="22" s="1"/>
  <c r="I28" i="39"/>
  <c r="K28" i="39" s="1"/>
  <c r="I29" i="17"/>
  <c r="K29" i="17" s="1"/>
  <c r="K43" i="21"/>
  <c r="K43" i="19"/>
  <c r="K42" i="32"/>
  <c r="K43" i="23"/>
  <c r="K31" i="102"/>
  <c r="I26" i="54"/>
  <c r="K26" i="54" s="1"/>
  <c r="I27" i="36"/>
  <c r="K27" i="36" s="1"/>
  <c r="I28" i="17"/>
  <c r="K28" i="17" s="1"/>
  <c r="I27" i="39"/>
  <c r="K27" i="39" s="1"/>
  <c r="I28" i="25"/>
  <c r="K28" i="25" s="1"/>
  <c r="I26" i="53"/>
  <c r="K26" i="53" s="1"/>
  <c r="I26" i="52"/>
  <c r="K26" i="52" s="1"/>
  <c r="I27" i="35"/>
  <c r="K27" i="35" s="1"/>
  <c r="I27" i="32"/>
  <c r="K27" i="32" s="1"/>
  <c r="I28" i="19"/>
  <c r="K28" i="19" s="1"/>
  <c r="I26" i="51"/>
  <c r="K26" i="51" s="1"/>
  <c r="I27" i="42"/>
  <c r="K27" i="42" s="1"/>
  <c r="I27" i="38"/>
  <c r="K27" i="38" s="1"/>
  <c r="I28" i="30"/>
  <c r="K28" i="30" s="1"/>
  <c r="I28" i="29"/>
  <c r="K28" i="29" s="1"/>
  <c r="I27" i="41"/>
  <c r="K27" i="41" s="1"/>
  <c r="K30" i="41" s="1"/>
  <c r="I28" i="21"/>
  <c r="K28" i="21" s="1"/>
  <c r="I26" i="50"/>
  <c r="K26" i="50" s="1"/>
  <c r="I27" i="37"/>
  <c r="K27" i="37" s="1"/>
  <c r="I27" i="34"/>
  <c r="K27" i="34" s="1"/>
  <c r="I27" i="33"/>
  <c r="K27" i="33" s="1"/>
  <c r="I28" i="28"/>
  <c r="K28" i="28" s="1"/>
  <c r="I28" i="27"/>
  <c r="K28" i="27" s="1"/>
  <c r="I28" i="23"/>
  <c r="K28" i="23" s="1"/>
  <c r="I27" i="40"/>
  <c r="K27" i="40" s="1"/>
  <c r="I27" i="31"/>
  <c r="K27" i="31" s="1"/>
  <c r="I28" i="26"/>
  <c r="K28" i="26" s="1"/>
  <c r="I28" i="24"/>
  <c r="K28" i="24" s="1"/>
  <c r="I28" i="22"/>
  <c r="K28" i="22" s="1"/>
  <c r="K42" i="39"/>
  <c r="K42" i="34"/>
  <c r="K42" i="38"/>
  <c r="K42" i="27"/>
  <c r="K40" i="102"/>
  <c r="I33" i="53"/>
  <c r="K33" i="53" s="1"/>
  <c r="I35" i="32"/>
  <c r="K35" i="32" s="1"/>
  <c r="I35" i="30"/>
  <c r="K35" i="30" s="1"/>
  <c r="I35" i="29"/>
  <c r="K35" i="29" s="1"/>
  <c r="I33" i="52"/>
  <c r="K33" i="52" s="1"/>
  <c r="I35" i="42"/>
  <c r="K35" i="42" s="1"/>
  <c r="I35" i="38"/>
  <c r="K35" i="38" s="1"/>
  <c r="I36" i="21"/>
  <c r="K36" i="21" s="1"/>
  <c r="I33" i="51"/>
  <c r="K33" i="51" s="1"/>
  <c r="I35" i="41"/>
  <c r="K35" i="41" s="1"/>
  <c r="I35" i="28"/>
  <c r="K35" i="28" s="1"/>
  <c r="I35" i="27"/>
  <c r="K35" i="27" s="1"/>
  <c r="I36" i="23"/>
  <c r="K36" i="23" s="1"/>
  <c r="I35" i="37"/>
  <c r="K35" i="37" s="1"/>
  <c r="I35" i="34"/>
  <c r="K35" i="34" s="1"/>
  <c r="I35" i="31"/>
  <c r="K35" i="31" s="1"/>
  <c r="I35" i="26"/>
  <c r="K35" i="26" s="1"/>
  <c r="I36" i="24"/>
  <c r="K36" i="24" s="1"/>
  <c r="I36" i="22"/>
  <c r="K36" i="22" s="1"/>
  <c r="I35" i="40"/>
  <c r="K35" i="40" s="1"/>
  <c r="I35" i="33"/>
  <c r="K35" i="33" s="1"/>
  <c r="I36" i="17"/>
  <c r="I33" i="50"/>
  <c r="K33" i="50" s="1"/>
  <c r="I35" i="36"/>
  <c r="K35" i="36" s="1"/>
  <c r="I35" i="25"/>
  <c r="K35" i="25" s="1"/>
  <c r="I33" i="54"/>
  <c r="K33" i="54" s="1"/>
  <c r="I35" i="39"/>
  <c r="K35" i="39" s="1"/>
  <c r="I36" i="19"/>
  <c r="K36" i="19" s="1"/>
  <c r="I33" i="49"/>
  <c r="K33" i="49" s="1"/>
  <c r="I35" i="35"/>
  <c r="K35" i="35" s="1"/>
  <c r="K39" i="102"/>
  <c r="I32" i="54"/>
  <c r="K32" i="54" s="1"/>
  <c r="I34" i="39"/>
  <c r="K34" i="39" s="1"/>
  <c r="I32" i="49"/>
  <c r="K32" i="49" s="1"/>
  <c r="I34" i="35"/>
  <c r="K34" i="35" s="1"/>
  <c r="I34" i="30"/>
  <c r="K34" i="30" s="1"/>
  <c r="I34" i="29"/>
  <c r="K34" i="29" s="1"/>
  <c r="I32" i="53"/>
  <c r="K32" i="53" s="1"/>
  <c r="I34" i="32"/>
  <c r="K34" i="32" s="1"/>
  <c r="I35" i="21"/>
  <c r="K35" i="21" s="1"/>
  <c r="I32" i="52"/>
  <c r="K32" i="52" s="1"/>
  <c r="I34" i="42"/>
  <c r="K34" i="42" s="1"/>
  <c r="I34" i="38"/>
  <c r="K34" i="38" s="1"/>
  <c r="I34" i="28"/>
  <c r="K34" i="28" s="1"/>
  <c r="I34" i="27"/>
  <c r="K34" i="27" s="1"/>
  <c r="I35" i="23"/>
  <c r="K35" i="23" s="1"/>
  <c r="I32" i="51"/>
  <c r="K32" i="51" s="1"/>
  <c r="I34" i="41"/>
  <c r="K34" i="41" s="1"/>
  <c r="I34" i="31"/>
  <c r="K34" i="31" s="1"/>
  <c r="I34" i="26"/>
  <c r="K34" i="26" s="1"/>
  <c r="I35" i="24"/>
  <c r="K35" i="24" s="1"/>
  <c r="I35" i="22"/>
  <c r="K35" i="22" s="1"/>
  <c r="I34" i="37"/>
  <c r="K34" i="37" s="1"/>
  <c r="I34" i="34"/>
  <c r="K34" i="34" s="1"/>
  <c r="I35" i="17"/>
  <c r="I34" i="40"/>
  <c r="K34" i="40" s="1"/>
  <c r="I34" i="33"/>
  <c r="K34" i="33" s="1"/>
  <c r="I34" i="25"/>
  <c r="K34" i="25" s="1"/>
  <c r="I32" i="50"/>
  <c r="K32" i="50" s="1"/>
  <c r="I34" i="36"/>
  <c r="K34" i="36" s="1"/>
  <c r="I35" i="19"/>
  <c r="K35" i="19" s="1"/>
  <c r="K42" i="29"/>
  <c r="K42" i="37"/>
  <c r="K42" i="42"/>
  <c r="K42" i="28"/>
  <c r="K42" i="30"/>
  <c r="K40" i="52"/>
  <c r="K42" i="35"/>
  <c r="K42" i="33"/>
  <c r="K42" i="25"/>
  <c r="K43" i="22"/>
  <c r="K40" i="50"/>
  <c r="K37" i="101"/>
  <c r="I35" i="20"/>
  <c r="I38" i="16"/>
  <c r="K42" i="36"/>
  <c r="K42" i="41"/>
  <c r="K43" i="24"/>
  <c r="K40" i="54"/>
  <c r="K42" i="40"/>
  <c r="K40" i="49"/>
  <c r="K42" i="26"/>
  <c r="I15" i="54"/>
  <c r="K15" i="54" s="1"/>
  <c r="F15" i="54"/>
  <c r="D13" i="66"/>
  <c r="F13" i="66" s="1"/>
  <c r="F15" i="68"/>
  <c r="I15" i="67"/>
  <c r="K15" i="67" s="1"/>
  <c r="F15" i="67"/>
  <c r="D15" i="55"/>
  <c r="D13" i="61"/>
  <c r="F13" i="61" s="1"/>
  <c r="I53" i="61"/>
  <c r="K53" i="61" s="1"/>
  <c r="I15" i="60"/>
  <c r="K15" i="60" s="1"/>
  <c r="F15" i="60"/>
  <c r="D15" i="61"/>
  <c r="I17" i="61"/>
  <c r="K17" i="61" s="1"/>
  <c r="I16" i="61"/>
  <c r="K16" i="61" s="1"/>
  <c r="I31" i="16"/>
  <c r="K31" i="16" s="1"/>
  <c r="K30" i="101"/>
  <c r="I32" i="16"/>
  <c r="K32" i="16" s="1"/>
  <c r="K31" i="101"/>
  <c r="I46" i="16"/>
  <c r="K45" i="101"/>
  <c r="K49" i="102"/>
  <c r="I45" i="16"/>
  <c r="K44" i="101"/>
  <c r="K42" i="107"/>
  <c r="K46" i="107" s="1"/>
  <c r="K30" i="39" l="1"/>
  <c r="K30" i="24"/>
  <c r="K30" i="26"/>
  <c r="K34" i="52"/>
  <c r="K37" i="21"/>
  <c r="K30" i="32"/>
  <c r="K30" i="38"/>
  <c r="K30" i="40"/>
  <c r="K30" i="33"/>
  <c r="K30" i="31"/>
  <c r="K30" i="36"/>
  <c r="K30" i="34"/>
  <c r="K30" i="35"/>
  <c r="K30" i="42"/>
  <c r="K30" i="37"/>
  <c r="K36" i="33"/>
  <c r="K30" i="21"/>
  <c r="K28" i="52"/>
  <c r="K28" i="53"/>
  <c r="K36" i="40"/>
  <c r="K53" i="102"/>
  <c r="K36" i="31"/>
  <c r="K37" i="19"/>
  <c r="K36" i="27"/>
  <c r="K36" i="29"/>
  <c r="K30" i="27"/>
  <c r="K30" i="29"/>
  <c r="K30" i="19"/>
  <c r="K36" i="39"/>
  <c r="K36" i="42"/>
  <c r="K36" i="37"/>
  <c r="K49" i="24"/>
  <c r="K28" i="51"/>
  <c r="K36" i="41"/>
  <c r="K36" i="32"/>
  <c r="K28" i="54"/>
  <c r="K36" i="36"/>
  <c r="K30" i="28"/>
  <c r="K30" i="30"/>
  <c r="K34" i="50"/>
  <c r="K37" i="24"/>
  <c r="K36" i="38"/>
  <c r="K30" i="22"/>
  <c r="K48" i="39"/>
  <c r="K36" i="25"/>
  <c r="K36" i="26"/>
  <c r="K34" i="49"/>
  <c r="K48" i="40"/>
  <c r="K28" i="50"/>
  <c r="K34" i="51"/>
  <c r="K36" i="34"/>
  <c r="K37" i="23"/>
  <c r="K34" i="53"/>
  <c r="K30" i="23"/>
  <c r="K37" i="22"/>
  <c r="K36" i="28"/>
  <c r="K36" i="30"/>
  <c r="K30" i="25"/>
  <c r="K36" i="35"/>
  <c r="K49" i="21"/>
  <c r="K46" i="53"/>
  <c r="K49" i="17"/>
  <c r="K46" i="51"/>
  <c r="K49" i="19"/>
  <c r="K48" i="35"/>
  <c r="K49" i="23"/>
  <c r="K48" i="29"/>
  <c r="K48" i="38"/>
  <c r="K34" i="54"/>
  <c r="K49" i="22"/>
  <c r="K48" i="27"/>
  <c r="K48" i="30"/>
  <c r="K48" i="42"/>
  <c r="K48" i="28"/>
  <c r="K48" i="34"/>
  <c r="K46" i="50"/>
  <c r="K48" i="26"/>
  <c r="K48" i="36"/>
  <c r="K48" i="37"/>
  <c r="K48" i="25"/>
  <c r="K48" i="31"/>
  <c r="K46" i="49"/>
  <c r="K48" i="32"/>
  <c r="K46" i="54"/>
  <c r="K48" i="33"/>
  <c r="K46" i="52"/>
  <c r="K48" i="41"/>
  <c r="K18" i="68"/>
  <c r="I17" i="66"/>
  <c r="K17" i="66" s="1"/>
  <c r="D15" i="66"/>
  <c r="I15" i="55"/>
  <c r="K15" i="55" s="1"/>
  <c r="F15" i="55"/>
  <c r="K54" i="68"/>
  <c r="I53" i="66"/>
  <c r="K53" i="66" s="1"/>
  <c r="K17" i="68"/>
  <c r="I16" i="66"/>
  <c r="K16" i="66" s="1"/>
  <c r="I15" i="61"/>
  <c r="K15" i="61" s="1"/>
  <c r="F15" i="61"/>
  <c r="I51" i="50"/>
  <c r="K51" i="50" s="1"/>
  <c r="K37" i="102"/>
  <c r="K41" i="102" s="1"/>
  <c r="K36" i="107"/>
  <c r="K40" i="107" s="1"/>
  <c r="K29" i="102"/>
  <c r="K34" i="102" s="1"/>
  <c r="K29" i="107"/>
  <c r="K33" i="107" s="1"/>
  <c r="K43" i="102"/>
  <c r="K47" i="102" s="1"/>
  <c r="I52" i="50"/>
  <c r="K52" i="50" s="1"/>
  <c r="K35" i="101"/>
  <c r="K40" i="101" s="1"/>
  <c r="I15" i="66" l="1"/>
  <c r="K15" i="66" s="1"/>
  <c r="F15" i="66"/>
  <c r="K28" i="101"/>
  <c r="K33" i="101" s="1"/>
  <c r="I29" i="16"/>
  <c r="D33" i="16" s="1"/>
  <c r="F33" i="16" s="1"/>
  <c r="I20" i="27" l="1"/>
  <c r="I20" i="23"/>
  <c r="I20" i="30"/>
  <c r="I20" i="29"/>
  <c r="I20" i="28"/>
  <c r="I19" i="31"/>
  <c r="I20" i="24"/>
  <c r="I20" i="25"/>
  <c r="I20" i="26"/>
  <c r="I20" i="19"/>
  <c r="I20" i="21"/>
  <c r="I20" i="22"/>
  <c r="I20" i="17"/>
  <c r="D20" i="17" s="1"/>
  <c r="F20" i="17" s="1"/>
  <c r="I20" i="100" l="1"/>
  <c r="K20" i="100" s="1"/>
  <c r="I20" i="99"/>
  <c r="K20" i="99" s="1"/>
  <c r="I20" i="98"/>
  <c r="K20" i="98" s="1"/>
  <c r="I20" i="97"/>
  <c r="K20" i="97" s="1"/>
  <c r="I20" i="71"/>
  <c r="K20" i="71" s="1"/>
  <c r="I20" i="96"/>
  <c r="K20" i="96" s="1"/>
  <c r="I20" i="92"/>
  <c r="K20" i="92" s="1"/>
  <c r="I20" i="87"/>
  <c r="K20" i="87" s="1"/>
  <c r="I20" i="72"/>
  <c r="K20" i="72" s="1"/>
  <c r="I20" i="94"/>
  <c r="K20" i="94" s="1"/>
  <c r="I20" i="90"/>
  <c r="K20" i="90" s="1"/>
  <c r="I20" i="89"/>
  <c r="K20" i="89" s="1"/>
  <c r="I20" i="88"/>
  <c r="K20" i="88" s="1"/>
  <c r="I20" i="82"/>
  <c r="K20" i="82" s="1"/>
  <c r="I20" i="81"/>
  <c r="K20" i="81" s="1"/>
  <c r="I20" i="83"/>
  <c r="K20" i="83" s="1"/>
  <c r="I20" i="95"/>
  <c r="K20" i="95" s="1"/>
  <c r="I20" i="79"/>
  <c r="K20" i="79" s="1"/>
  <c r="I20" i="78"/>
  <c r="K20" i="78" s="1"/>
  <c r="I20" i="93"/>
  <c r="K20" i="93" s="1"/>
  <c r="I20" i="86"/>
  <c r="K20" i="86" s="1"/>
  <c r="I20" i="91"/>
  <c r="K20" i="91" s="1"/>
  <c r="I20" i="85"/>
  <c r="K20" i="85" s="1"/>
  <c r="I20" i="84"/>
  <c r="K20" i="84" s="1"/>
  <c r="I20" i="77"/>
  <c r="K20" i="77" s="1"/>
  <c r="I20" i="80"/>
  <c r="K20" i="80" s="1"/>
  <c r="I20" i="76"/>
  <c r="K20" i="76" s="1"/>
  <c r="I20" i="74"/>
  <c r="K20" i="74" s="1"/>
  <c r="I20" i="70"/>
  <c r="K20" i="70" s="1"/>
  <c r="I20" i="73"/>
  <c r="K20" i="73" s="1"/>
  <c r="I20" i="134"/>
  <c r="K20" i="134" s="1"/>
  <c r="I20" i="75"/>
  <c r="K20" i="75" s="1"/>
  <c r="I20" i="69"/>
  <c r="K20" i="69" s="1"/>
  <c r="I19" i="64"/>
  <c r="K19" i="64" s="1"/>
  <c r="I19" i="59"/>
  <c r="K19" i="59" s="1"/>
  <c r="I19" i="66"/>
  <c r="K19" i="66" s="1"/>
  <c r="I19" i="67"/>
  <c r="K19" i="67" s="1"/>
  <c r="I19" i="63"/>
  <c r="K19" i="63" s="1"/>
  <c r="I19" i="53"/>
  <c r="K19" i="53" s="1"/>
  <c r="I19" i="62"/>
  <c r="K19" i="62" s="1"/>
  <c r="I19" i="58"/>
  <c r="K19" i="58" s="1"/>
  <c r="I19" i="57"/>
  <c r="K19" i="57" s="1"/>
  <c r="I19" i="61"/>
  <c r="K19" i="61" s="1"/>
  <c r="I19" i="56"/>
  <c r="K19" i="56" s="1"/>
  <c r="I19" i="55"/>
  <c r="K19" i="55" s="1"/>
  <c r="I19" i="54"/>
  <c r="K19" i="54" s="1"/>
  <c r="I19" i="51"/>
  <c r="K19" i="51" s="1"/>
  <c r="I19" i="50"/>
  <c r="K19" i="50" s="1"/>
  <c r="I19" i="65"/>
  <c r="K19" i="65" s="1"/>
  <c r="I19" i="60"/>
  <c r="K19" i="60" s="1"/>
  <c r="I19" i="52"/>
  <c r="K19" i="52" s="1"/>
  <c r="I20" i="68"/>
  <c r="K20" i="68" s="1"/>
  <c r="I20" i="32"/>
  <c r="K20" i="32" s="1"/>
  <c r="I20" i="37"/>
  <c r="K20" i="37" s="1"/>
  <c r="I19" i="49"/>
  <c r="K19" i="49" s="1"/>
  <c r="I20" i="34"/>
  <c r="K20" i="34" s="1"/>
  <c r="I20" i="36"/>
  <c r="K20" i="36" s="1"/>
  <c r="I20" i="41"/>
  <c r="K20" i="41" s="1"/>
  <c r="I20" i="40"/>
  <c r="K20" i="40" s="1"/>
  <c r="I20" i="38"/>
  <c r="K20" i="38" s="1"/>
  <c r="I20" i="39"/>
  <c r="K20" i="39" s="1"/>
  <c r="I20" i="33"/>
  <c r="K20" i="33" s="1"/>
  <c r="I20" i="42"/>
  <c r="K20" i="42" s="1"/>
  <c r="I20" i="35"/>
  <c r="K20" i="35" s="1"/>
  <c r="K20" i="25"/>
  <c r="D20" i="25"/>
  <c r="F20" i="25" s="1"/>
  <c r="K20" i="24"/>
  <c r="D20" i="24"/>
  <c r="F20" i="24" s="1"/>
  <c r="D19" i="31"/>
  <c r="F19" i="31" s="1"/>
  <c r="K19" i="31"/>
  <c r="I20" i="31"/>
  <c r="K20" i="31" s="1"/>
  <c r="I21" i="28"/>
  <c r="K21" i="28" s="1"/>
  <c r="I21" i="27"/>
  <c r="K21" i="27" s="1"/>
  <c r="I21" i="23"/>
  <c r="K21" i="23" s="1"/>
  <c r="I21" i="30"/>
  <c r="K21" i="30" s="1"/>
  <c r="I21" i="24"/>
  <c r="K21" i="24" s="1"/>
  <c r="I21" i="26"/>
  <c r="K21" i="26" s="1"/>
  <c r="I21" i="25"/>
  <c r="K21" i="25" s="1"/>
  <c r="I21" i="29"/>
  <c r="K21" i="29" s="1"/>
  <c r="K20" i="28"/>
  <c r="D20" i="28"/>
  <c r="F20" i="28" s="1"/>
  <c r="D20" i="29"/>
  <c r="F20" i="29" s="1"/>
  <c r="K20" i="29"/>
  <c r="K20" i="30"/>
  <c r="D20" i="30"/>
  <c r="F20" i="30" s="1"/>
  <c r="D20" i="23"/>
  <c r="F20" i="23" s="1"/>
  <c r="K20" i="23"/>
  <c r="D20" i="26"/>
  <c r="F20" i="26" s="1"/>
  <c r="K20" i="26"/>
  <c r="D20" i="27"/>
  <c r="F20" i="27" s="1"/>
  <c r="K20" i="27"/>
  <c r="I21" i="17"/>
  <c r="K21" i="17" s="1"/>
  <c r="I21" i="21"/>
  <c r="K21" i="21" s="1"/>
  <c r="I21" i="22"/>
  <c r="K21" i="22" s="1"/>
  <c r="I21" i="19"/>
  <c r="K21" i="19" s="1"/>
  <c r="D20" i="22"/>
  <c r="F20" i="22" s="1"/>
  <c r="K20" i="22"/>
  <c r="D20" i="21"/>
  <c r="F20" i="21" s="1"/>
  <c r="K20" i="21"/>
  <c r="D20" i="19"/>
  <c r="F20" i="19" s="1"/>
  <c r="K20" i="19"/>
  <c r="F47" i="20"/>
  <c r="K45" i="20"/>
  <c r="K42" i="20"/>
  <c r="K41" i="20"/>
  <c r="K40" i="20"/>
  <c r="K39" i="20"/>
  <c r="F39" i="20"/>
  <c r="F43" i="20" s="1"/>
  <c r="K36" i="20"/>
  <c r="K35" i="20"/>
  <c r="K34" i="20"/>
  <c r="K33" i="20"/>
  <c r="F33" i="20"/>
  <c r="F37" i="20" s="1"/>
  <c r="K28" i="20"/>
  <c r="K27" i="20"/>
  <c r="F27" i="20"/>
  <c r="J23" i="20"/>
  <c r="J22" i="20"/>
  <c r="J21" i="20"/>
  <c r="J20" i="20"/>
  <c r="E20" i="20"/>
  <c r="J19" i="20"/>
  <c r="J18" i="20"/>
  <c r="J17" i="20"/>
  <c r="J16" i="20"/>
  <c r="E16" i="20"/>
  <c r="J15" i="20"/>
  <c r="E14" i="20"/>
  <c r="E12" i="20"/>
  <c r="K46" i="16"/>
  <c r="K45" i="16"/>
  <c r="K44" i="16"/>
  <c r="F43" i="16"/>
  <c r="I20" i="20"/>
  <c r="D24" i="16"/>
  <c r="E21" i="16"/>
  <c r="J25" i="16"/>
  <c r="J24" i="16"/>
  <c r="J22" i="16"/>
  <c r="J21" i="16"/>
  <c r="J20" i="16"/>
  <c r="J19" i="16"/>
  <c r="J18" i="16"/>
  <c r="J17" i="16"/>
  <c r="F53" i="17"/>
  <c r="K52" i="17"/>
  <c r="K42" i="17"/>
  <c r="K41" i="17"/>
  <c r="K40" i="17"/>
  <c r="K39" i="17"/>
  <c r="F39" i="17"/>
  <c r="K36" i="17"/>
  <c r="K35" i="17"/>
  <c r="K34" i="17"/>
  <c r="K33" i="17"/>
  <c r="F33" i="17"/>
  <c r="K27" i="17"/>
  <c r="K26" i="17"/>
  <c r="F26" i="17"/>
  <c r="K20" i="17"/>
  <c r="K39" i="16"/>
  <c r="I21" i="96" l="1"/>
  <c r="K21" i="96" s="1"/>
  <c r="I21" i="100"/>
  <c r="K21" i="100" s="1"/>
  <c r="I21" i="99"/>
  <c r="K21" i="99" s="1"/>
  <c r="I21" i="98"/>
  <c r="K21" i="98" s="1"/>
  <c r="I21" i="93"/>
  <c r="I21" i="91"/>
  <c r="K21" i="91" s="1"/>
  <c r="I21" i="72"/>
  <c r="I21" i="94"/>
  <c r="I21" i="90"/>
  <c r="K21" i="90" s="1"/>
  <c r="I21" i="88"/>
  <c r="K21" i="88" s="1"/>
  <c r="I21" i="92"/>
  <c r="I21" i="86"/>
  <c r="I21" i="95"/>
  <c r="I21" i="82"/>
  <c r="I21" i="71"/>
  <c r="I21" i="89"/>
  <c r="K21" i="89" s="1"/>
  <c r="I21" i="84"/>
  <c r="I21" i="87"/>
  <c r="K21" i="87" s="1"/>
  <c r="I21" i="97"/>
  <c r="K21" i="97" s="1"/>
  <c r="I21" i="80"/>
  <c r="K21" i="80" s="1"/>
  <c r="I21" i="78"/>
  <c r="K21" i="78" s="1"/>
  <c r="I21" i="83"/>
  <c r="I21" i="79"/>
  <c r="K21" i="79" s="1"/>
  <c r="I21" i="81"/>
  <c r="I21" i="85"/>
  <c r="I21" i="77"/>
  <c r="K21" i="77" s="1"/>
  <c r="I21" i="69"/>
  <c r="I21" i="70"/>
  <c r="I21" i="134"/>
  <c r="I21" i="75"/>
  <c r="I21" i="73"/>
  <c r="I21" i="76"/>
  <c r="I21" i="74"/>
  <c r="I47" i="20"/>
  <c r="K47" i="20" s="1"/>
  <c r="I52" i="16"/>
  <c r="I19" i="20"/>
  <c r="K19" i="20" s="1"/>
  <c r="K43" i="17"/>
  <c r="K30" i="17"/>
  <c r="K37" i="17"/>
  <c r="F43" i="17"/>
  <c r="F37" i="17"/>
  <c r="F30" i="17"/>
  <c r="F31" i="20"/>
  <c r="K37" i="20"/>
  <c r="K31" i="20"/>
  <c r="K20" i="20"/>
  <c r="I21" i="20"/>
  <c r="K21" i="20" s="1"/>
  <c r="K43" i="20"/>
  <c r="K21" i="16"/>
  <c r="D21" i="16"/>
  <c r="F21" i="16" s="1"/>
  <c r="I20" i="16"/>
  <c r="K20" i="16" s="1"/>
  <c r="K21" i="81" l="1"/>
  <c r="D49" i="81"/>
  <c r="F49" i="81" s="1"/>
  <c r="F55" i="81" s="1"/>
  <c r="I51" i="100"/>
  <c r="K51" i="100" s="1"/>
  <c r="I51" i="98"/>
  <c r="K51" i="98" s="1"/>
  <c r="I51" i="99"/>
  <c r="K51" i="99" s="1"/>
  <c r="I51" i="96"/>
  <c r="K51" i="96" s="1"/>
  <c r="I51" i="72"/>
  <c r="K51" i="72" s="1"/>
  <c r="K55" i="72" s="1"/>
  <c r="G64" i="72" s="1"/>
  <c r="I51" i="97"/>
  <c r="K51" i="97" s="1"/>
  <c r="I51" i="95"/>
  <c r="K51" i="95" s="1"/>
  <c r="K55" i="95" s="1"/>
  <c r="G64" i="95" s="1"/>
  <c r="I51" i="90"/>
  <c r="K51" i="90" s="1"/>
  <c r="I51" i="89"/>
  <c r="K51" i="89" s="1"/>
  <c r="I51" i="94"/>
  <c r="K51" i="94" s="1"/>
  <c r="K55" i="94" s="1"/>
  <c r="G64" i="94" s="1"/>
  <c r="I51" i="71"/>
  <c r="K51" i="71" s="1"/>
  <c r="K55" i="71" s="1"/>
  <c r="G64" i="71" s="1"/>
  <c r="I51" i="92"/>
  <c r="K51" i="92" s="1"/>
  <c r="K55" i="92" s="1"/>
  <c r="G64" i="92" s="1"/>
  <c r="I51" i="91"/>
  <c r="K51" i="91" s="1"/>
  <c r="I51" i="87"/>
  <c r="K51" i="87" s="1"/>
  <c r="I51" i="85"/>
  <c r="K51" i="85" s="1"/>
  <c r="K55" i="85" s="1"/>
  <c r="G64" i="85" s="1"/>
  <c r="I51" i="84"/>
  <c r="K51" i="84" s="1"/>
  <c r="K55" i="84" s="1"/>
  <c r="G64" i="84" s="1"/>
  <c r="I51" i="81"/>
  <c r="K51" i="81" s="1"/>
  <c r="K55" i="81" s="1"/>
  <c r="G64" i="81" s="1"/>
  <c r="I51" i="82"/>
  <c r="K51" i="82" s="1"/>
  <c r="K55" i="82" s="1"/>
  <c r="G64" i="82" s="1"/>
  <c r="I51" i="93"/>
  <c r="K51" i="93" s="1"/>
  <c r="K55" i="93" s="1"/>
  <c r="G64" i="93" s="1"/>
  <c r="I51" i="86"/>
  <c r="K51" i="86" s="1"/>
  <c r="K55" i="86" s="1"/>
  <c r="G64" i="86" s="1"/>
  <c r="I51" i="83"/>
  <c r="K51" i="83" s="1"/>
  <c r="K55" i="83" s="1"/>
  <c r="G64" i="83" s="1"/>
  <c r="I51" i="80"/>
  <c r="K51" i="80" s="1"/>
  <c r="I51" i="88"/>
  <c r="K51" i="88" s="1"/>
  <c r="I51" i="79"/>
  <c r="K51" i="79" s="1"/>
  <c r="I51" i="77"/>
  <c r="K51" i="77" s="1"/>
  <c r="I51" i="78"/>
  <c r="K51" i="78" s="1"/>
  <c r="K21" i="71"/>
  <c r="D49" i="71"/>
  <c r="F49" i="71" s="1"/>
  <c r="F55" i="71" s="1"/>
  <c r="K21" i="72"/>
  <c r="D49" i="72"/>
  <c r="F49" i="72" s="1"/>
  <c r="F55" i="72" s="1"/>
  <c r="K21" i="84"/>
  <c r="D49" i="84"/>
  <c r="F49" i="84" s="1"/>
  <c r="F55" i="84" s="1"/>
  <c r="K21" i="94"/>
  <c r="D49" i="94"/>
  <c r="F49" i="94" s="1"/>
  <c r="F55" i="94" s="1"/>
  <c r="K21" i="83"/>
  <c r="D49" i="83"/>
  <c r="F49" i="83" s="1"/>
  <c r="F55" i="83" s="1"/>
  <c r="K21" i="82"/>
  <c r="D49" i="82"/>
  <c r="F49" i="82" s="1"/>
  <c r="F55" i="82" s="1"/>
  <c r="E21" i="98"/>
  <c r="F21" i="98" s="1"/>
  <c r="E21" i="97"/>
  <c r="F21" i="97" s="1"/>
  <c r="E21" i="71"/>
  <c r="F21" i="71" s="1"/>
  <c r="F23" i="71" s="1"/>
  <c r="E21" i="96"/>
  <c r="F21" i="96" s="1"/>
  <c r="E21" i="95"/>
  <c r="F21" i="95" s="1"/>
  <c r="F23" i="95" s="1"/>
  <c r="E21" i="100"/>
  <c r="F21" i="100" s="1"/>
  <c r="E21" i="99"/>
  <c r="F21" i="99" s="1"/>
  <c r="E21" i="89"/>
  <c r="F21" i="89" s="1"/>
  <c r="E21" i="93"/>
  <c r="F21" i="93" s="1"/>
  <c r="F23" i="93" s="1"/>
  <c r="E21" i="91"/>
  <c r="F21" i="91" s="1"/>
  <c r="E21" i="92"/>
  <c r="F21" i="92" s="1"/>
  <c r="F23" i="92" s="1"/>
  <c r="E21" i="84"/>
  <c r="F21" i="84" s="1"/>
  <c r="F23" i="84" s="1"/>
  <c r="E21" i="83"/>
  <c r="F21" i="83" s="1"/>
  <c r="F23" i="83" s="1"/>
  <c r="E21" i="90"/>
  <c r="F21" i="90" s="1"/>
  <c r="E21" i="88"/>
  <c r="F21" i="88" s="1"/>
  <c r="E21" i="86"/>
  <c r="F21" i="86" s="1"/>
  <c r="F23" i="86" s="1"/>
  <c r="E21" i="85"/>
  <c r="F21" i="85" s="1"/>
  <c r="F23" i="85" s="1"/>
  <c r="E21" i="81"/>
  <c r="F21" i="81" s="1"/>
  <c r="F23" i="81" s="1"/>
  <c r="G58" i="81" s="1"/>
  <c r="E21" i="72"/>
  <c r="F21" i="72" s="1"/>
  <c r="F23" i="72" s="1"/>
  <c r="E21" i="94"/>
  <c r="F21" i="94" s="1"/>
  <c r="F23" i="94" s="1"/>
  <c r="G58" i="94" s="1"/>
  <c r="E21" i="87"/>
  <c r="F21" i="87" s="1"/>
  <c r="E21" i="79"/>
  <c r="F21" i="79" s="1"/>
  <c r="E21" i="78"/>
  <c r="F21" i="78" s="1"/>
  <c r="E21" i="82"/>
  <c r="F21" i="82" s="1"/>
  <c r="F23" i="82" s="1"/>
  <c r="E21" i="80"/>
  <c r="F21" i="80" s="1"/>
  <c r="E21" i="77"/>
  <c r="F21" i="77" s="1"/>
  <c r="K21" i="95"/>
  <c r="D49" i="95"/>
  <c r="F49" i="95" s="1"/>
  <c r="F55" i="95" s="1"/>
  <c r="K21" i="93"/>
  <c r="D49" i="93"/>
  <c r="F49" i="93" s="1"/>
  <c r="F55" i="93" s="1"/>
  <c r="K21" i="86"/>
  <c r="D49" i="86"/>
  <c r="F49" i="86" s="1"/>
  <c r="F55" i="86" s="1"/>
  <c r="D49" i="92"/>
  <c r="F49" i="92" s="1"/>
  <c r="F55" i="92" s="1"/>
  <c r="K21" i="92"/>
  <c r="K21" i="85"/>
  <c r="D49" i="85"/>
  <c r="F49" i="85" s="1"/>
  <c r="F55" i="85" s="1"/>
  <c r="K21" i="134"/>
  <c r="D49" i="134"/>
  <c r="F49" i="134" s="1"/>
  <c r="F55" i="134" s="1"/>
  <c r="K21" i="69"/>
  <c r="D49" i="69"/>
  <c r="F49" i="69" s="1"/>
  <c r="F55" i="69" s="1"/>
  <c r="K21" i="74"/>
  <c r="D49" i="74"/>
  <c r="F49" i="74" s="1"/>
  <c r="F55" i="74" s="1"/>
  <c r="K21" i="76"/>
  <c r="K21" i="70"/>
  <c r="D49" i="70"/>
  <c r="F49" i="70" s="1"/>
  <c r="F55" i="70" s="1"/>
  <c r="E21" i="74"/>
  <c r="F21" i="74" s="1"/>
  <c r="F23" i="74" s="1"/>
  <c r="E21" i="134"/>
  <c r="F21" i="134" s="1"/>
  <c r="F23" i="134" s="1"/>
  <c r="E21" i="69"/>
  <c r="F21" i="69" s="1"/>
  <c r="F23" i="69" s="1"/>
  <c r="E21" i="70"/>
  <c r="F21" i="70" s="1"/>
  <c r="F23" i="70" s="1"/>
  <c r="E21" i="75"/>
  <c r="F21" i="75" s="1"/>
  <c r="F23" i="75" s="1"/>
  <c r="E21" i="73"/>
  <c r="F21" i="73" s="1"/>
  <c r="F23" i="73" s="1"/>
  <c r="E21" i="76"/>
  <c r="F21" i="76" s="1"/>
  <c r="D49" i="73"/>
  <c r="F49" i="73" s="1"/>
  <c r="F55" i="73" s="1"/>
  <c r="K21" i="73"/>
  <c r="I51" i="70"/>
  <c r="K51" i="70" s="1"/>
  <c r="I51" i="134"/>
  <c r="K51" i="134" s="1"/>
  <c r="I51" i="76"/>
  <c r="K51" i="76" s="1"/>
  <c r="I51" i="74"/>
  <c r="K51" i="74" s="1"/>
  <c r="I51" i="75"/>
  <c r="K51" i="75" s="1"/>
  <c r="I51" i="69"/>
  <c r="K51" i="69" s="1"/>
  <c r="I51" i="73"/>
  <c r="K51" i="73" s="1"/>
  <c r="K21" i="75"/>
  <c r="D49" i="75"/>
  <c r="F49" i="75" s="1"/>
  <c r="F55" i="75" s="1"/>
  <c r="I50" i="60"/>
  <c r="K50" i="60" s="1"/>
  <c r="I50" i="58"/>
  <c r="K50" i="58" s="1"/>
  <c r="I50" i="49"/>
  <c r="K50" i="49" s="1"/>
  <c r="I50" i="66"/>
  <c r="K50" i="66" s="1"/>
  <c r="I50" i="50"/>
  <c r="K50" i="50" s="1"/>
  <c r="K54" i="50" s="1"/>
  <c r="G63" i="50" s="1"/>
  <c r="I50" i="56"/>
  <c r="K50" i="56" s="1"/>
  <c r="I50" i="62"/>
  <c r="K50" i="62" s="1"/>
  <c r="I50" i="55"/>
  <c r="K50" i="55" s="1"/>
  <c r="I50" i="51"/>
  <c r="K50" i="51" s="1"/>
  <c r="I50" i="65"/>
  <c r="K50" i="65" s="1"/>
  <c r="I50" i="64"/>
  <c r="K50" i="64" s="1"/>
  <c r="I50" i="63"/>
  <c r="K50" i="63" s="1"/>
  <c r="I50" i="53"/>
  <c r="K50" i="53" s="1"/>
  <c r="I50" i="54"/>
  <c r="K50" i="54" s="1"/>
  <c r="I51" i="68"/>
  <c r="K51" i="68" s="1"/>
  <c r="I50" i="61"/>
  <c r="K50" i="61" s="1"/>
  <c r="I50" i="59"/>
  <c r="K50" i="59" s="1"/>
  <c r="I50" i="57"/>
  <c r="K50" i="57" s="1"/>
  <c r="I50" i="67"/>
  <c r="K50" i="67" s="1"/>
  <c r="I50" i="52"/>
  <c r="K50" i="52" s="1"/>
  <c r="I52" i="39"/>
  <c r="K52" i="39" s="1"/>
  <c r="I52" i="42"/>
  <c r="K52" i="42" s="1"/>
  <c r="I52" i="34"/>
  <c r="K52" i="34" s="1"/>
  <c r="I52" i="37"/>
  <c r="K52" i="37" s="1"/>
  <c r="I52" i="40"/>
  <c r="K52" i="40" s="1"/>
  <c r="I52" i="32"/>
  <c r="K52" i="32" s="1"/>
  <c r="I52" i="35"/>
  <c r="K52" i="35" s="1"/>
  <c r="I52" i="38"/>
  <c r="K52" i="38" s="1"/>
  <c r="I52" i="41"/>
  <c r="K52" i="41" s="1"/>
  <c r="I52" i="33"/>
  <c r="K52" i="33" s="1"/>
  <c r="I52" i="31"/>
  <c r="K52" i="31" s="1"/>
  <c r="I52" i="36"/>
  <c r="K52" i="36" s="1"/>
  <c r="I54" i="24"/>
  <c r="K54" i="24" s="1"/>
  <c r="I52" i="27"/>
  <c r="K52" i="27" s="1"/>
  <c r="I54" i="22"/>
  <c r="K54" i="22" s="1"/>
  <c r="I52" i="30"/>
  <c r="K52" i="30" s="1"/>
  <c r="I52" i="25"/>
  <c r="K52" i="25" s="1"/>
  <c r="I54" i="23"/>
  <c r="K54" i="23" s="1"/>
  <c r="I52" i="28"/>
  <c r="K52" i="28" s="1"/>
  <c r="I52" i="26"/>
  <c r="K52" i="26" s="1"/>
  <c r="I52" i="29"/>
  <c r="K52" i="29" s="1"/>
  <c r="I54" i="21"/>
  <c r="K54" i="21" s="1"/>
  <c r="I54" i="19"/>
  <c r="K54" i="19" s="1"/>
  <c r="I54" i="17"/>
  <c r="K54" i="17" s="1"/>
  <c r="I20" i="64"/>
  <c r="I20" i="51"/>
  <c r="D48" i="51" s="1"/>
  <c r="I20" i="66"/>
  <c r="I20" i="53"/>
  <c r="I20" i="60"/>
  <c r="I21" i="32"/>
  <c r="K21" i="32" s="1"/>
  <c r="I20" i="58"/>
  <c r="I20" i="55"/>
  <c r="I20" i="61"/>
  <c r="I20" i="57"/>
  <c r="I20" i="54"/>
  <c r="I21" i="41"/>
  <c r="K21" i="41" s="1"/>
  <c r="I21" i="35"/>
  <c r="K21" i="35" s="1"/>
  <c r="I21" i="37"/>
  <c r="K21" i="37" s="1"/>
  <c r="I20" i="52"/>
  <c r="I20" i="65"/>
  <c r="I20" i="63"/>
  <c r="I20" i="59"/>
  <c r="I20" i="50"/>
  <c r="I21" i="40"/>
  <c r="K21" i="40" s="1"/>
  <c r="I21" i="39"/>
  <c r="K21" i="39" s="1"/>
  <c r="I21" i="33"/>
  <c r="K21" i="33" s="1"/>
  <c r="I20" i="62"/>
  <c r="I21" i="68"/>
  <c r="D49" i="68" s="1"/>
  <c r="I20" i="67"/>
  <c r="I20" i="56"/>
  <c r="I21" i="42"/>
  <c r="K21" i="42" s="1"/>
  <c r="I21" i="38"/>
  <c r="K21" i="38" s="1"/>
  <c r="I21" i="36"/>
  <c r="K21" i="36" s="1"/>
  <c r="I21" i="34"/>
  <c r="K21" i="34" s="1"/>
  <c r="I20" i="49"/>
  <c r="E20" i="60"/>
  <c r="F20" i="60" s="1"/>
  <c r="F22" i="60" s="1"/>
  <c r="E21" i="36"/>
  <c r="F21" i="36" s="1"/>
  <c r="E20" i="50"/>
  <c r="F20" i="50" s="1"/>
  <c r="F22" i="50" s="1"/>
  <c r="E21" i="41"/>
  <c r="F21" i="41" s="1"/>
  <c r="E21" i="39"/>
  <c r="F21" i="39" s="1"/>
  <c r="E20" i="67"/>
  <c r="F20" i="67" s="1"/>
  <c r="F22" i="67" s="1"/>
  <c r="E20" i="65"/>
  <c r="F20" i="65" s="1"/>
  <c r="F22" i="65" s="1"/>
  <c r="E20" i="57"/>
  <c r="F20" i="57" s="1"/>
  <c r="F22" i="57" s="1"/>
  <c r="E20" i="55"/>
  <c r="F20" i="55" s="1"/>
  <c r="F22" i="55" s="1"/>
  <c r="E21" i="34"/>
  <c r="F21" i="34" s="1"/>
  <c r="E21" i="33"/>
  <c r="F21" i="33" s="1"/>
  <c r="E21" i="37"/>
  <c r="F21" i="37" s="1"/>
  <c r="E20" i="66"/>
  <c r="F20" i="66" s="1"/>
  <c r="F22" i="66" s="1"/>
  <c r="E20" i="49"/>
  <c r="F20" i="49" s="1"/>
  <c r="F22" i="49" s="1"/>
  <c r="E20" i="63"/>
  <c r="F20" i="63" s="1"/>
  <c r="F22" i="63" s="1"/>
  <c r="E20" i="61"/>
  <c r="F20" i="61" s="1"/>
  <c r="F22" i="61" s="1"/>
  <c r="E21" i="42"/>
  <c r="F21" i="42" s="1"/>
  <c r="E20" i="58"/>
  <c r="F20" i="58" s="1"/>
  <c r="F22" i="58" s="1"/>
  <c r="E20" i="56"/>
  <c r="F20" i="56" s="1"/>
  <c r="F22" i="56" s="1"/>
  <c r="E20" i="52"/>
  <c r="F20" i="52" s="1"/>
  <c r="F22" i="52" s="1"/>
  <c r="E21" i="40"/>
  <c r="F21" i="40" s="1"/>
  <c r="E20" i="64"/>
  <c r="F20" i="64" s="1"/>
  <c r="F22" i="64" s="1"/>
  <c r="E20" i="62"/>
  <c r="F20" i="62" s="1"/>
  <c r="F22" i="62" s="1"/>
  <c r="E20" i="54"/>
  <c r="F20" i="54" s="1"/>
  <c r="F22" i="54" s="1"/>
  <c r="E20" i="53"/>
  <c r="F20" i="53" s="1"/>
  <c r="F22" i="53" s="1"/>
  <c r="E21" i="35"/>
  <c r="F21" i="35" s="1"/>
  <c r="E21" i="32"/>
  <c r="F21" i="32" s="1"/>
  <c r="E21" i="68"/>
  <c r="F21" i="68" s="1"/>
  <c r="F23" i="68" s="1"/>
  <c r="E20" i="59"/>
  <c r="F20" i="59" s="1"/>
  <c r="F22" i="59" s="1"/>
  <c r="E20" i="51"/>
  <c r="F20" i="51" s="1"/>
  <c r="F22" i="51" s="1"/>
  <c r="E21" i="38"/>
  <c r="F21" i="38" s="1"/>
  <c r="E22" i="29"/>
  <c r="F22" i="29" s="1"/>
  <c r="E22" i="26"/>
  <c r="F22" i="26" s="1"/>
  <c r="E22" i="25"/>
  <c r="F22" i="25" s="1"/>
  <c r="E22" i="30"/>
  <c r="F22" i="30" s="1"/>
  <c r="E22" i="24"/>
  <c r="F22" i="24" s="1"/>
  <c r="E22" i="28"/>
  <c r="F22" i="28" s="1"/>
  <c r="E22" i="23"/>
  <c r="F22" i="23" s="1"/>
  <c r="E22" i="27"/>
  <c r="F22" i="27" s="1"/>
  <c r="E21" i="31"/>
  <c r="F21" i="31" s="1"/>
  <c r="I22" i="26"/>
  <c r="I21" i="31"/>
  <c r="K21" i="31" s="1"/>
  <c r="I22" i="25"/>
  <c r="D50" i="25" s="1"/>
  <c r="I22" i="28"/>
  <c r="I22" i="29"/>
  <c r="K22" i="29" s="1"/>
  <c r="I22" i="23"/>
  <c r="K22" i="23" s="1"/>
  <c r="I22" i="27"/>
  <c r="K22" i="27" s="1"/>
  <c r="I22" i="24"/>
  <c r="K22" i="24" s="1"/>
  <c r="I22" i="30"/>
  <c r="K22" i="30" s="1"/>
  <c r="E22" i="19"/>
  <c r="F22" i="19" s="1"/>
  <c r="E22" i="21"/>
  <c r="F22" i="21" s="1"/>
  <c r="E22" i="22"/>
  <c r="F22" i="22" s="1"/>
  <c r="I22" i="19"/>
  <c r="K22" i="19" s="1"/>
  <c r="I22" i="22"/>
  <c r="D52" i="22" s="1"/>
  <c r="I22" i="21"/>
  <c r="E22" i="17"/>
  <c r="F22" i="17" s="1"/>
  <c r="E22" i="20"/>
  <c r="F22" i="20" s="1"/>
  <c r="I22" i="17"/>
  <c r="K22" i="17" s="1"/>
  <c r="I22" i="16"/>
  <c r="K22" i="16" s="1"/>
  <c r="D20" i="20"/>
  <c r="F20" i="20" s="1"/>
  <c r="E24" i="16"/>
  <c r="F24" i="16" s="1"/>
  <c r="D17" i="16"/>
  <c r="F17" i="16" s="1"/>
  <c r="I23" i="20"/>
  <c r="K23" i="20" s="1"/>
  <c r="I22" i="20"/>
  <c r="K22" i="20" s="1"/>
  <c r="I18" i="20"/>
  <c r="K18" i="20" s="1"/>
  <c r="I16" i="20"/>
  <c r="K16" i="20" s="1"/>
  <c r="D16" i="20"/>
  <c r="F16" i="20" s="1"/>
  <c r="I24" i="16"/>
  <c r="K24" i="16" s="1"/>
  <c r="I17" i="16"/>
  <c r="K17" i="16" s="1"/>
  <c r="I17" i="20"/>
  <c r="K17" i="20" s="1"/>
  <c r="G58" i="82" l="1"/>
  <c r="G60" i="82" s="1"/>
  <c r="G58" i="84"/>
  <c r="G59" i="84" s="1"/>
  <c r="G58" i="134"/>
  <c r="G60" i="134" s="1"/>
  <c r="G58" i="83"/>
  <c r="G58" i="95"/>
  <c r="G58" i="73"/>
  <c r="G60" i="73" s="1"/>
  <c r="G67" i="94"/>
  <c r="G59" i="94"/>
  <c r="G60" i="94"/>
  <c r="I22" i="100"/>
  <c r="K22" i="100" s="1"/>
  <c r="I22" i="98"/>
  <c r="K22" i="98" s="1"/>
  <c r="I22" i="99"/>
  <c r="K22" i="99" s="1"/>
  <c r="I22" i="97"/>
  <c r="K22" i="97" s="1"/>
  <c r="I22" i="95"/>
  <c r="K22" i="95" s="1"/>
  <c r="K23" i="95" s="1"/>
  <c r="G62" i="95" s="1"/>
  <c r="G63" i="95" s="1"/>
  <c r="G65" i="95" s="1"/>
  <c r="I22" i="71"/>
  <c r="K22" i="71" s="1"/>
  <c r="K23" i="71" s="1"/>
  <c r="G62" i="71" s="1"/>
  <c r="G63" i="71" s="1"/>
  <c r="G65" i="71" s="1"/>
  <c r="I22" i="96"/>
  <c r="K22" i="96" s="1"/>
  <c r="I22" i="92"/>
  <c r="K22" i="92" s="1"/>
  <c r="K23" i="92" s="1"/>
  <c r="G62" i="92" s="1"/>
  <c r="G63" i="92" s="1"/>
  <c r="G65" i="92" s="1"/>
  <c r="I22" i="93"/>
  <c r="K22" i="93" s="1"/>
  <c r="K23" i="93" s="1"/>
  <c r="G62" i="93" s="1"/>
  <c r="G63" i="93" s="1"/>
  <c r="G65" i="93" s="1"/>
  <c r="I22" i="89"/>
  <c r="K22" i="89" s="1"/>
  <c r="I22" i="87"/>
  <c r="K22" i="87" s="1"/>
  <c r="I22" i="85"/>
  <c r="K22" i="85" s="1"/>
  <c r="K23" i="85" s="1"/>
  <c r="G62" i="85" s="1"/>
  <c r="G63" i="85" s="1"/>
  <c r="G65" i="85" s="1"/>
  <c r="I22" i="88"/>
  <c r="K22" i="88" s="1"/>
  <c r="I22" i="86"/>
  <c r="K22" i="86" s="1"/>
  <c r="K23" i="86" s="1"/>
  <c r="G62" i="86" s="1"/>
  <c r="G63" i="86" s="1"/>
  <c r="G65" i="86" s="1"/>
  <c r="I22" i="84"/>
  <c r="K22" i="84" s="1"/>
  <c r="K23" i="84" s="1"/>
  <c r="G62" i="84" s="1"/>
  <c r="G63" i="84" s="1"/>
  <c r="G65" i="84" s="1"/>
  <c r="I22" i="83"/>
  <c r="K22" i="83" s="1"/>
  <c r="K23" i="83" s="1"/>
  <c r="G62" i="83" s="1"/>
  <c r="G63" i="83" s="1"/>
  <c r="G65" i="83" s="1"/>
  <c r="I22" i="81"/>
  <c r="K22" i="81" s="1"/>
  <c r="K23" i="81" s="1"/>
  <c r="G62" i="81" s="1"/>
  <c r="G63" i="81" s="1"/>
  <c r="G65" i="81" s="1"/>
  <c r="I22" i="91"/>
  <c r="K22" i="91" s="1"/>
  <c r="I22" i="77"/>
  <c r="K22" i="77" s="1"/>
  <c r="I22" i="72"/>
  <c r="K22" i="72" s="1"/>
  <c r="K23" i="72" s="1"/>
  <c r="G62" i="72" s="1"/>
  <c r="G63" i="72" s="1"/>
  <c r="G65" i="72" s="1"/>
  <c r="I22" i="94"/>
  <c r="K22" i="94" s="1"/>
  <c r="K23" i="94" s="1"/>
  <c r="G62" i="94" s="1"/>
  <c r="G63" i="94" s="1"/>
  <c r="G65" i="94" s="1"/>
  <c r="I22" i="82"/>
  <c r="K22" i="82" s="1"/>
  <c r="K23" i="82" s="1"/>
  <c r="G62" i="82" s="1"/>
  <c r="G63" i="82" s="1"/>
  <c r="G65" i="82" s="1"/>
  <c r="I22" i="90"/>
  <c r="K22" i="90" s="1"/>
  <c r="I22" i="80"/>
  <c r="K22" i="80" s="1"/>
  <c r="I22" i="79"/>
  <c r="K22" i="79" s="1"/>
  <c r="I22" i="78"/>
  <c r="K22" i="78" s="1"/>
  <c r="G58" i="75"/>
  <c r="G60" i="75" s="1"/>
  <c r="G58" i="72"/>
  <c r="G58" i="92"/>
  <c r="G58" i="71"/>
  <c r="G58" i="70"/>
  <c r="G59" i="70" s="1"/>
  <c r="G67" i="81"/>
  <c r="G59" i="81"/>
  <c r="G60" i="81"/>
  <c r="G58" i="86"/>
  <c r="G58" i="85"/>
  <c r="G58" i="93"/>
  <c r="G58" i="69"/>
  <c r="G60" i="69" s="1"/>
  <c r="I22" i="75"/>
  <c r="K22" i="75" s="1"/>
  <c r="K23" i="75" s="1"/>
  <c r="G62" i="75" s="1"/>
  <c r="G63" i="75" s="1"/>
  <c r="I22" i="134"/>
  <c r="K22" i="134" s="1"/>
  <c r="K23" i="134" s="1"/>
  <c r="G62" i="134" s="1"/>
  <c r="I22" i="73"/>
  <c r="K22" i="73" s="1"/>
  <c r="K23" i="73" s="1"/>
  <c r="G62" i="73" s="1"/>
  <c r="G63" i="73" s="1"/>
  <c r="I22" i="76"/>
  <c r="K22" i="76" s="1"/>
  <c r="I22" i="69"/>
  <c r="K22" i="69" s="1"/>
  <c r="K23" i="69" s="1"/>
  <c r="G62" i="69" s="1"/>
  <c r="G63" i="69" s="1"/>
  <c r="I22" i="70"/>
  <c r="K22" i="70" s="1"/>
  <c r="K23" i="70" s="1"/>
  <c r="G62" i="70" s="1"/>
  <c r="G63" i="70" s="1"/>
  <c r="I22" i="74"/>
  <c r="K22" i="74" s="1"/>
  <c r="K23" i="74" s="1"/>
  <c r="G62" i="74" s="1"/>
  <c r="G63" i="74" s="1"/>
  <c r="G58" i="74"/>
  <c r="K22" i="21"/>
  <c r="K21" i="68"/>
  <c r="F49" i="68"/>
  <c r="F55" i="68" s="1"/>
  <c r="G58" i="68" s="1"/>
  <c r="K20" i="55"/>
  <c r="D48" i="55"/>
  <c r="F48" i="55" s="1"/>
  <c r="F54" i="55" s="1"/>
  <c r="G57" i="55" s="1"/>
  <c r="K20" i="60"/>
  <c r="D48" i="60"/>
  <c r="F48" i="60" s="1"/>
  <c r="F54" i="60" s="1"/>
  <c r="G57" i="60" s="1"/>
  <c r="K20" i="65"/>
  <c r="D48" i="65"/>
  <c r="F48" i="65" s="1"/>
  <c r="F54" i="65" s="1"/>
  <c r="G57" i="65" s="1"/>
  <c r="K20" i="52"/>
  <c r="D48" i="52"/>
  <c r="F48" i="52" s="1"/>
  <c r="F54" i="52" s="1"/>
  <c r="G57" i="52" s="1"/>
  <c r="K20" i="53"/>
  <c r="D48" i="53"/>
  <c r="F48" i="53" s="1"/>
  <c r="F54" i="53" s="1"/>
  <c r="G57" i="53" s="1"/>
  <c r="K20" i="62"/>
  <c r="D48" i="62"/>
  <c r="F48" i="62" s="1"/>
  <c r="F54" i="62" s="1"/>
  <c r="G57" i="62" s="1"/>
  <c r="K20" i="50"/>
  <c r="D48" i="50"/>
  <c r="F48" i="50" s="1"/>
  <c r="F54" i="50" s="1"/>
  <c r="G57" i="50" s="1"/>
  <c r="K20" i="54"/>
  <c r="D48" i="54"/>
  <c r="F48" i="54" s="1"/>
  <c r="F54" i="54" s="1"/>
  <c r="G57" i="54" s="1"/>
  <c r="K20" i="66"/>
  <c r="D48" i="66"/>
  <c r="F48" i="66" s="1"/>
  <c r="F54" i="66" s="1"/>
  <c r="G57" i="66" s="1"/>
  <c r="I21" i="61"/>
  <c r="K21" i="61" s="1"/>
  <c r="I21" i="57"/>
  <c r="K21" i="57" s="1"/>
  <c r="I21" i="54"/>
  <c r="K21" i="54" s="1"/>
  <c r="I22" i="41"/>
  <c r="K22" i="41" s="1"/>
  <c r="I22" i="35"/>
  <c r="K22" i="35" s="1"/>
  <c r="I21" i="51"/>
  <c r="K21" i="51" s="1"/>
  <c r="I21" i="65"/>
  <c r="K21" i="65" s="1"/>
  <c r="I21" i="63"/>
  <c r="K21" i="63" s="1"/>
  <c r="I21" i="59"/>
  <c r="K21" i="59" s="1"/>
  <c r="I21" i="50"/>
  <c r="K21" i="50" s="1"/>
  <c r="I22" i="40"/>
  <c r="K22" i="40" s="1"/>
  <c r="I22" i="39"/>
  <c r="K22" i="39" s="1"/>
  <c r="I22" i="33"/>
  <c r="K22" i="33" s="1"/>
  <c r="I22" i="68"/>
  <c r="K22" i="68" s="1"/>
  <c r="I21" i="67"/>
  <c r="K21" i="67" s="1"/>
  <c r="I21" i="56"/>
  <c r="K21" i="56" s="1"/>
  <c r="I22" i="42"/>
  <c r="K22" i="42" s="1"/>
  <c r="I22" i="38"/>
  <c r="K22" i="38" s="1"/>
  <c r="I22" i="36"/>
  <c r="K22" i="36" s="1"/>
  <c r="I22" i="34"/>
  <c r="K22" i="34" s="1"/>
  <c r="I21" i="64"/>
  <c r="K21" i="64" s="1"/>
  <c r="I21" i="62"/>
  <c r="K21" i="62" s="1"/>
  <c r="I21" i="60"/>
  <c r="K21" i="60" s="1"/>
  <c r="I21" i="49"/>
  <c r="K21" i="49" s="1"/>
  <c r="I22" i="37"/>
  <c r="K22" i="37" s="1"/>
  <c r="I22" i="32"/>
  <c r="K22" i="32" s="1"/>
  <c r="I21" i="66"/>
  <c r="K21" i="66" s="1"/>
  <c r="I21" i="58"/>
  <c r="K21" i="58" s="1"/>
  <c r="I21" i="55"/>
  <c r="K21" i="55" s="1"/>
  <c r="I21" i="52"/>
  <c r="K21" i="52" s="1"/>
  <c r="I21" i="53"/>
  <c r="K21" i="53" s="1"/>
  <c r="K20" i="58"/>
  <c r="D48" i="58"/>
  <c r="F48" i="58" s="1"/>
  <c r="F54" i="58" s="1"/>
  <c r="G57" i="58" s="1"/>
  <c r="K20" i="56"/>
  <c r="D48" i="56"/>
  <c r="F48" i="56" s="1"/>
  <c r="F54" i="56" s="1"/>
  <c r="G57" i="56" s="1"/>
  <c r="K20" i="59"/>
  <c r="D48" i="59"/>
  <c r="F48" i="59" s="1"/>
  <c r="F54" i="59" s="1"/>
  <c r="G57" i="59" s="1"/>
  <c r="K20" i="57"/>
  <c r="D48" i="57"/>
  <c r="F48" i="57" s="1"/>
  <c r="F54" i="57" s="1"/>
  <c r="G57" i="57" s="1"/>
  <c r="K20" i="51"/>
  <c r="F48" i="51"/>
  <c r="F54" i="51" s="1"/>
  <c r="G57" i="51" s="1"/>
  <c r="K20" i="49"/>
  <c r="D48" i="49"/>
  <c r="F48" i="49" s="1"/>
  <c r="F54" i="49" s="1"/>
  <c r="G57" i="49" s="1"/>
  <c r="K20" i="67"/>
  <c r="D48" i="67"/>
  <c r="F48" i="67" s="1"/>
  <c r="F54" i="67" s="1"/>
  <c r="G57" i="67" s="1"/>
  <c r="K20" i="63"/>
  <c r="D48" i="63"/>
  <c r="F48" i="63" s="1"/>
  <c r="F54" i="63" s="1"/>
  <c r="G57" i="63" s="1"/>
  <c r="K20" i="61"/>
  <c r="D48" i="61"/>
  <c r="F48" i="61" s="1"/>
  <c r="F54" i="61" s="1"/>
  <c r="G57" i="61" s="1"/>
  <c r="K20" i="64"/>
  <c r="D48" i="64"/>
  <c r="F48" i="64" s="1"/>
  <c r="F54" i="64" s="1"/>
  <c r="G57" i="64" s="1"/>
  <c r="I52" i="49"/>
  <c r="K52" i="49" s="1"/>
  <c r="I51" i="49"/>
  <c r="K51" i="49" s="1"/>
  <c r="K22" i="28"/>
  <c r="D50" i="28"/>
  <c r="F50" i="28" s="1"/>
  <c r="F55" i="28" s="1"/>
  <c r="K22" i="25"/>
  <c r="F50" i="25"/>
  <c r="F55" i="25" s="1"/>
  <c r="I23" i="29"/>
  <c r="K23" i="29" s="1"/>
  <c r="I23" i="28"/>
  <c r="K23" i="28" s="1"/>
  <c r="I22" i="31"/>
  <c r="K22" i="31" s="1"/>
  <c r="I23" i="23"/>
  <c r="K23" i="23" s="1"/>
  <c r="I23" i="27"/>
  <c r="K23" i="27" s="1"/>
  <c r="I23" i="30"/>
  <c r="K23" i="30" s="1"/>
  <c r="I23" i="25"/>
  <c r="K23" i="25" s="1"/>
  <c r="I23" i="26"/>
  <c r="K23" i="26" s="1"/>
  <c r="I23" i="24"/>
  <c r="K23" i="24" s="1"/>
  <c r="K22" i="26"/>
  <c r="K22" i="22"/>
  <c r="F52" i="22"/>
  <c r="F57" i="22" s="1"/>
  <c r="I23" i="17"/>
  <c r="I23" i="22"/>
  <c r="K23" i="22" s="1"/>
  <c r="I23" i="21"/>
  <c r="K23" i="21" s="1"/>
  <c r="I23" i="19"/>
  <c r="K23" i="19" s="1"/>
  <c r="I52" i="62"/>
  <c r="K52" i="62" s="1"/>
  <c r="I51" i="51"/>
  <c r="K51" i="51" s="1"/>
  <c r="I52" i="51"/>
  <c r="K52" i="51" s="1"/>
  <c r="I51" i="62"/>
  <c r="K51" i="62" s="1"/>
  <c r="I25" i="16"/>
  <c r="K25" i="16" s="1"/>
  <c r="I18" i="16"/>
  <c r="K18" i="16" s="1"/>
  <c r="G67" i="82" l="1"/>
  <c r="G59" i="82"/>
  <c r="G61" i="82" s="1"/>
  <c r="G66" i="82" s="1"/>
  <c r="G60" i="84"/>
  <c r="G61" i="84" s="1"/>
  <c r="G66" i="84" s="1"/>
  <c r="G67" i="84"/>
  <c r="G67" i="134"/>
  <c r="G59" i="134"/>
  <c r="G61" i="134" s="1"/>
  <c r="G59" i="73"/>
  <c r="G61" i="73" s="1"/>
  <c r="G67" i="70"/>
  <c r="G67" i="73"/>
  <c r="G67" i="69"/>
  <c r="G60" i="70"/>
  <c r="G61" i="70" s="1"/>
  <c r="G67" i="75"/>
  <c r="G61" i="94"/>
  <c r="G66" i="94" s="1"/>
  <c r="G59" i="75"/>
  <c r="G61" i="75" s="1"/>
  <c r="G59" i="69"/>
  <c r="G61" i="69" s="1"/>
  <c r="G67" i="72"/>
  <c r="G59" i="72"/>
  <c r="G60" i="72"/>
  <c r="G61" i="81"/>
  <c r="G66" i="81" s="1"/>
  <c r="G67" i="95"/>
  <c r="G59" i="95"/>
  <c r="G60" i="95"/>
  <c r="G67" i="93"/>
  <c r="G60" i="93"/>
  <c r="G59" i="93"/>
  <c r="G67" i="83"/>
  <c r="G59" i="83"/>
  <c r="G60" i="83"/>
  <c r="G60" i="85"/>
  <c r="G59" i="85"/>
  <c r="G67" i="85"/>
  <c r="G60" i="86"/>
  <c r="G59" i="86"/>
  <c r="G67" i="86"/>
  <c r="G60" i="71"/>
  <c r="G67" i="71"/>
  <c r="G59" i="71"/>
  <c r="G59" i="92"/>
  <c r="G67" i="92"/>
  <c r="G60" i="92"/>
  <c r="K23" i="68"/>
  <c r="G62" i="68" s="1"/>
  <c r="G63" i="68" s="1"/>
  <c r="G60" i="74"/>
  <c r="G67" i="74"/>
  <c r="G59" i="74"/>
  <c r="G63" i="134"/>
  <c r="G60" i="68"/>
  <c r="G58" i="50"/>
  <c r="K54" i="49"/>
  <c r="G63" i="49" s="1"/>
  <c r="K54" i="51"/>
  <c r="G63" i="51" s="1"/>
  <c r="K22" i="64"/>
  <c r="G61" i="64" s="1"/>
  <c r="K22" i="61"/>
  <c r="K54" i="62"/>
  <c r="G63" i="62" s="1"/>
  <c r="K22" i="51"/>
  <c r="G61" i="51" s="1"/>
  <c r="K22" i="65"/>
  <c r="G61" i="65" s="1"/>
  <c r="K22" i="58"/>
  <c r="G61" i="58" s="1"/>
  <c r="K22" i="67"/>
  <c r="G61" i="67" s="1"/>
  <c r="G58" i="58"/>
  <c r="G66" i="58"/>
  <c r="G59" i="58"/>
  <c r="K22" i="50"/>
  <c r="G61" i="50" s="1"/>
  <c r="G59" i="50"/>
  <c r="K22" i="59"/>
  <c r="G58" i="65"/>
  <c r="G59" i="65"/>
  <c r="G66" i="65"/>
  <c r="G59" i="59"/>
  <c r="G66" i="59"/>
  <c r="G58" i="59"/>
  <c r="G59" i="52"/>
  <c r="G58" i="52"/>
  <c r="G66" i="52"/>
  <c r="G66" i="56"/>
  <c r="G58" i="56"/>
  <c r="K22" i="53"/>
  <c r="G61" i="53" s="1"/>
  <c r="K22" i="55"/>
  <c r="G61" i="55" s="1"/>
  <c r="G66" i="66"/>
  <c r="G58" i="66"/>
  <c r="G59" i="66"/>
  <c r="G59" i="64"/>
  <c r="G58" i="64"/>
  <c r="G66" i="64"/>
  <c r="G58" i="54"/>
  <c r="G59" i="54"/>
  <c r="G66" i="54"/>
  <c r="G58" i="53"/>
  <c r="G66" i="53"/>
  <c r="G59" i="53"/>
  <c r="G58" i="67"/>
  <c r="G59" i="67"/>
  <c r="G66" i="67"/>
  <c r="G59" i="62"/>
  <c r="G66" i="62"/>
  <c r="G58" i="62"/>
  <c r="G58" i="49"/>
  <c r="G66" i="49"/>
  <c r="G59" i="49"/>
  <c r="G66" i="61"/>
  <c r="G59" i="61"/>
  <c r="G58" i="61"/>
  <c r="G66" i="60"/>
  <c r="G59" i="60"/>
  <c r="G58" i="60"/>
  <c r="G59" i="51"/>
  <c r="G66" i="51"/>
  <c r="G58" i="51"/>
  <c r="G58" i="63"/>
  <c r="G59" i="63"/>
  <c r="G66" i="63"/>
  <c r="G66" i="55"/>
  <c r="G58" i="55"/>
  <c r="G59" i="55"/>
  <c r="G58" i="57"/>
  <c r="G66" i="57"/>
  <c r="G59" i="57"/>
  <c r="G59" i="56"/>
  <c r="K22" i="63"/>
  <c r="G61" i="63" s="1"/>
  <c r="K22" i="60"/>
  <c r="G61" i="60" s="1"/>
  <c r="K22" i="57"/>
  <c r="G61" i="57" s="1"/>
  <c r="K22" i="66"/>
  <c r="G61" i="66" s="1"/>
  <c r="K22" i="62"/>
  <c r="G61" i="62" s="1"/>
  <c r="K22" i="52"/>
  <c r="G61" i="52" s="1"/>
  <c r="G66" i="50"/>
  <c r="K22" i="56"/>
  <c r="G61" i="56" s="1"/>
  <c r="K22" i="54"/>
  <c r="G61" i="54" s="1"/>
  <c r="I52" i="52"/>
  <c r="K52" i="52" s="1"/>
  <c r="I52" i="64"/>
  <c r="K52" i="64" s="1"/>
  <c r="I52" i="57"/>
  <c r="K52" i="57" s="1"/>
  <c r="I51" i="64"/>
  <c r="K51" i="64" s="1"/>
  <c r="I51" i="57"/>
  <c r="K51" i="57" s="1"/>
  <c r="I51" i="52"/>
  <c r="K51" i="52" s="1"/>
  <c r="I19" i="16"/>
  <c r="K19" i="16" s="1"/>
  <c r="K23" i="17"/>
  <c r="G61" i="86" l="1"/>
  <c r="G66" i="86" s="1"/>
  <c r="XFD66" i="86" s="1"/>
  <c r="G61" i="95"/>
  <c r="G66" i="95" s="1"/>
  <c r="XFD66" i="95" s="1"/>
  <c r="G61" i="93"/>
  <c r="G66" i="93" s="1"/>
  <c r="G68" i="93" s="1"/>
  <c r="G61" i="71"/>
  <c r="G66" i="71" s="1"/>
  <c r="G68" i="71" s="1"/>
  <c r="G61" i="74"/>
  <c r="G61" i="85"/>
  <c r="G66" i="85" s="1"/>
  <c r="G61" i="83"/>
  <c r="G66" i="83" s="1"/>
  <c r="G61" i="92"/>
  <c r="G66" i="92" s="1"/>
  <c r="XFD66" i="81"/>
  <c r="G68" i="81"/>
  <c r="G68" i="94"/>
  <c r="XFD66" i="94"/>
  <c r="G68" i="84"/>
  <c r="XFD66" i="84"/>
  <c r="XFD66" i="82"/>
  <c r="G68" i="82"/>
  <c r="G61" i="72"/>
  <c r="G66" i="72" s="1"/>
  <c r="G67" i="68"/>
  <c r="G59" i="68"/>
  <c r="G61" i="68" s="1"/>
  <c r="G60" i="50"/>
  <c r="G61" i="61"/>
  <c r="G62" i="61" s="1"/>
  <c r="G61" i="59"/>
  <c r="G62" i="59" s="1"/>
  <c r="G62" i="54"/>
  <c r="G62" i="56"/>
  <c r="G62" i="63"/>
  <c r="G62" i="65"/>
  <c r="G62" i="58"/>
  <c r="G62" i="51"/>
  <c r="G64" i="51" s="1"/>
  <c r="G62" i="55"/>
  <c r="G62" i="50"/>
  <c r="G64" i="50" s="1"/>
  <c r="G62" i="53"/>
  <c r="G62" i="62"/>
  <c r="G64" i="62" s="1"/>
  <c r="G62" i="64"/>
  <c r="G62" i="66"/>
  <c r="G62" i="60"/>
  <c r="G62" i="52"/>
  <c r="G62" i="57"/>
  <c r="G62" i="67"/>
  <c r="K54" i="64"/>
  <c r="G63" i="64" s="1"/>
  <c r="K54" i="57"/>
  <c r="G63" i="57" s="1"/>
  <c r="G60" i="59"/>
  <c r="K54" i="52"/>
  <c r="G63" i="52" s="1"/>
  <c r="G60" i="65"/>
  <c r="G60" i="56"/>
  <c r="G60" i="55"/>
  <c r="G60" i="66"/>
  <c r="G60" i="52"/>
  <c r="G60" i="60"/>
  <c r="G60" i="62"/>
  <c r="G60" i="49"/>
  <c r="G60" i="64"/>
  <c r="G60" i="58"/>
  <c r="G60" i="57"/>
  <c r="G60" i="67"/>
  <c r="G60" i="63"/>
  <c r="G60" i="61"/>
  <c r="G60" i="54"/>
  <c r="G60" i="51"/>
  <c r="G60" i="53"/>
  <c r="I51" i="58"/>
  <c r="K51" i="58" s="1"/>
  <c r="I52" i="58"/>
  <c r="K52" i="58" s="1"/>
  <c r="I51" i="65"/>
  <c r="K51" i="65" s="1"/>
  <c r="I52" i="65"/>
  <c r="K52" i="65" s="1"/>
  <c r="I52" i="63"/>
  <c r="K52" i="63" s="1"/>
  <c r="I51" i="63"/>
  <c r="K51" i="63" s="1"/>
  <c r="K52" i="16"/>
  <c r="F52" i="16"/>
  <c r="K50" i="16"/>
  <c r="K38" i="16"/>
  <c r="K37" i="16"/>
  <c r="K36" i="16"/>
  <c r="F41" i="16"/>
  <c r="K30" i="16"/>
  <c r="K29" i="16"/>
  <c r="XFD66" i="93" l="1"/>
  <c r="XFD66" i="71"/>
  <c r="G68" i="95"/>
  <c r="G68" i="86"/>
  <c r="G68" i="83"/>
  <c r="XFD66" i="83"/>
  <c r="XFD66" i="72"/>
  <c r="G68" i="72"/>
  <c r="G68" i="85"/>
  <c r="XFD66" i="85"/>
  <c r="XFD66" i="92"/>
  <c r="G68" i="92"/>
  <c r="G65" i="50"/>
  <c r="G67" i="50" s="1"/>
  <c r="XFD67" i="50" s="1"/>
  <c r="G64" i="64"/>
  <c r="G65" i="64" s="1"/>
  <c r="G67" i="64" s="1"/>
  <c r="XFD67" i="64" s="1"/>
  <c r="G64" i="52"/>
  <c r="G65" i="52" s="1"/>
  <c r="G67" i="52" s="1"/>
  <c r="XFD67" i="52" s="1"/>
  <c r="G64" i="57"/>
  <c r="G65" i="57" s="1"/>
  <c r="G67" i="57" s="1"/>
  <c r="XFD67" i="57" s="1"/>
  <c r="G65" i="51"/>
  <c r="G67" i="51" s="1"/>
  <c r="XFD67" i="51" s="1"/>
  <c r="G65" i="62"/>
  <c r="G67" i="62" s="1"/>
  <c r="XFD67" i="62" s="1"/>
  <c r="K54" i="65"/>
  <c r="G63" i="65" s="1"/>
  <c r="K54" i="63"/>
  <c r="G63" i="63" s="1"/>
  <c r="K54" i="58"/>
  <c r="G63" i="58" s="1"/>
  <c r="K41" i="16"/>
  <c r="I51" i="59"/>
  <c r="K51" i="59" s="1"/>
  <c r="I52" i="59"/>
  <c r="K52" i="59" s="1"/>
  <c r="I51" i="67"/>
  <c r="K51" i="67" s="1"/>
  <c r="K34" i="16"/>
  <c r="I52" i="67"/>
  <c r="K52" i="67" s="1"/>
  <c r="F34" i="16"/>
  <c r="D15" i="22"/>
  <c r="G64" i="58" l="1"/>
  <c r="G65" i="58" s="1"/>
  <c r="G67" i="58" s="1"/>
  <c r="XFD67" i="58" s="1"/>
  <c r="G64" i="63"/>
  <c r="G65" i="63" s="1"/>
  <c r="G67" i="63" s="1"/>
  <c r="XFD67" i="63" s="1"/>
  <c r="G64" i="65"/>
  <c r="G65" i="65" s="1"/>
  <c r="G67" i="65" s="1"/>
  <c r="XFD67" i="65" s="1"/>
  <c r="K54" i="59"/>
  <c r="G63" i="59" s="1"/>
  <c r="G64" i="59" s="1"/>
  <c r="G65" i="59" s="1"/>
  <c r="G67" i="59" s="1"/>
  <c r="XFD67" i="59" s="1"/>
  <c r="K54" i="67"/>
  <c r="G63" i="67" s="1"/>
  <c r="I51" i="60"/>
  <c r="K51" i="60" s="1"/>
  <c r="I17" i="22"/>
  <c r="I18" i="22"/>
  <c r="I19" i="22"/>
  <c r="D15" i="28"/>
  <c r="I16" i="22"/>
  <c r="I52" i="60"/>
  <c r="K52" i="60" s="1"/>
  <c r="I13" i="24"/>
  <c r="K13" i="24" s="1"/>
  <c r="G64" i="67" l="1"/>
  <c r="G65" i="67" s="1"/>
  <c r="G67" i="67" s="1"/>
  <c r="XFD67" i="67" s="1"/>
  <c r="K54" i="60"/>
  <c r="G63" i="60" s="1"/>
  <c r="I51" i="54"/>
  <c r="K51" i="54" s="1"/>
  <c r="I51" i="55"/>
  <c r="K51" i="55" s="1"/>
  <c r="I52" i="54"/>
  <c r="K52" i="54" s="1"/>
  <c r="I52" i="55"/>
  <c r="K52" i="55" s="1"/>
  <c r="I16" i="38"/>
  <c r="K16" i="38" s="1"/>
  <c r="I16" i="32"/>
  <c r="K16" i="32" s="1"/>
  <c r="D14" i="31"/>
  <c r="I16" i="31"/>
  <c r="D13" i="31"/>
  <c r="D50" i="31" s="1"/>
  <c r="I51" i="61"/>
  <c r="K51" i="61" s="1"/>
  <c r="I52" i="61"/>
  <c r="K52" i="61" s="1"/>
  <c r="F15" i="28"/>
  <c r="F24" i="28" s="1"/>
  <c r="G58" i="28" s="1"/>
  <c r="I15" i="28"/>
  <c r="K15" i="28" s="1"/>
  <c r="I18" i="28"/>
  <c r="K18" i="28" s="1"/>
  <c r="I19" i="28"/>
  <c r="K19" i="28" s="1"/>
  <c r="I17" i="28"/>
  <c r="K17" i="28" s="1"/>
  <c r="I16" i="28"/>
  <c r="K16" i="28" s="1"/>
  <c r="I13" i="27"/>
  <c r="K13" i="27" s="1"/>
  <c r="I13" i="30"/>
  <c r="K13" i="30" s="1"/>
  <c r="I52" i="53"/>
  <c r="K52" i="53" s="1"/>
  <c r="I51" i="53"/>
  <c r="K51" i="53" s="1"/>
  <c r="D14" i="19"/>
  <c r="F14" i="19" s="1"/>
  <c r="I13" i="19"/>
  <c r="K13" i="19" s="1"/>
  <c r="I13" i="23"/>
  <c r="K13" i="23" s="1"/>
  <c r="D14" i="21"/>
  <c r="F14" i="21" s="1"/>
  <c r="I13" i="21"/>
  <c r="K13" i="21" s="1"/>
  <c r="I12" i="20"/>
  <c r="K12" i="20" s="1"/>
  <c r="I13" i="17"/>
  <c r="K13" i="17" s="1"/>
  <c r="I13" i="16"/>
  <c r="K13" i="16" s="1"/>
  <c r="I17" i="31"/>
  <c r="I18" i="31"/>
  <c r="I18" i="32"/>
  <c r="K18" i="32" s="1"/>
  <c r="I17" i="34" l="1"/>
  <c r="K17" i="34" s="1"/>
  <c r="I17" i="38"/>
  <c r="K17" i="38" s="1"/>
  <c r="I18" i="38"/>
  <c r="K18" i="38" s="1"/>
  <c r="I17" i="42"/>
  <c r="K17" i="42" s="1"/>
  <c r="I18" i="39"/>
  <c r="K18" i="39" s="1"/>
  <c r="D13" i="42"/>
  <c r="I13" i="42" s="1"/>
  <c r="K13" i="42" s="1"/>
  <c r="I17" i="39"/>
  <c r="K17" i="39" s="1"/>
  <c r="D14" i="17"/>
  <c r="F14" i="17" s="1"/>
  <c r="I14" i="17"/>
  <c r="K14" i="17" s="1"/>
  <c r="D117" i="129"/>
  <c r="I13" i="20"/>
  <c r="K13" i="20" s="1"/>
  <c r="D13" i="20"/>
  <c r="F13" i="20" s="1"/>
  <c r="G64" i="60"/>
  <c r="G65" i="60" s="1"/>
  <c r="G67" i="60" s="1"/>
  <c r="XFD67" i="60" s="1"/>
  <c r="K54" i="53"/>
  <c r="G63" i="53" s="1"/>
  <c r="D13" i="35"/>
  <c r="I13" i="35" s="1"/>
  <c r="K13" i="35" s="1"/>
  <c r="D13" i="41"/>
  <c r="I13" i="41" s="1"/>
  <c r="K13" i="41" s="1"/>
  <c r="I16" i="41"/>
  <c r="K16" i="41" s="1"/>
  <c r="I52" i="66"/>
  <c r="K52" i="66" s="1"/>
  <c r="I51" i="66"/>
  <c r="K51" i="66" s="1"/>
  <c r="K54" i="55"/>
  <c r="G63" i="55" s="1"/>
  <c r="K54" i="54"/>
  <c r="G63" i="54" s="1"/>
  <c r="K54" i="61"/>
  <c r="G63" i="61" s="1"/>
  <c r="G64" i="61" s="1"/>
  <c r="G65" i="61" s="1"/>
  <c r="G67" i="61" s="1"/>
  <c r="XFD67" i="61" s="1"/>
  <c r="I18" i="34"/>
  <c r="K18" i="34" s="1"/>
  <c r="D13" i="32"/>
  <c r="I13" i="32" s="1"/>
  <c r="K13" i="32" s="1"/>
  <c r="I16" i="33"/>
  <c r="K16" i="33" s="1"/>
  <c r="D13" i="39"/>
  <c r="D50" i="39" s="1"/>
  <c r="F50" i="39" s="1"/>
  <c r="F55" i="39" s="1"/>
  <c r="I18" i="42"/>
  <c r="K18" i="42" s="1"/>
  <c r="I16" i="37"/>
  <c r="K16" i="37" s="1"/>
  <c r="I16" i="42"/>
  <c r="K16" i="42" s="1"/>
  <c r="D14" i="37"/>
  <c r="I14" i="37" s="1"/>
  <c r="K14" i="37" s="1"/>
  <c r="I17" i="37"/>
  <c r="K17" i="37" s="1"/>
  <c r="I18" i="40"/>
  <c r="K18" i="40" s="1"/>
  <c r="I17" i="36"/>
  <c r="K17" i="36" s="1"/>
  <c r="D13" i="37"/>
  <c r="F13" i="37" s="1"/>
  <c r="D14" i="42"/>
  <c r="I14" i="42" s="1"/>
  <c r="K14" i="42" s="1"/>
  <c r="I18" i="37"/>
  <c r="K18" i="37" s="1"/>
  <c r="I17" i="40"/>
  <c r="K17" i="40" s="1"/>
  <c r="I18" i="36"/>
  <c r="K18" i="36" s="1"/>
  <c r="D13" i="40"/>
  <c r="F13" i="40" s="1"/>
  <c r="I17" i="32"/>
  <c r="K17" i="32" s="1"/>
  <c r="D13" i="36"/>
  <c r="I13" i="36" s="1"/>
  <c r="K13" i="36" s="1"/>
  <c r="D13" i="34"/>
  <c r="F13" i="34" s="1"/>
  <c r="I16" i="39"/>
  <c r="K16" i="39" s="1"/>
  <c r="D13" i="38"/>
  <c r="I13" i="38" s="1"/>
  <c r="K13" i="38" s="1"/>
  <c r="D14" i="40"/>
  <c r="I14" i="40" s="1"/>
  <c r="K14" i="40" s="1"/>
  <c r="D13" i="33"/>
  <c r="I16" i="40"/>
  <c r="K16" i="40" s="1"/>
  <c r="I17" i="41"/>
  <c r="K17" i="41" s="1"/>
  <c r="I16" i="34"/>
  <c r="K16" i="34" s="1"/>
  <c r="I18" i="35"/>
  <c r="K18" i="35" s="1"/>
  <c r="I18" i="41"/>
  <c r="K18" i="41" s="1"/>
  <c r="I17" i="35"/>
  <c r="K17" i="35" s="1"/>
  <c r="D14" i="39"/>
  <c r="I14" i="39" s="1"/>
  <c r="K14" i="39" s="1"/>
  <c r="I15" i="40"/>
  <c r="K15" i="40" s="1"/>
  <c r="I17" i="33"/>
  <c r="K17" i="33" s="1"/>
  <c r="D12" i="20"/>
  <c r="D13" i="19"/>
  <c r="I17" i="19"/>
  <c r="K17" i="19" s="1"/>
  <c r="D13" i="16"/>
  <c r="I19" i="21"/>
  <c r="K19" i="21" s="1"/>
  <c r="I17" i="21"/>
  <c r="K17" i="21" s="1"/>
  <c r="I16" i="35"/>
  <c r="K16" i="35" s="1"/>
  <c r="I16" i="36"/>
  <c r="K16" i="36" s="1"/>
  <c r="D13" i="24"/>
  <c r="D13" i="17"/>
  <c r="I17" i="17"/>
  <c r="K17" i="17" s="1"/>
  <c r="D13" i="23"/>
  <c r="K16" i="49"/>
  <c r="D13" i="27"/>
  <c r="D50" i="27" s="1"/>
  <c r="D13" i="30"/>
  <c r="D50" i="30" s="1"/>
  <c r="I17" i="26"/>
  <c r="K17" i="26" s="1"/>
  <c r="I17" i="25"/>
  <c r="K17" i="25" s="1"/>
  <c r="I17" i="27"/>
  <c r="K17" i="27" s="1"/>
  <c r="I19" i="25"/>
  <c r="K19" i="25" s="1"/>
  <c r="I19" i="26"/>
  <c r="K19" i="26" s="1"/>
  <c r="I18" i="25"/>
  <c r="K18" i="25" s="1"/>
  <c r="I18" i="26"/>
  <c r="K18" i="26" s="1"/>
  <c r="K24" i="28"/>
  <c r="G62" i="28" s="1"/>
  <c r="D15" i="25"/>
  <c r="D15" i="26"/>
  <c r="G59" i="28"/>
  <c r="G67" i="28"/>
  <c r="G60" i="28"/>
  <c r="F50" i="31"/>
  <c r="F55" i="31" s="1"/>
  <c r="I13" i="31"/>
  <c r="K13" i="31" s="1"/>
  <c r="F13" i="31"/>
  <c r="K17" i="22"/>
  <c r="K19" i="22"/>
  <c r="I15" i="32"/>
  <c r="K15" i="32" s="1"/>
  <c r="I15" i="31"/>
  <c r="I18" i="19"/>
  <c r="K18" i="19" s="1"/>
  <c r="I19" i="19"/>
  <c r="K19" i="19" s="1"/>
  <c r="I13" i="26"/>
  <c r="K13" i="26" s="1"/>
  <c r="I13" i="29"/>
  <c r="K13" i="29" s="1"/>
  <c r="I19" i="17"/>
  <c r="K19" i="17" s="1"/>
  <c r="I18" i="17"/>
  <c r="K18" i="17" s="1"/>
  <c r="D13" i="21"/>
  <c r="D52" i="21" s="1"/>
  <c r="E65" i="6"/>
  <c r="D65" i="6"/>
  <c r="E60" i="6"/>
  <c r="D60" i="6"/>
  <c r="E24" i="6"/>
  <c r="D24" i="6"/>
  <c r="F13" i="41" l="1"/>
  <c r="D50" i="42"/>
  <c r="F50" i="42" s="1"/>
  <c r="F55" i="42" s="1"/>
  <c r="F13" i="42"/>
  <c r="D50" i="41"/>
  <c r="F50" i="41" s="1"/>
  <c r="F55" i="41" s="1"/>
  <c r="I18" i="33"/>
  <c r="K18" i="33" s="1"/>
  <c r="D50" i="38"/>
  <c r="F50" i="38" s="1"/>
  <c r="F55" i="38" s="1"/>
  <c r="F13" i="38"/>
  <c r="D50" i="35"/>
  <c r="F50" i="35" s="1"/>
  <c r="F55" i="35" s="1"/>
  <c r="D52" i="24"/>
  <c r="F52" i="24" s="1"/>
  <c r="F57" i="24" s="1"/>
  <c r="F13" i="16"/>
  <c r="I14" i="21"/>
  <c r="K14" i="21" s="1"/>
  <c r="I14" i="30"/>
  <c r="K14" i="30" s="1"/>
  <c r="D14" i="30"/>
  <c r="F14" i="30" s="1"/>
  <c r="D14" i="27"/>
  <c r="F14" i="27" s="1"/>
  <c r="D14" i="24"/>
  <c r="F14" i="24" s="1"/>
  <c r="D52" i="23"/>
  <c r="F52" i="23" s="1"/>
  <c r="F57" i="23" s="1"/>
  <c r="I14" i="23"/>
  <c r="K14" i="23" s="1"/>
  <c r="I14" i="26"/>
  <c r="K14" i="26" s="1"/>
  <c r="I14" i="19"/>
  <c r="K14" i="19" s="1"/>
  <c r="I14" i="29"/>
  <c r="K14" i="29" s="1"/>
  <c r="D14" i="23"/>
  <c r="F14" i="23" s="1"/>
  <c r="D14" i="26"/>
  <c r="F14" i="26" s="1"/>
  <c r="D14" i="29"/>
  <c r="F14" i="29" s="1"/>
  <c r="F13" i="17"/>
  <c r="D52" i="17"/>
  <c r="F52" i="17" s="1"/>
  <c r="F57" i="17" s="1"/>
  <c r="F13" i="19"/>
  <c r="D52" i="19"/>
  <c r="F52" i="19" s="1"/>
  <c r="F57" i="19" s="1"/>
  <c r="I13" i="33"/>
  <c r="K13" i="33" s="1"/>
  <c r="D50" i="33"/>
  <c r="F50" i="33" s="1"/>
  <c r="F55" i="33" s="1"/>
  <c r="D45" i="20"/>
  <c r="F45" i="20" s="1"/>
  <c r="F50" i="20" s="1"/>
  <c r="I14" i="24"/>
  <c r="K14" i="24" s="1"/>
  <c r="I14" i="27"/>
  <c r="K14" i="27" s="1"/>
  <c r="I13" i="37"/>
  <c r="K13" i="37" s="1"/>
  <c r="F13" i="35"/>
  <c r="D50" i="32"/>
  <c r="F50" i="32" s="1"/>
  <c r="F55" i="32" s="1"/>
  <c r="F13" i="32"/>
  <c r="F13" i="24"/>
  <c r="G64" i="54"/>
  <c r="G65" i="54" s="1"/>
  <c r="G67" i="54" s="1"/>
  <c r="XFD67" i="54" s="1"/>
  <c r="G64" i="55"/>
  <c r="G65" i="55" s="1"/>
  <c r="G67" i="55" s="1"/>
  <c r="XFD67" i="55" s="1"/>
  <c r="G64" i="53"/>
  <c r="G65" i="53" s="1"/>
  <c r="G67" i="53" s="1"/>
  <c r="XFD67" i="53" s="1"/>
  <c r="D15" i="23"/>
  <c r="I15" i="23" s="1"/>
  <c r="K15" i="23" s="1"/>
  <c r="F13" i="39"/>
  <c r="K54" i="66"/>
  <c r="G63" i="66" s="1"/>
  <c r="I13" i="39"/>
  <c r="K13" i="39" s="1"/>
  <c r="F14" i="37"/>
  <c r="F23" i="37" s="1"/>
  <c r="I15" i="38"/>
  <c r="K15" i="38" s="1"/>
  <c r="D50" i="37"/>
  <c r="F50" i="37" s="1"/>
  <c r="F55" i="37" s="1"/>
  <c r="K22" i="49"/>
  <c r="G61" i="49" s="1"/>
  <c r="G63" i="28"/>
  <c r="I13" i="40"/>
  <c r="K13" i="40" s="1"/>
  <c r="K23" i="40" s="1"/>
  <c r="G62" i="40" s="1"/>
  <c r="D50" i="40"/>
  <c r="F50" i="40" s="1"/>
  <c r="F55" i="40" s="1"/>
  <c r="F14" i="39"/>
  <c r="D50" i="34"/>
  <c r="F50" i="34" s="1"/>
  <c r="F55" i="34" s="1"/>
  <c r="I13" i="34"/>
  <c r="K13" i="34" s="1"/>
  <c r="F14" i="40"/>
  <c r="F23" i="40" s="1"/>
  <c r="F12" i="20"/>
  <c r="I15" i="41"/>
  <c r="K15" i="41" s="1"/>
  <c r="F13" i="33"/>
  <c r="F14" i="42"/>
  <c r="D50" i="36"/>
  <c r="F50" i="36" s="1"/>
  <c r="F55" i="36" s="1"/>
  <c r="D14" i="36"/>
  <c r="I15" i="37"/>
  <c r="K15" i="37" s="1"/>
  <c r="F13" i="36"/>
  <c r="D14" i="32"/>
  <c r="I15" i="33"/>
  <c r="K15" i="33" s="1"/>
  <c r="D14" i="38"/>
  <c r="I15" i="39"/>
  <c r="K15" i="39" s="1"/>
  <c r="D14" i="33"/>
  <c r="I15" i="34"/>
  <c r="K15" i="34" s="1"/>
  <c r="D14" i="35"/>
  <c r="I15" i="36"/>
  <c r="K15" i="36" s="1"/>
  <c r="D15" i="24"/>
  <c r="I15" i="24" s="1"/>
  <c r="K15" i="24" s="1"/>
  <c r="D14" i="41"/>
  <c r="I15" i="42"/>
  <c r="K15" i="42" s="1"/>
  <c r="K23" i="42" s="1"/>
  <c r="G62" i="42" s="1"/>
  <c r="D14" i="34"/>
  <c r="I15" i="35"/>
  <c r="K15" i="35" s="1"/>
  <c r="F13" i="23"/>
  <c r="D13" i="29"/>
  <c r="F13" i="29" s="1"/>
  <c r="D13" i="26"/>
  <c r="G61" i="28"/>
  <c r="I18" i="23"/>
  <c r="K18" i="23" s="1"/>
  <c r="I17" i="23"/>
  <c r="K17" i="23" s="1"/>
  <c r="I15" i="26"/>
  <c r="K15" i="26" s="1"/>
  <c r="F15" i="26"/>
  <c r="I15" i="25"/>
  <c r="K15" i="25" s="1"/>
  <c r="F15" i="25"/>
  <c r="F24" i="25" s="1"/>
  <c r="G58" i="25" s="1"/>
  <c r="F13" i="30"/>
  <c r="F50" i="30"/>
  <c r="F55" i="30" s="1"/>
  <c r="I19" i="24"/>
  <c r="K19" i="24" s="1"/>
  <c r="I18" i="24"/>
  <c r="K18" i="24" s="1"/>
  <c r="I17" i="24"/>
  <c r="K17" i="24" s="1"/>
  <c r="I19" i="23"/>
  <c r="K19" i="23" s="1"/>
  <c r="I16" i="25"/>
  <c r="K16" i="25" s="1"/>
  <c r="I16" i="26"/>
  <c r="K16" i="26" s="1"/>
  <c r="F13" i="27"/>
  <c r="F50" i="27"/>
  <c r="F55" i="27" s="1"/>
  <c r="D15" i="21"/>
  <c r="K18" i="22"/>
  <c r="I18" i="21"/>
  <c r="K18" i="21" s="1"/>
  <c r="I16" i="19"/>
  <c r="K16" i="19" s="1"/>
  <c r="D15" i="19"/>
  <c r="F13" i="21"/>
  <c r="F52" i="21"/>
  <c r="D15" i="16"/>
  <c r="I15" i="16" s="1"/>
  <c r="K15" i="16" s="1"/>
  <c r="I16" i="16"/>
  <c r="I16" i="23"/>
  <c r="K16" i="23" s="1"/>
  <c r="I16" i="17"/>
  <c r="K16" i="17" s="1"/>
  <c r="D15" i="17"/>
  <c r="D14" i="20"/>
  <c r="I14" i="20" s="1"/>
  <c r="K14" i="20" s="1"/>
  <c r="I15" i="20"/>
  <c r="I16" i="24"/>
  <c r="K16" i="24" s="1"/>
  <c r="D67" i="6"/>
  <c r="E67" i="6" s="1"/>
  <c r="F23" i="42" l="1"/>
  <c r="G58" i="42" s="1"/>
  <c r="G60" i="42" s="1"/>
  <c r="F23" i="39"/>
  <c r="G58" i="39" s="1"/>
  <c r="G67" i="39" s="1"/>
  <c r="G58" i="40"/>
  <c r="G60" i="40" s="1"/>
  <c r="D50" i="26"/>
  <c r="F50" i="26" s="1"/>
  <c r="F55" i="26" s="1"/>
  <c r="F13" i="26"/>
  <c r="F24" i="26" s="1"/>
  <c r="G58" i="37"/>
  <c r="G60" i="37" s="1"/>
  <c r="K23" i="37"/>
  <c r="G64" i="66"/>
  <c r="G65" i="66" s="1"/>
  <c r="G67" i="66" s="1"/>
  <c r="XFD67" i="66" s="1"/>
  <c r="G62" i="49"/>
  <c r="G64" i="49" s="1"/>
  <c r="G65" i="49" s="1"/>
  <c r="G67" i="49" s="1"/>
  <c r="XFD67" i="49" s="1"/>
  <c r="K23" i="39"/>
  <c r="F15" i="23"/>
  <c r="F24" i="23" s="1"/>
  <c r="G63" i="42"/>
  <c r="G63" i="40"/>
  <c r="F15" i="24"/>
  <c r="F24" i="24" s="1"/>
  <c r="I14" i="36"/>
  <c r="K14" i="36" s="1"/>
  <c r="K23" i="36" s="1"/>
  <c r="G62" i="36" s="1"/>
  <c r="F14" i="36"/>
  <c r="F23" i="36" s="1"/>
  <c r="G58" i="36" s="1"/>
  <c r="F14" i="32"/>
  <c r="F23" i="32" s="1"/>
  <c r="I14" i="32"/>
  <c r="K14" i="32" s="1"/>
  <c r="K23" i="32" s="1"/>
  <c r="G62" i="32" s="1"/>
  <c r="I14" i="34"/>
  <c r="K14" i="34" s="1"/>
  <c r="K23" i="34" s="1"/>
  <c r="G62" i="34" s="1"/>
  <c r="F14" i="34"/>
  <c r="F23" i="34" s="1"/>
  <c r="I14" i="33"/>
  <c r="K14" i="33" s="1"/>
  <c r="K23" i="33" s="1"/>
  <c r="G62" i="33" s="1"/>
  <c r="F14" i="33"/>
  <c r="F23" i="33" s="1"/>
  <c r="F14" i="41"/>
  <c r="F23" i="41" s="1"/>
  <c r="I14" i="41"/>
  <c r="K14" i="41" s="1"/>
  <c r="K23" i="41" s="1"/>
  <c r="G62" i="41" s="1"/>
  <c r="F14" i="35"/>
  <c r="F23" i="35" s="1"/>
  <c r="I14" i="35"/>
  <c r="K14" i="35" s="1"/>
  <c r="K23" i="35" s="1"/>
  <c r="G62" i="35" s="1"/>
  <c r="I14" i="38"/>
  <c r="K14" i="38" s="1"/>
  <c r="K23" i="38" s="1"/>
  <c r="G62" i="38" s="1"/>
  <c r="F14" i="38"/>
  <c r="F23" i="38" s="1"/>
  <c r="D50" i="29"/>
  <c r="F50" i="29" s="1"/>
  <c r="F55" i="29" s="1"/>
  <c r="K24" i="25"/>
  <c r="G62" i="25" s="1"/>
  <c r="D15" i="30"/>
  <c r="I19" i="27"/>
  <c r="K19" i="27" s="1"/>
  <c r="K18" i="31"/>
  <c r="I19" i="30"/>
  <c r="K19" i="30" s="1"/>
  <c r="I18" i="27"/>
  <c r="K18" i="27" s="1"/>
  <c r="K17" i="31"/>
  <c r="I18" i="30"/>
  <c r="K18" i="30" s="1"/>
  <c r="I16" i="29"/>
  <c r="K16" i="29" s="1"/>
  <c r="D15" i="29"/>
  <c r="K24" i="26"/>
  <c r="G62" i="26" s="1"/>
  <c r="I17" i="29"/>
  <c r="K17" i="29" s="1"/>
  <c r="I19" i="29"/>
  <c r="K19" i="29" s="1"/>
  <c r="K24" i="24"/>
  <c r="G64" i="24" s="1"/>
  <c r="I18" i="29"/>
  <c r="K18" i="29" s="1"/>
  <c r="F15" i="16"/>
  <c r="I17" i="30"/>
  <c r="K17" i="30" s="1"/>
  <c r="K16" i="31"/>
  <c r="K24" i="23"/>
  <c r="G67" i="25"/>
  <c r="G60" i="25"/>
  <c r="G59" i="25"/>
  <c r="I15" i="19"/>
  <c r="K15" i="19" s="1"/>
  <c r="K24" i="19" s="1"/>
  <c r="G64" i="19" s="1"/>
  <c r="F15" i="19"/>
  <c r="F24" i="19" s="1"/>
  <c r="G60" i="19" s="1"/>
  <c r="F57" i="21"/>
  <c r="F15" i="21"/>
  <c r="F24" i="21" s="1"/>
  <c r="I15" i="21"/>
  <c r="K15" i="21" s="1"/>
  <c r="I15" i="22"/>
  <c r="K15" i="22" s="1"/>
  <c r="F15" i="22"/>
  <c r="F24" i="22" s="1"/>
  <c r="G60" i="22" s="1"/>
  <c r="I16" i="21"/>
  <c r="K16" i="21" s="1"/>
  <c r="K16" i="22"/>
  <c r="K15" i="20"/>
  <c r="K25" i="20" s="1"/>
  <c r="G57" i="20" s="1"/>
  <c r="F14" i="20"/>
  <c r="K16" i="16"/>
  <c r="F15" i="17"/>
  <c r="I15" i="17"/>
  <c r="K15" i="17" s="1"/>
  <c r="K24" i="17" s="1"/>
  <c r="G64" i="17" s="1"/>
  <c r="G60" i="39" l="1"/>
  <c r="G67" i="42"/>
  <c r="G59" i="42"/>
  <c r="G61" i="42" s="1"/>
  <c r="G59" i="39"/>
  <c r="G61" i="39" s="1"/>
  <c r="G60" i="21"/>
  <c r="G69" i="21" s="1"/>
  <c r="G58" i="26"/>
  <c r="G60" i="26" s="1"/>
  <c r="G64" i="23"/>
  <c r="G65" i="23" s="1"/>
  <c r="G58" i="38"/>
  <c r="G60" i="38" s="1"/>
  <c r="G58" i="34"/>
  <c r="G67" i="34" s="1"/>
  <c r="G62" i="37"/>
  <c r="G63" i="37" s="1"/>
  <c r="G58" i="35"/>
  <c r="G59" i="35" s="1"/>
  <c r="G58" i="32"/>
  <c r="G59" i="32" s="1"/>
  <c r="G62" i="39"/>
  <c r="G63" i="39" s="1"/>
  <c r="G58" i="33"/>
  <c r="G59" i="33" s="1"/>
  <c r="G58" i="41"/>
  <c r="G59" i="41" s="1"/>
  <c r="G60" i="24"/>
  <c r="G61" i="24" s="1"/>
  <c r="G60" i="23"/>
  <c r="G62" i="23" s="1"/>
  <c r="G67" i="40"/>
  <c r="G59" i="40"/>
  <c r="G61" i="40" s="1"/>
  <c r="G67" i="37"/>
  <c r="G59" i="37"/>
  <c r="G61" i="37" s="1"/>
  <c r="G63" i="38"/>
  <c r="G63" i="34"/>
  <c r="G63" i="35"/>
  <c r="G63" i="32"/>
  <c r="G65" i="19"/>
  <c r="G63" i="41"/>
  <c r="G63" i="36"/>
  <c r="G65" i="24"/>
  <c r="G63" i="26"/>
  <c r="G63" i="25"/>
  <c r="G63" i="33"/>
  <c r="G58" i="20"/>
  <c r="G59" i="36"/>
  <c r="G60" i="36"/>
  <c r="G67" i="36"/>
  <c r="K24" i="21"/>
  <c r="G64" i="21" s="1"/>
  <c r="G61" i="25"/>
  <c r="I15" i="30"/>
  <c r="K15" i="30" s="1"/>
  <c r="F15" i="30"/>
  <c r="F24" i="30" s="1"/>
  <c r="G58" i="30" s="1"/>
  <c r="I16" i="27"/>
  <c r="K16" i="27" s="1"/>
  <c r="D15" i="27"/>
  <c r="I14" i="31"/>
  <c r="K14" i="31" s="1"/>
  <c r="F14" i="31"/>
  <c r="F23" i="31" s="1"/>
  <c r="G58" i="31" s="1"/>
  <c r="K15" i="31"/>
  <c r="I16" i="30"/>
  <c r="K16" i="30" s="1"/>
  <c r="K24" i="22"/>
  <c r="G64" i="22" s="1"/>
  <c r="I15" i="29"/>
  <c r="K15" i="29" s="1"/>
  <c r="K24" i="29" s="1"/>
  <c r="G62" i="29" s="1"/>
  <c r="F15" i="29"/>
  <c r="F24" i="29" s="1"/>
  <c r="G58" i="29" s="1"/>
  <c r="G69" i="19"/>
  <c r="G61" i="19"/>
  <c r="G62" i="19"/>
  <c r="F24" i="17"/>
  <c r="G60" i="17" s="1"/>
  <c r="G69" i="22"/>
  <c r="G62" i="22"/>
  <c r="G61" i="22"/>
  <c r="F25" i="20"/>
  <c r="G53" i="20" s="1"/>
  <c r="G59" i="38" l="1"/>
  <c r="G61" i="38" s="1"/>
  <c r="G60" i="35"/>
  <c r="G61" i="35" s="1"/>
  <c r="G59" i="26"/>
  <c r="G61" i="26" s="1"/>
  <c r="G67" i="38"/>
  <c r="G67" i="35"/>
  <c r="G67" i="26"/>
  <c r="G67" i="41"/>
  <c r="G59" i="34"/>
  <c r="G60" i="34"/>
  <c r="G60" i="32"/>
  <c r="G61" i="32" s="1"/>
  <c r="G67" i="32"/>
  <c r="G60" i="33"/>
  <c r="G61" i="33" s="1"/>
  <c r="G60" i="41"/>
  <c r="G61" i="41" s="1"/>
  <c r="G67" i="33"/>
  <c r="G62" i="24"/>
  <c r="G63" i="24" s="1"/>
  <c r="G69" i="24"/>
  <c r="G69" i="23"/>
  <c r="G61" i="23"/>
  <c r="G63" i="23" s="1"/>
  <c r="G55" i="20"/>
  <c r="G65" i="21"/>
  <c r="G63" i="29"/>
  <c r="G65" i="22"/>
  <c r="G65" i="17"/>
  <c r="G62" i="21"/>
  <c r="G61" i="36"/>
  <c r="G61" i="21"/>
  <c r="K23" i="31"/>
  <c r="G62" i="31" s="1"/>
  <c r="G63" i="19"/>
  <c r="I15" i="27"/>
  <c r="K15" i="27" s="1"/>
  <c r="K24" i="27" s="1"/>
  <c r="G62" i="27" s="1"/>
  <c r="F15" i="27"/>
  <c r="G59" i="29"/>
  <c r="G67" i="29"/>
  <c r="G60" i="29"/>
  <c r="G67" i="30"/>
  <c r="G60" i="30"/>
  <c r="G59" i="30"/>
  <c r="G59" i="31"/>
  <c r="G67" i="31"/>
  <c r="G60" i="31"/>
  <c r="K24" i="30"/>
  <c r="G62" i="30" s="1"/>
  <c r="G63" i="22"/>
  <c r="G62" i="17"/>
  <c r="G61" i="17"/>
  <c r="G69" i="17"/>
  <c r="G61" i="34" l="1"/>
  <c r="G62" i="20"/>
  <c r="G54" i="20"/>
  <c r="G56" i="20" s="1"/>
  <c r="G63" i="30"/>
  <c r="G63" i="27"/>
  <c r="G63" i="31"/>
  <c r="G63" i="21"/>
  <c r="G63" i="17"/>
  <c r="G61" i="30"/>
  <c r="G61" i="31"/>
  <c r="G61" i="29"/>
  <c r="F24" i="27"/>
  <c r="G58" i="27" s="1"/>
  <c r="G60" i="27" l="1"/>
  <c r="G67" i="27"/>
  <c r="G59" i="27"/>
  <c r="G61" i="27" l="1"/>
  <c r="I51" i="56" l="1"/>
  <c r="K51" i="56" s="1"/>
  <c r="I52" i="56"/>
  <c r="K52" i="56" s="1"/>
  <c r="K54" i="56" l="1"/>
  <c r="G63" i="56" s="1"/>
  <c r="I53" i="28"/>
  <c r="K53" i="28" s="1"/>
  <c r="I54" i="35" l="1"/>
  <c r="K54" i="35" s="1"/>
  <c r="G64" i="56"/>
  <c r="G65" i="56" s="1"/>
  <c r="G67" i="56" s="1"/>
  <c r="XFD67" i="56" s="1"/>
  <c r="I53" i="36"/>
  <c r="K53" i="36" s="1"/>
  <c r="I54" i="42"/>
  <c r="K54" i="42" s="1"/>
  <c r="I54" i="28"/>
  <c r="K54" i="28" s="1"/>
  <c r="K55" i="28" s="1"/>
  <c r="G64" i="28" s="1"/>
  <c r="I55" i="23"/>
  <c r="I54" i="36"/>
  <c r="K54" i="36" s="1"/>
  <c r="I54" i="31"/>
  <c r="I54" i="40"/>
  <c r="K54" i="40" s="1"/>
  <c r="I53" i="31"/>
  <c r="I53" i="39"/>
  <c r="K53" i="39" s="1"/>
  <c r="I53" i="34"/>
  <c r="K53" i="34" s="1"/>
  <c r="I53" i="42"/>
  <c r="K53" i="42" s="1"/>
  <c r="I54" i="34"/>
  <c r="K54" i="34" s="1"/>
  <c r="I54" i="32"/>
  <c r="K54" i="32" s="1"/>
  <c r="I53" i="33"/>
  <c r="K53" i="33" s="1"/>
  <c r="I53" i="41"/>
  <c r="K53" i="41" s="1"/>
  <c r="I56" i="21"/>
  <c r="K56" i="21" s="1"/>
  <c r="I54" i="37"/>
  <c r="K54" i="37" s="1"/>
  <c r="I54" i="38"/>
  <c r="K54" i="38" s="1"/>
  <c r="I53" i="35"/>
  <c r="K53" i="35" s="1"/>
  <c r="I55" i="21"/>
  <c r="K55" i="21" s="1"/>
  <c r="I54" i="41"/>
  <c r="K54" i="41" s="1"/>
  <c r="I56" i="22"/>
  <c r="K56" i="22" s="1"/>
  <c r="I53" i="38"/>
  <c r="K53" i="38" s="1"/>
  <c r="I55" i="22"/>
  <c r="K55" i="22" s="1"/>
  <c r="I54" i="33"/>
  <c r="K54" i="33" s="1"/>
  <c r="K55" i="38" l="1"/>
  <c r="G64" i="38" s="1"/>
  <c r="G65" i="38" s="1"/>
  <c r="G66" i="38" s="1"/>
  <c r="G68" i="38" s="1"/>
  <c r="XFD68" i="38" s="1"/>
  <c r="K55" i="36"/>
  <c r="G64" i="36" s="1"/>
  <c r="G65" i="36" s="1"/>
  <c r="G66" i="36" s="1"/>
  <c r="G68" i="36" s="1"/>
  <c r="XFD68" i="36" s="1"/>
  <c r="G65" i="28"/>
  <c r="G66" i="28" s="1"/>
  <c r="G68" i="28" s="1"/>
  <c r="XFD68" i="28" s="1"/>
  <c r="I53" i="40"/>
  <c r="K53" i="40" s="1"/>
  <c r="K55" i="40" s="1"/>
  <c r="G64" i="40" s="1"/>
  <c r="K55" i="42"/>
  <c r="G64" i="42" s="1"/>
  <c r="K55" i="34"/>
  <c r="G64" i="34" s="1"/>
  <c r="K55" i="35"/>
  <c r="G64" i="35" s="1"/>
  <c r="K55" i="41"/>
  <c r="G64" i="41" s="1"/>
  <c r="I49" i="20"/>
  <c r="K49" i="20" s="1"/>
  <c r="I48" i="20"/>
  <c r="K48" i="20" s="1"/>
  <c r="K55" i="33"/>
  <c r="G64" i="33" s="1"/>
  <c r="K55" i="23"/>
  <c r="I53" i="25"/>
  <c r="K53" i="25" s="1"/>
  <c r="I53" i="37"/>
  <c r="K53" i="37" s="1"/>
  <c r="K55" i="37" s="1"/>
  <c r="G64" i="37" s="1"/>
  <c r="I56" i="19"/>
  <c r="K56" i="19" s="1"/>
  <c r="I55" i="19"/>
  <c r="K55" i="19" s="1"/>
  <c r="K57" i="22"/>
  <c r="G66" i="22" s="1"/>
  <c r="K57" i="21"/>
  <c r="G66" i="21" s="1"/>
  <c r="I54" i="39"/>
  <c r="K54" i="39" s="1"/>
  <c r="K55" i="39" s="1"/>
  <c r="G64" i="39" s="1"/>
  <c r="I56" i="24"/>
  <c r="I54" i="25"/>
  <c r="I56" i="23"/>
  <c r="K56" i="23" s="1"/>
  <c r="K57" i="23" s="1"/>
  <c r="G66" i="23" s="1"/>
  <c r="I53" i="32"/>
  <c r="K53" i="32" s="1"/>
  <c r="K55" i="32" s="1"/>
  <c r="G64" i="32" s="1"/>
  <c r="I55" i="17"/>
  <c r="K55" i="17" s="1"/>
  <c r="I56" i="17"/>
  <c r="K56" i="17" s="1"/>
  <c r="I53" i="16"/>
  <c r="G67" i="22" l="1"/>
  <c r="G68" i="22" s="1"/>
  <c r="G70" i="22" s="1"/>
  <c r="XFD70" i="22" s="1"/>
  <c r="G65" i="40"/>
  <c r="G66" i="40" s="1"/>
  <c r="G68" i="40" s="1"/>
  <c r="XFD68" i="40" s="1"/>
  <c r="G65" i="42"/>
  <c r="G66" i="42" s="1"/>
  <c r="G68" i="42" s="1"/>
  <c r="XFD68" i="42" s="1"/>
  <c r="G65" i="41"/>
  <c r="G66" i="41" s="1"/>
  <c r="G68" i="41" s="1"/>
  <c r="XFD68" i="41" s="1"/>
  <c r="G65" i="32"/>
  <c r="G66" i="32" s="1"/>
  <c r="G68" i="32" s="1"/>
  <c r="XFD68" i="32" s="1"/>
  <c r="G65" i="33"/>
  <c r="G66" i="33" s="1"/>
  <c r="G68" i="33" s="1"/>
  <c r="XFD68" i="33" s="1"/>
  <c r="G65" i="39"/>
  <c r="G66" i="39" s="1"/>
  <c r="G68" i="39" s="1"/>
  <c r="XFD68" i="39" s="1"/>
  <c r="G65" i="37"/>
  <c r="G66" i="37" s="1"/>
  <c r="G68" i="37" s="1"/>
  <c r="XFD68" i="37" s="1"/>
  <c r="G65" i="35"/>
  <c r="G66" i="35" s="1"/>
  <c r="G68" i="35" s="1"/>
  <c r="XFD68" i="35" s="1"/>
  <c r="G67" i="21"/>
  <c r="G68" i="21" s="1"/>
  <c r="G70" i="21" s="1"/>
  <c r="XFD70" i="21" s="1"/>
  <c r="G65" i="34"/>
  <c r="G66" i="34" s="1"/>
  <c r="G68" i="34" s="1"/>
  <c r="XFD68" i="34" s="1"/>
  <c r="G67" i="23"/>
  <c r="G68" i="23" s="1"/>
  <c r="G70" i="23" s="1"/>
  <c r="XFD70" i="23" s="1"/>
  <c r="K50" i="20"/>
  <c r="G59" i="20" s="1"/>
  <c r="K57" i="17"/>
  <c r="G66" i="17" s="1"/>
  <c r="K57" i="19"/>
  <c r="G66" i="19" s="1"/>
  <c r="I54" i="16"/>
  <c r="K54" i="16" s="1"/>
  <c r="I54" i="30"/>
  <c r="K54" i="30" s="1"/>
  <c r="K54" i="31"/>
  <c r="K53" i="31"/>
  <c r="I55" i="24"/>
  <c r="K55" i="24" s="1"/>
  <c r="K56" i="24"/>
  <c r="K54" i="25"/>
  <c r="K55" i="25" s="1"/>
  <c r="G64" i="25" s="1"/>
  <c r="I54" i="26"/>
  <c r="K54" i="26" s="1"/>
  <c r="I54" i="29"/>
  <c r="K54" i="29" s="1"/>
  <c r="K53" i="16"/>
  <c r="I53" i="29"/>
  <c r="K53" i="29" s="1"/>
  <c r="I53" i="26"/>
  <c r="K53" i="26" s="1"/>
  <c r="I53" i="30"/>
  <c r="K53" i="30" s="1"/>
  <c r="K55" i="29" l="1"/>
  <c r="G64" i="29" s="1"/>
  <c r="G65" i="29" s="1"/>
  <c r="G66" i="29" s="1"/>
  <c r="G68" i="29" s="1"/>
  <c r="XFD68" i="29" s="1"/>
  <c r="G65" i="25"/>
  <c r="G66" i="25" s="1"/>
  <c r="G68" i="25" s="1"/>
  <c r="XFD68" i="25" s="1"/>
  <c r="G67" i="19"/>
  <c r="G68" i="19" s="1"/>
  <c r="G70" i="19" s="1"/>
  <c r="XFD70" i="19" s="1"/>
  <c r="G67" i="17"/>
  <c r="G68" i="17" s="1"/>
  <c r="G70" i="17" s="1"/>
  <c r="XFD70" i="17" s="1"/>
  <c r="G60" i="20"/>
  <c r="G61" i="20" s="1"/>
  <c r="G63" i="20" s="1"/>
  <c r="XFD63" i="20" s="1"/>
  <c r="K55" i="30"/>
  <c r="G64" i="30" s="1"/>
  <c r="K55" i="26"/>
  <c r="G64" i="26" s="1"/>
  <c r="K57" i="24"/>
  <c r="G66" i="24" s="1"/>
  <c r="I54" i="27"/>
  <c r="K54" i="27" s="1"/>
  <c r="K55" i="31"/>
  <c r="G64" i="31" s="1"/>
  <c r="K55" i="16"/>
  <c r="G64" i="16" s="1"/>
  <c r="I53" i="27"/>
  <c r="K53" i="27" s="1"/>
  <c r="G65" i="31" l="1"/>
  <c r="G66" i="31" s="1"/>
  <c r="G68" i="31" s="1"/>
  <c r="XFD68" i="31" s="1"/>
  <c r="G67" i="24"/>
  <c r="G68" i="24" s="1"/>
  <c r="G70" i="24" s="1"/>
  <c r="XFD70" i="24" s="1"/>
  <c r="G65" i="26"/>
  <c r="G66" i="26" s="1"/>
  <c r="G68" i="26" s="1"/>
  <c r="XFD68" i="26" s="1"/>
  <c r="G65" i="30"/>
  <c r="G66" i="30" s="1"/>
  <c r="G68" i="30" s="1"/>
  <c r="XFD68" i="30" s="1"/>
  <c r="K55" i="27"/>
  <c r="G64" i="27" s="1"/>
  <c r="K35" i="106"/>
  <c r="M35" i="106" s="1"/>
  <c r="G65" i="27" l="1"/>
  <c r="G66" i="27" s="1"/>
  <c r="G68" i="27" s="1"/>
  <c r="XFD68" i="27" s="1"/>
  <c r="K36" i="106" l="1"/>
  <c r="M36" i="106" l="1"/>
  <c r="E29" i="106"/>
  <c r="G29" i="106" s="1"/>
  <c r="G46" i="106" s="1"/>
  <c r="K50" i="106" l="1"/>
  <c r="M50" i="106" s="1"/>
  <c r="M53" i="106" s="1"/>
  <c r="H62" i="106" s="1"/>
  <c r="E48" i="106"/>
  <c r="G48" i="106" s="1"/>
  <c r="G53" i="106" s="1"/>
  <c r="M46" i="106"/>
  <c r="H60" i="106" s="1"/>
  <c r="H56" i="106" l="1"/>
  <c r="H65" i="106" s="1"/>
  <c r="H61" i="106"/>
  <c r="H63" i="106" s="1"/>
  <c r="H57" i="106" l="1"/>
  <c r="H58" i="106"/>
  <c r="H59" i="106" s="1"/>
  <c r="H64" i="106" s="1"/>
  <c r="H66" i="106" s="1"/>
  <c r="I43" i="16"/>
  <c r="K42" i="101"/>
  <c r="K47" i="101" s="1"/>
  <c r="D47" i="16" l="1"/>
  <c r="D50" i="16"/>
  <c r="F50" i="16" s="1"/>
  <c r="K43" i="16"/>
  <c r="K48" i="16" s="1"/>
  <c r="F47" i="16" l="1"/>
  <c r="F48" i="16" s="1"/>
  <c r="F55" i="16"/>
  <c r="D14" i="16" l="1"/>
  <c r="F14" i="16" s="1"/>
  <c r="F27" i="16" s="1"/>
  <c r="G58" i="16" s="1"/>
  <c r="I14" i="16"/>
  <c r="K14" i="16" s="1"/>
  <c r="K27" i="16" s="1"/>
  <c r="G62" i="16" s="1"/>
  <c r="G63" i="16" s="1"/>
  <c r="G65" i="16" s="1"/>
  <c r="G60" i="16" l="1"/>
  <c r="G59" i="16"/>
  <c r="G67" i="16"/>
  <c r="G61" i="16" l="1"/>
  <c r="G66" i="16" s="1"/>
  <c r="G68" i="16" s="1"/>
  <c r="XFD68" i="16" s="1"/>
  <c r="D15" i="96" l="1"/>
  <c r="D15" i="87"/>
  <c r="D15" i="76"/>
  <c r="I16" i="96" l="1"/>
  <c r="I16" i="87"/>
  <c r="I16" i="76"/>
  <c r="D15" i="97"/>
  <c r="D15" i="88"/>
  <c r="D15" i="77"/>
  <c r="F15" i="87"/>
  <c r="D49" i="87"/>
  <c r="F49" i="87" s="1"/>
  <c r="F55" i="87" s="1"/>
  <c r="F15" i="76"/>
  <c r="D49" i="76"/>
  <c r="F49" i="76" s="1"/>
  <c r="F55" i="76" s="1"/>
  <c r="D49" i="96"/>
  <c r="F49" i="96" s="1"/>
  <c r="F55" i="96" s="1"/>
  <c r="F15" i="96"/>
  <c r="I54" i="76"/>
  <c r="K54" i="76" s="1"/>
  <c r="F15" i="77" l="1"/>
  <c r="D49" i="77"/>
  <c r="F49" i="77" s="1"/>
  <c r="F55" i="77" s="1"/>
  <c r="I17" i="87"/>
  <c r="K17" i="87" s="1"/>
  <c r="I17" i="76"/>
  <c r="K17" i="76" s="1"/>
  <c r="I17" i="96"/>
  <c r="K17" i="96" s="1"/>
  <c r="D49" i="88"/>
  <c r="F49" i="88" s="1"/>
  <c r="F55" i="88" s="1"/>
  <c r="F15" i="88"/>
  <c r="D15" i="98"/>
  <c r="D15" i="89"/>
  <c r="D15" i="78"/>
  <c r="I18" i="96"/>
  <c r="K18" i="96" s="1"/>
  <c r="I18" i="76"/>
  <c r="K18" i="76" s="1"/>
  <c r="I18" i="87"/>
  <c r="K18" i="87" s="1"/>
  <c r="D49" i="97"/>
  <c r="F49" i="97" s="1"/>
  <c r="F55" i="97" s="1"/>
  <c r="F15" i="97"/>
  <c r="K16" i="76"/>
  <c r="D16" i="76"/>
  <c r="F16" i="76" s="1"/>
  <c r="F23" i="76" s="1"/>
  <c r="G58" i="76" s="1"/>
  <c r="I16" i="97"/>
  <c r="I16" i="88"/>
  <c r="I16" i="77"/>
  <c r="D16" i="87"/>
  <c r="F16" i="87" s="1"/>
  <c r="F23" i="87" s="1"/>
  <c r="G58" i="87" s="1"/>
  <c r="K16" i="87"/>
  <c r="D16" i="96"/>
  <c r="F16" i="96" s="1"/>
  <c r="F23" i="96" s="1"/>
  <c r="G58" i="96" s="1"/>
  <c r="K16" i="96"/>
  <c r="I54" i="77"/>
  <c r="K54" i="77" s="1"/>
  <c r="I54" i="96"/>
  <c r="K54" i="96" s="1"/>
  <c r="I54" i="87"/>
  <c r="K54" i="87" s="1"/>
  <c r="G59" i="76" l="1"/>
  <c r="G67" i="76"/>
  <c r="G60" i="76"/>
  <c r="G59" i="87"/>
  <c r="G67" i="87"/>
  <c r="G60" i="87"/>
  <c r="I16" i="98"/>
  <c r="I16" i="78"/>
  <c r="I16" i="89"/>
  <c r="K23" i="87"/>
  <c r="G62" i="87" s="1"/>
  <c r="G63" i="87" s="1"/>
  <c r="G60" i="96"/>
  <c r="G59" i="96"/>
  <c r="G67" i="96"/>
  <c r="D16" i="88"/>
  <c r="F16" i="88" s="1"/>
  <c r="F23" i="88" s="1"/>
  <c r="G58" i="88" s="1"/>
  <c r="K16" i="88"/>
  <c r="D16" i="77"/>
  <c r="F16" i="77" s="1"/>
  <c r="F23" i="77" s="1"/>
  <c r="G58" i="77" s="1"/>
  <c r="K16" i="77"/>
  <c r="D16" i="97"/>
  <c r="F16" i="97" s="1"/>
  <c r="F23" i="97" s="1"/>
  <c r="G58" i="97" s="1"/>
  <c r="K16" i="97"/>
  <c r="K23" i="96"/>
  <c r="G62" i="96" s="1"/>
  <c r="G63" i="96" s="1"/>
  <c r="D49" i="78"/>
  <c r="F49" i="78" s="1"/>
  <c r="F55" i="78" s="1"/>
  <c r="F15" i="78"/>
  <c r="I18" i="97"/>
  <c r="K18" i="97" s="1"/>
  <c r="I18" i="88"/>
  <c r="K18" i="88" s="1"/>
  <c r="I18" i="77"/>
  <c r="K18" i="77" s="1"/>
  <c r="K23" i="76"/>
  <c r="G62" i="76" s="1"/>
  <c r="G63" i="76" s="1"/>
  <c r="F15" i="89"/>
  <c r="D49" i="89"/>
  <c r="F49" i="89" s="1"/>
  <c r="F55" i="89" s="1"/>
  <c r="D15" i="99"/>
  <c r="D15" i="90"/>
  <c r="D15" i="79"/>
  <c r="I17" i="88"/>
  <c r="K17" i="88" s="1"/>
  <c r="I17" i="97"/>
  <c r="K17" i="97" s="1"/>
  <c r="I17" i="77"/>
  <c r="K17" i="77" s="1"/>
  <c r="D49" i="98"/>
  <c r="F49" i="98" s="1"/>
  <c r="F55" i="98" s="1"/>
  <c r="F15" i="98"/>
  <c r="I54" i="78"/>
  <c r="K54" i="78" s="1"/>
  <c r="I54" i="97"/>
  <c r="K54" i="97" s="1"/>
  <c r="I54" i="88"/>
  <c r="K54" i="88" s="1"/>
  <c r="G61" i="76" l="1"/>
  <c r="G61" i="96"/>
  <c r="G61" i="87"/>
  <c r="K23" i="97"/>
  <c r="G62" i="97" s="1"/>
  <c r="G63" i="97" s="1"/>
  <c r="G60" i="77"/>
  <c r="G59" i="77"/>
  <c r="G67" i="77"/>
  <c r="D15" i="100"/>
  <c r="D15" i="80"/>
  <c r="D15" i="91"/>
  <c r="K23" i="77"/>
  <c r="G62" i="77" s="1"/>
  <c r="G63" i="77" s="1"/>
  <c r="G67" i="88"/>
  <c r="G60" i="88"/>
  <c r="G59" i="88"/>
  <c r="G67" i="97"/>
  <c r="G60" i="97"/>
  <c r="G59" i="97"/>
  <c r="I17" i="98"/>
  <c r="K17" i="98" s="1"/>
  <c r="I17" i="89"/>
  <c r="K17" i="89" s="1"/>
  <c r="I17" i="78"/>
  <c r="K17" i="78" s="1"/>
  <c r="I16" i="99"/>
  <c r="I16" i="90"/>
  <c r="I16" i="79"/>
  <c r="D49" i="79"/>
  <c r="F49" i="79" s="1"/>
  <c r="F55" i="79" s="1"/>
  <c r="F15" i="79"/>
  <c r="K23" i="88"/>
  <c r="G62" i="88" s="1"/>
  <c r="G63" i="88" s="1"/>
  <c r="K16" i="89"/>
  <c r="D16" i="89"/>
  <c r="F16" i="89" s="1"/>
  <c r="F23" i="89" s="1"/>
  <c r="G58" i="89" s="1"/>
  <c r="I18" i="98"/>
  <c r="K18" i="98" s="1"/>
  <c r="I18" i="89"/>
  <c r="K18" i="89" s="1"/>
  <c r="I18" i="78"/>
  <c r="K18" i="78" s="1"/>
  <c r="F15" i="90"/>
  <c r="D49" i="90"/>
  <c r="F49" i="90" s="1"/>
  <c r="F55" i="90" s="1"/>
  <c r="D16" i="78"/>
  <c r="F16" i="78" s="1"/>
  <c r="F23" i="78" s="1"/>
  <c r="G58" i="78" s="1"/>
  <c r="K16" i="78"/>
  <c r="F15" i="99"/>
  <c r="D49" i="99"/>
  <c r="F49" i="99" s="1"/>
  <c r="F55" i="99" s="1"/>
  <c r="D16" i="98"/>
  <c r="F16" i="98" s="1"/>
  <c r="F23" i="98" s="1"/>
  <c r="G58" i="98" s="1"/>
  <c r="K16" i="98"/>
  <c r="I54" i="79"/>
  <c r="K54" i="79" s="1"/>
  <c r="I54" i="89"/>
  <c r="K54" i="89" s="1"/>
  <c r="I54" i="98"/>
  <c r="K54" i="98" s="1"/>
  <c r="G61" i="77" l="1"/>
  <c r="G61" i="88"/>
  <c r="K23" i="98"/>
  <c r="G62" i="98" s="1"/>
  <c r="G63" i="98" s="1"/>
  <c r="G61" i="97"/>
  <c r="K23" i="78"/>
  <c r="G62" i="78" s="1"/>
  <c r="G63" i="78" s="1"/>
  <c r="K23" i="89"/>
  <c r="G62" i="89" s="1"/>
  <c r="G63" i="89" s="1"/>
  <c r="G60" i="98"/>
  <c r="G59" i="98"/>
  <c r="G67" i="98"/>
  <c r="G60" i="89"/>
  <c r="G59" i="89"/>
  <c r="G67" i="89"/>
  <c r="D16" i="90"/>
  <c r="F16" i="90" s="1"/>
  <c r="F23" i="90" s="1"/>
  <c r="G58" i="90" s="1"/>
  <c r="K16" i="90"/>
  <c r="D49" i="80"/>
  <c r="F49" i="80" s="1"/>
  <c r="F55" i="80" s="1"/>
  <c r="F15" i="80"/>
  <c r="D16" i="99"/>
  <c r="F16" i="99" s="1"/>
  <c r="K16" i="99"/>
  <c r="F15" i="100"/>
  <c r="D49" i="100"/>
  <c r="F49" i="100" s="1"/>
  <c r="F55" i="100" s="1"/>
  <c r="G67" i="78"/>
  <c r="G59" i="78"/>
  <c r="G60" i="78"/>
  <c r="I18" i="99"/>
  <c r="K18" i="99" s="1"/>
  <c r="I18" i="90"/>
  <c r="K18" i="90" s="1"/>
  <c r="I18" i="79"/>
  <c r="K18" i="79" s="1"/>
  <c r="I16" i="100"/>
  <c r="I16" i="91"/>
  <c r="I16" i="80"/>
  <c r="F23" i="99"/>
  <c r="G58" i="99" s="1"/>
  <c r="I17" i="99"/>
  <c r="K17" i="99" s="1"/>
  <c r="I17" i="90"/>
  <c r="K17" i="90" s="1"/>
  <c r="I17" i="79"/>
  <c r="K17" i="79" s="1"/>
  <c r="D16" i="79"/>
  <c r="F16" i="79" s="1"/>
  <c r="F23" i="79" s="1"/>
  <c r="G58" i="79" s="1"/>
  <c r="K16" i="79"/>
  <c r="D49" i="91"/>
  <c r="F49" i="91" s="1"/>
  <c r="F55" i="91" s="1"/>
  <c r="F15" i="91"/>
  <c r="I54" i="90"/>
  <c r="K54" i="90" s="1"/>
  <c r="I54" i="99"/>
  <c r="K54" i="99" s="1"/>
  <c r="G61" i="98" l="1"/>
  <c r="G61" i="78"/>
  <c r="G61" i="89"/>
  <c r="G67" i="79"/>
  <c r="G59" i="79"/>
  <c r="G60" i="79"/>
  <c r="G59" i="90"/>
  <c r="G67" i="90"/>
  <c r="G60" i="90"/>
  <c r="I17" i="100"/>
  <c r="K17" i="100" s="1"/>
  <c r="I17" i="91"/>
  <c r="K17" i="91" s="1"/>
  <c r="I17" i="80"/>
  <c r="K17" i="80" s="1"/>
  <c r="I18" i="100"/>
  <c r="K18" i="100" s="1"/>
  <c r="I18" i="91"/>
  <c r="K18" i="91" s="1"/>
  <c r="I18" i="80"/>
  <c r="K18" i="80" s="1"/>
  <c r="G59" i="99"/>
  <c r="G67" i="99"/>
  <c r="G60" i="99"/>
  <c r="D16" i="80"/>
  <c r="F16" i="80" s="1"/>
  <c r="F23" i="80" s="1"/>
  <c r="G58" i="80" s="1"/>
  <c r="K16" i="80"/>
  <c r="K23" i="90"/>
  <c r="G62" i="90" s="1"/>
  <c r="G63" i="90" s="1"/>
  <c r="K23" i="79"/>
  <c r="G62" i="79" s="1"/>
  <c r="G63" i="79" s="1"/>
  <c r="D16" i="91"/>
  <c r="F16" i="91" s="1"/>
  <c r="F23" i="91" s="1"/>
  <c r="G58" i="91" s="1"/>
  <c r="K16" i="91"/>
  <c r="D16" i="100"/>
  <c r="F16" i="100" s="1"/>
  <c r="F23" i="100" s="1"/>
  <c r="G58" i="100" s="1"/>
  <c r="K16" i="100"/>
  <c r="K23" i="99"/>
  <c r="G62" i="99" s="1"/>
  <c r="G63" i="99" s="1"/>
  <c r="I54" i="80"/>
  <c r="K54" i="80" s="1"/>
  <c r="K23" i="100" l="1"/>
  <c r="G62" i="100" s="1"/>
  <c r="G63" i="100" s="1"/>
  <c r="G61" i="79"/>
  <c r="G61" i="90"/>
  <c r="K23" i="80"/>
  <c r="G62" i="80" s="1"/>
  <c r="G63" i="80" s="1"/>
  <c r="G67" i="100"/>
  <c r="G60" i="100"/>
  <c r="G59" i="100"/>
  <c r="G60" i="91"/>
  <c r="G59" i="91"/>
  <c r="G67" i="91"/>
  <c r="G67" i="80"/>
  <c r="G60" i="80"/>
  <c r="G59" i="80"/>
  <c r="K23" i="91"/>
  <c r="G62" i="91" s="1"/>
  <c r="G63" i="91" s="1"/>
  <c r="G61" i="99"/>
  <c r="I54" i="91"/>
  <c r="K54" i="91" s="1"/>
  <c r="I54" i="100"/>
  <c r="K54" i="100" s="1"/>
  <c r="G61" i="100" l="1"/>
  <c r="G61" i="80"/>
  <c r="G61" i="91"/>
  <c r="I53" i="70" l="1"/>
  <c r="K53" i="70" s="1"/>
  <c r="I52" i="70"/>
  <c r="K52" i="70" s="1"/>
  <c r="I52" i="69" l="1"/>
  <c r="K52" i="69" s="1"/>
  <c r="K55" i="70"/>
  <c r="G64" i="70" s="1"/>
  <c r="G65" i="70" s="1"/>
  <c r="G66" i="70" s="1"/>
  <c r="I53" i="69"/>
  <c r="K53" i="69" s="1"/>
  <c r="I53" i="134"/>
  <c r="K53" i="134" s="1"/>
  <c r="I52" i="134"/>
  <c r="K52" i="134" s="1"/>
  <c r="G68" i="70" l="1"/>
  <c r="XFD66" i="70"/>
  <c r="K55" i="69"/>
  <c r="G64" i="69" s="1"/>
  <c r="G65" i="69" s="1"/>
  <c r="G66" i="69" s="1"/>
  <c r="K55" i="134"/>
  <c r="G64" i="134" s="1"/>
  <c r="G65" i="134" s="1"/>
  <c r="G66" i="134" s="1"/>
  <c r="I53" i="73"/>
  <c r="K53" i="73" s="1"/>
  <c r="I52" i="68"/>
  <c r="K52" i="68" s="1"/>
  <c r="I52" i="73"/>
  <c r="K52" i="73" s="1"/>
  <c r="I53" i="68"/>
  <c r="K53" i="68" s="1"/>
  <c r="I53" i="74"/>
  <c r="K53" i="74" s="1"/>
  <c r="I52" i="74"/>
  <c r="K52" i="74" s="1"/>
  <c r="K55" i="73" l="1"/>
  <c r="G64" i="73" s="1"/>
  <c r="G65" i="73" s="1"/>
  <c r="G66" i="73" s="1"/>
  <c r="G68" i="73" s="1"/>
  <c r="K55" i="74"/>
  <c r="G64" i="74" s="1"/>
  <c r="G65" i="74" s="1"/>
  <c r="G66" i="74" s="1"/>
  <c r="XFD66" i="74" s="1"/>
  <c r="XFD66" i="134"/>
  <c r="G68" i="134"/>
  <c r="K55" i="68"/>
  <c r="G64" i="68" s="1"/>
  <c r="XFD66" i="69"/>
  <c r="G68" i="69"/>
  <c r="XFD66" i="73" l="1"/>
  <c r="G68" i="74"/>
  <c r="G65" i="68"/>
  <c r="G66" i="68" s="1"/>
  <c r="G68" i="68" s="1"/>
  <c r="XFD66" i="68" s="1"/>
  <c r="I52" i="75"/>
  <c r="K52" i="75" s="1"/>
  <c r="I53" i="75"/>
  <c r="K53" i="75" s="1"/>
  <c r="K55" i="75" l="1"/>
  <c r="G64" i="75" s="1"/>
  <c r="G65" i="75" s="1"/>
  <c r="G66" i="75" s="1"/>
  <c r="I52" i="76"/>
  <c r="K52" i="76" s="1"/>
  <c r="I53" i="76"/>
  <c r="K53" i="76" s="1"/>
  <c r="K55" i="76" l="1"/>
  <c r="G64" i="76" s="1"/>
  <c r="G65" i="76" s="1"/>
  <c r="G66" i="76" s="1"/>
  <c r="XFD66" i="76" s="1"/>
  <c r="G68" i="75"/>
  <c r="XFD66" i="75"/>
  <c r="I52" i="77"/>
  <c r="K52" i="77" s="1"/>
  <c r="I53" i="77"/>
  <c r="K53" i="77" s="1"/>
  <c r="G68" i="76" l="1"/>
  <c r="K55" i="77"/>
  <c r="G64" i="77" s="1"/>
  <c r="G65" i="77" s="1"/>
  <c r="G66" i="77" s="1"/>
  <c r="G68" i="77" s="1"/>
  <c r="I53" i="87"/>
  <c r="K53" i="87" s="1"/>
  <c r="I52" i="87"/>
  <c r="K52" i="87" s="1"/>
  <c r="K55" i="87" s="1"/>
  <c r="G64" i="87" s="1"/>
  <c r="G65" i="87" s="1"/>
  <c r="G66" i="87" s="1"/>
  <c r="I53" i="96"/>
  <c r="K53" i="96" s="1"/>
  <c r="I52" i="96"/>
  <c r="K52" i="96" s="1"/>
  <c r="I53" i="78"/>
  <c r="K53" i="78" s="1"/>
  <c r="K55" i="78" s="1"/>
  <c r="G64" i="78" s="1"/>
  <c r="G65" i="78" s="1"/>
  <c r="G66" i="78" s="1"/>
  <c r="XFD66" i="77" l="1"/>
  <c r="I53" i="88"/>
  <c r="K53" i="88" s="1"/>
  <c r="K55" i="96"/>
  <c r="G64" i="96" s="1"/>
  <c r="G65" i="96" s="1"/>
  <c r="G66" i="96" s="1"/>
  <c r="G68" i="87"/>
  <c r="XFD66" i="87"/>
  <c r="XFD66" i="78"/>
  <c r="G68" i="78"/>
  <c r="I52" i="88"/>
  <c r="K52" i="88" s="1"/>
  <c r="I53" i="97"/>
  <c r="K53" i="97" s="1"/>
  <c r="I52" i="89"/>
  <c r="K52" i="89" s="1"/>
  <c r="I53" i="89"/>
  <c r="K53" i="89" s="1"/>
  <c r="I52" i="97"/>
  <c r="K52" i="97" s="1"/>
  <c r="K55" i="97" s="1"/>
  <c r="G64" i="97" s="1"/>
  <c r="G65" i="97" s="1"/>
  <c r="G66" i="97" s="1"/>
  <c r="I53" i="79"/>
  <c r="K53" i="79" s="1"/>
  <c r="I52" i="79"/>
  <c r="K52" i="79" s="1"/>
  <c r="K55" i="89" l="1"/>
  <c r="G64" i="89" s="1"/>
  <c r="G65" i="89" s="1"/>
  <c r="G66" i="89" s="1"/>
  <c r="XFD66" i="89" s="1"/>
  <c r="K55" i="79"/>
  <c r="G64" i="79" s="1"/>
  <c r="G65" i="79" s="1"/>
  <c r="G66" i="79" s="1"/>
  <c r="G68" i="79" s="1"/>
  <c r="K55" i="88"/>
  <c r="G64" i="88" s="1"/>
  <c r="G65" i="88" s="1"/>
  <c r="G66" i="88" s="1"/>
  <c r="G68" i="88" s="1"/>
  <c r="XFD66" i="79"/>
  <c r="G68" i="97"/>
  <c r="XFD66" i="97"/>
  <c r="XFD66" i="96"/>
  <c r="G68" i="96"/>
  <c r="I53" i="91"/>
  <c r="K53" i="91" s="1"/>
  <c r="I53" i="98"/>
  <c r="K53" i="98" s="1"/>
  <c r="I53" i="90"/>
  <c r="K53" i="90" s="1"/>
  <c r="I52" i="98"/>
  <c r="K52" i="98" s="1"/>
  <c r="I52" i="90"/>
  <c r="K52" i="90" s="1"/>
  <c r="G68" i="89" l="1"/>
  <c r="XFD66" i="88"/>
  <c r="K55" i="90"/>
  <c r="G64" i="90" s="1"/>
  <c r="G65" i="90" s="1"/>
  <c r="G66" i="90" s="1"/>
  <c r="XFD66" i="90" s="1"/>
  <c r="I52" i="91"/>
  <c r="K52" i="91" s="1"/>
  <c r="K55" i="91" s="1"/>
  <c r="G64" i="91" s="1"/>
  <c r="G65" i="91" s="1"/>
  <c r="G66" i="91" s="1"/>
  <c r="K55" i="98"/>
  <c r="G64" i="98" s="1"/>
  <c r="G65" i="98" s="1"/>
  <c r="G66" i="98" s="1"/>
  <c r="I53" i="99"/>
  <c r="K53" i="99" s="1"/>
  <c r="I52" i="99"/>
  <c r="K52" i="99" s="1"/>
  <c r="K55" i="99" s="1"/>
  <c r="G64" i="99" s="1"/>
  <c r="G65" i="99" s="1"/>
  <c r="G66" i="99" s="1"/>
  <c r="I53" i="80"/>
  <c r="K53" i="80" s="1"/>
  <c r="I52" i="80"/>
  <c r="K52" i="80" s="1"/>
  <c r="K55" i="80" s="1"/>
  <c r="G64" i="80" s="1"/>
  <c r="G65" i="80" s="1"/>
  <c r="G66" i="80" s="1"/>
  <c r="G68" i="90" l="1"/>
  <c r="I53" i="100"/>
  <c r="K53" i="100" s="1"/>
  <c r="G68" i="80"/>
  <c r="XFD66" i="80"/>
  <c r="G68" i="98"/>
  <c r="XFD66" i="98"/>
  <c r="XFD66" i="99"/>
  <c r="G68" i="99"/>
  <c r="G68" i="91"/>
  <c r="XFD66" i="91"/>
  <c r="I52" i="100"/>
  <c r="K52" i="100" s="1"/>
  <c r="K55" i="100" s="1"/>
  <c r="G64" i="100" s="1"/>
  <c r="G65" i="100" s="1"/>
  <c r="G66" i="100" s="1"/>
  <c r="XFD66" i="100" l="1"/>
  <c r="G68" i="100"/>
</calcChain>
</file>

<file path=xl/sharedStrings.xml><?xml version="1.0" encoding="utf-8"?>
<sst xmlns="http://schemas.openxmlformats.org/spreadsheetml/2006/main" count="16162" uniqueCount="1212">
  <si>
    <t>Артикул</t>
  </si>
  <si>
    <t>Длина</t>
  </si>
  <si>
    <t>Кол-во</t>
  </si>
  <si>
    <t>Наименование</t>
  </si>
  <si>
    <t>Толщ. реза</t>
  </si>
  <si>
    <t>Мин ост.</t>
  </si>
  <si>
    <t>Кромка</t>
  </si>
  <si>
    <t>Размер</t>
  </si>
  <si>
    <t>Нет</t>
  </si>
  <si>
    <t>Точность</t>
  </si>
  <si>
    <t>Остатки на складе</t>
  </si>
  <si>
    <t>Потребность</t>
  </si>
  <si>
    <t>Описание</t>
  </si>
  <si>
    <t>Сводный отчет</t>
  </si>
  <si>
    <t>Артикул:</t>
  </si>
  <si>
    <t>Наименование:</t>
  </si>
  <si>
    <t>Ширина реза:</t>
  </si>
  <si>
    <t>Исходные детали:</t>
  </si>
  <si>
    <t>№</t>
  </si>
  <si>
    <t>Ниаменование</t>
  </si>
  <si>
    <t>Итого</t>
  </si>
  <si>
    <t>Потери:</t>
  </si>
  <si>
    <t>Использовано:</t>
  </si>
  <si>
    <t>Раскрой в 2 проф.</t>
  </si>
  <si>
    <t>Размер проф.</t>
  </si>
  <si>
    <t>Неликв.</t>
  </si>
  <si>
    <t>Расход</t>
  </si>
  <si>
    <t>Кол.</t>
  </si>
  <si>
    <t>Остаток</t>
  </si>
  <si>
    <t>Кромка:</t>
  </si>
  <si>
    <t>Детали</t>
  </si>
  <si>
    <t>Сохранены остатки:</t>
  </si>
  <si>
    <t>A1</t>
  </si>
  <si>
    <t>Основной профиль</t>
  </si>
  <si>
    <t>Деталь 1</t>
  </si>
  <si>
    <t>Деталь 2</t>
  </si>
  <si>
    <t>Деталь 3</t>
  </si>
  <si>
    <t>Деталь 4</t>
  </si>
  <si>
    <t>Деталь 5</t>
  </si>
  <si>
    <t>Деталь 6</t>
  </si>
  <si>
    <t>Деталь 7</t>
  </si>
  <si>
    <t>Деталь 8</t>
  </si>
  <si>
    <t>Деталь 9</t>
  </si>
  <si>
    <t>Деталь 10</t>
  </si>
  <si>
    <t>Деталь 11</t>
  </si>
  <si>
    <t>Деталь 12</t>
  </si>
  <si>
    <t>Деталь 13</t>
  </si>
  <si>
    <t>2150;1930;1520</t>
  </si>
  <si>
    <t>2200;1880;1520</t>
  </si>
  <si>
    <t>2000;1880;1710</t>
  </si>
  <si>
    <t>2140;1930;1520</t>
  </si>
  <si>
    <t>2150;1880;1560</t>
  </si>
  <si>
    <t>1880;1880;1820</t>
  </si>
  <si>
    <t>2050;1820;1710</t>
  </si>
  <si>
    <t>2100;2100;1380</t>
  </si>
  <si>
    <t>2150;2050;1380</t>
  </si>
  <si>
    <t>2200;1820;1560</t>
  </si>
  <si>
    <t>2200;2000;1380</t>
  </si>
  <si>
    <t>2150;1710;1710</t>
  </si>
  <si>
    <t>2140;1710;1710</t>
  </si>
  <si>
    <t>1820;1820;1380</t>
  </si>
  <si>
    <t>мм</t>
  </si>
  <si>
    <t>шт.</t>
  </si>
  <si>
    <t>м3</t>
  </si>
  <si>
    <t>Перекрытие 01</t>
  </si>
  <si>
    <t>Перекрытие 02</t>
  </si>
  <si>
    <t>Перекрытие 03</t>
  </si>
  <si>
    <t>Перекрытие 04</t>
  </si>
  <si>
    <t>Перекрытие 05</t>
  </si>
  <si>
    <t>Перекрытие 06</t>
  </si>
  <si>
    <t>Перекрытие 07</t>
  </si>
  <si>
    <t>Перекрытие 08</t>
  </si>
  <si>
    <t>Перекрытие 09</t>
  </si>
  <si>
    <t>Ширина</t>
  </si>
  <si>
    <t>Высота</t>
  </si>
  <si>
    <t>Шаг, мм</t>
  </si>
  <si>
    <t>Длина лаги, мм</t>
  </si>
  <si>
    <t>Кол-во лаг, шт.</t>
  </si>
  <si>
    <t>Доска</t>
  </si>
  <si>
    <t>№ этажа</t>
  </si>
  <si>
    <t>ИТОГО</t>
  </si>
  <si>
    <t>Перекрытие 10</t>
  </si>
  <si>
    <t>Перекрытие 11</t>
  </si>
  <si>
    <t>Перекрытие 12</t>
  </si>
  <si>
    <t>Перекрытие 13</t>
  </si>
  <si>
    <t>шт</t>
  </si>
  <si>
    <t>п.м.</t>
  </si>
  <si>
    <t xml:space="preserve">Опора бруса раскрытая OBR R-50х140х2 </t>
  </si>
  <si>
    <t>ВхШ</t>
  </si>
  <si>
    <t>камерной сушки</t>
  </si>
  <si>
    <t>145х45</t>
  </si>
  <si>
    <t>145х95</t>
  </si>
  <si>
    <t>ест. Влаж</t>
  </si>
  <si>
    <t>145х140</t>
  </si>
  <si>
    <t>145х190</t>
  </si>
  <si>
    <t>195х190</t>
  </si>
  <si>
    <t>145х145</t>
  </si>
  <si>
    <t>145х195</t>
  </si>
  <si>
    <t>195х195</t>
  </si>
  <si>
    <t>кл. брус</t>
  </si>
  <si>
    <t>145х160</t>
  </si>
  <si>
    <t>145х200</t>
  </si>
  <si>
    <t>190х160</t>
  </si>
  <si>
    <t>190х200</t>
  </si>
  <si>
    <t>145х240</t>
  </si>
  <si>
    <t>190х240</t>
  </si>
  <si>
    <t>230х160</t>
  </si>
  <si>
    <t>230х200</t>
  </si>
  <si>
    <t>230х240</t>
  </si>
  <si>
    <t>250х160</t>
  </si>
  <si>
    <t>250х200</t>
  </si>
  <si>
    <t>280х200</t>
  </si>
  <si>
    <t>Приложение № 2</t>
  </si>
  <si>
    <t>к Договору подряда № ______        от "   "              202  года</t>
  </si>
  <si>
    <t xml:space="preserve">         "СОГЛАСОВАНО"</t>
  </si>
  <si>
    <t>"УТВЕРЖДАЮ"</t>
  </si>
  <si>
    <t xml:space="preserve">Подрядчик: ООО </t>
  </si>
  <si>
    <t xml:space="preserve">Заказчик: </t>
  </si>
  <si>
    <t xml:space="preserve">_________________________  /                      /                     </t>
  </si>
  <si>
    <t>__________________________/                       /</t>
  </si>
  <si>
    <r>
      <t xml:space="preserve">     </t>
    </r>
    <r>
      <rPr>
        <u/>
        <sz val="11"/>
        <rFont val="Times New Roman"/>
        <family val="1"/>
        <charset val="204"/>
      </rPr>
      <t xml:space="preserve">"  " марта 202  г. </t>
    </r>
    <r>
      <rPr>
        <sz val="11"/>
        <rFont val="Times New Roman"/>
        <family val="1"/>
        <charset val="204"/>
      </rPr>
      <t xml:space="preserve">   </t>
    </r>
  </si>
  <si>
    <t xml:space="preserve">                                                                                                      </t>
  </si>
  <si>
    <r>
      <t xml:space="preserve">    </t>
    </r>
    <r>
      <rPr>
        <u/>
        <sz val="11"/>
        <rFont val="Times New Roman"/>
        <family val="1"/>
        <charset val="204"/>
      </rPr>
      <t xml:space="preserve"> "  "                  202  г.    </t>
    </r>
  </si>
  <si>
    <t xml:space="preserve">ЛОКАЛЬНАЯ СМЕТА </t>
  </si>
  <si>
    <t>Раздел -  Строительно-монтажные работы по коробке</t>
  </si>
  <si>
    <t>Вид работ</t>
  </si>
  <si>
    <t>Наименование работ</t>
  </si>
  <si>
    <t>Ед. изм.</t>
  </si>
  <si>
    <t>Цена работ, руб.</t>
  </si>
  <si>
    <t>Итого работы, руб.</t>
  </si>
  <si>
    <t>Наименование материалов</t>
  </si>
  <si>
    <t>Цена материалы, руб.</t>
  </si>
  <si>
    <t>Итого материалы, руб.</t>
  </si>
  <si>
    <t xml:space="preserve">1.  Монтаж стен </t>
  </si>
  <si>
    <t>1.</t>
  </si>
  <si>
    <t>Лента межвенцового утеплителя Политерм</t>
  </si>
  <si>
    <t>м.п.</t>
  </si>
  <si>
    <t>Нагель</t>
  </si>
  <si>
    <t>к-т</t>
  </si>
  <si>
    <t xml:space="preserve">Монтаж столбов </t>
  </si>
  <si>
    <t>Анкер регулируемый 120х120х4мм М24 H-200мм</t>
  </si>
  <si>
    <t xml:space="preserve">Глухарь 8х100 </t>
  </si>
  <si>
    <t xml:space="preserve">Монтаж и демонтаж лесов </t>
  </si>
  <si>
    <t xml:space="preserve">Комплект пиломатериалов на леса </t>
  </si>
  <si>
    <t>кг</t>
  </si>
  <si>
    <t>Итого работы</t>
  </si>
  <si>
    <t>Итого материалы</t>
  </si>
  <si>
    <t>Монтаж балок перекрытия</t>
  </si>
  <si>
    <t>м2</t>
  </si>
  <si>
    <t>Саморез 51 мм</t>
  </si>
  <si>
    <t xml:space="preserve">Прием домокомплекта </t>
  </si>
  <si>
    <t>Аренда а/м до 1,5 тн</t>
  </si>
  <si>
    <t>2.</t>
  </si>
  <si>
    <t xml:space="preserve">Прием  материалов </t>
  </si>
  <si>
    <t>см</t>
  </si>
  <si>
    <t>м/см</t>
  </si>
  <si>
    <t>маш</t>
  </si>
  <si>
    <t xml:space="preserve">Итого </t>
  </si>
  <si>
    <t>Ст-ть работ</t>
  </si>
  <si>
    <t>Транспортные расходы 3%</t>
  </si>
  <si>
    <t>Накладные расходы 16%</t>
  </si>
  <si>
    <t>Ст-ть материалов</t>
  </si>
  <si>
    <t xml:space="preserve">Транспортные расходы </t>
  </si>
  <si>
    <t>ИТОГО по смете, руб</t>
  </si>
  <si>
    <t>ПСР 3%</t>
  </si>
  <si>
    <t>ВСЕГО по смете, руб.</t>
  </si>
  <si>
    <t>Скобы степлерные</t>
  </si>
  <si>
    <t>уп.</t>
  </si>
  <si>
    <t>уп</t>
  </si>
  <si>
    <t>Перфорированная лента LM монтажная 80 мм х 2 мм Х 10 м</t>
  </si>
  <si>
    <t>рул</t>
  </si>
  <si>
    <t>Гайка 12мм</t>
  </si>
  <si>
    <t>Соединительная гайка</t>
  </si>
  <si>
    <t>Гвоздь строительный 120 мм</t>
  </si>
  <si>
    <t>3.</t>
  </si>
  <si>
    <t>Шпилька 12мм 2000мм</t>
  </si>
  <si>
    <t>Шайба 12мм усиленная</t>
  </si>
  <si>
    <t>Проф. Брус камерной сушки 145х45мм</t>
  </si>
  <si>
    <t>Перфорированная лента LM монтажная 60 мм х 2 мм Х 10 м</t>
  </si>
  <si>
    <t>Брус 50х200мм  камерной сушки</t>
  </si>
  <si>
    <t>Проф. Брус камерной сушки 145х95мм</t>
  </si>
  <si>
    <t>Анкер регулируемый  50x50x4мм  М16 Н-150</t>
  </si>
  <si>
    <t>1.  Монтаж комплекта</t>
  </si>
  <si>
    <t>1. Монтаж комплекта</t>
  </si>
  <si>
    <t>данные</t>
  </si>
  <si>
    <t>цена</t>
  </si>
  <si>
    <t>монтаж столбов</t>
  </si>
  <si>
    <t>Монтаж балок</t>
  </si>
  <si>
    <t>Разгрузка домокомплета</t>
  </si>
  <si>
    <t xml:space="preserve">Прием комплекта (пиломатериал/домокомплект) </t>
  </si>
  <si>
    <t>Прием  материалов (крепеж/политерм)</t>
  </si>
  <si>
    <t>Монтаж межвенцового утеплителя</t>
  </si>
  <si>
    <t>Монтаж шпилек</t>
  </si>
  <si>
    <t>5.</t>
  </si>
  <si>
    <t>4.</t>
  </si>
  <si>
    <t xml:space="preserve">  Прием материалов. Транспортные расходы</t>
  </si>
  <si>
    <t>Доставка домокомплекта а/маш 20 тн</t>
  </si>
  <si>
    <t>Доставка домокомплекта а/маш 10 тн</t>
  </si>
  <si>
    <t>Болт оцинкованный 8х50</t>
  </si>
  <si>
    <t>Болт оцинкованный 8х60</t>
  </si>
  <si>
    <t>работа</t>
  </si>
  <si>
    <t>ест. Влаж. Листва</t>
  </si>
  <si>
    <t>ест влаж. кедр</t>
  </si>
  <si>
    <t>РАСЧЕТ ОБЪЕМА ЛАГ НА ПЕРЕКРЫТИЯ</t>
  </si>
  <si>
    <t>После занесения (корректировки) данных нажать на РАСЧЕТ</t>
  </si>
  <si>
    <t>Показатель</t>
  </si>
  <si>
    <t>Кол-во лаг по этажам, шт.</t>
  </si>
  <si>
    <t>Объем лаг в чистоте, м3</t>
  </si>
  <si>
    <t>Объем досок на лаги, м3</t>
  </si>
  <si>
    <t>Остаток, м3</t>
  </si>
  <si>
    <t>% остатков от общего объема</t>
  </si>
  <si>
    <t>Объем доски</t>
  </si>
  <si>
    <t>Количество</t>
  </si>
  <si>
    <t>Объем всего</t>
  </si>
  <si>
    <t>Тип</t>
  </si>
  <si>
    <t>№ перекрытия</t>
  </si>
  <si>
    <t>Ширина помещения, мм</t>
  </si>
  <si>
    <t>Кол-во лаг из 1 доски, шт.</t>
  </si>
  <si>
    <t>Кол-во лаг из 1-ой доски</t>
  </si>
  <si>
    <t>Кол-во досок на лаги, шт.</t>
  </si>
  <si>
    <t>Объем досок на лаги,м3</t>
  </si>
  <si>
    <t>Объем на 1 лагу</t>
  </si>
  <si>
    <t>А1</t>
  </si>
  <si>
    <t>Перекрытие 14</t>
  </si>
  <si>
    <t>Перекрытие 15</t>
  </si>
  <si>
    <t>Перекрытие 16</t>
  </si>
  <si>
    <t>Перекрытие 17</t>
  </si>
  <si>
    <t>Перекрытие 18</t>
  </si>
  <si>
    <t>Перекрытие 19</t>
  </si>
  <si>
    <t>Перекрытие 20</t>
  </si>
  <si>
    <t>Перекрытие 21</t>
  </si>
  <si>
    <t>Перекрытие 22</t>
  </si>
  <si>
    <t>Перекрытие 23</t>
  </si>
  <si>
    <t>Перекрытие 24</t>
  </si>
  <si>
    <t>Перекрытие 25</t>
  </si>
  <si>
    <t>Перекрытие 26</t>
  </si>
  <si>
    <t>Перекрытие 27</t>
  </si>
  <si>
    <t>Перекрытие 28</t>
  </si>
  <si>
    <t>Перекрытие 29</t>
  </si>
  <si>
    <t>Перекрытие 30</t>
  </si>
  <si>
    <t>Перекрытие 31</t>
  </si>
  <si>
    <t>Перекрытие 32</t>
  </si>
  <si>
    <t>Перекрытие 33</t>
  </si>
  <si>
    <t>Перекрытие 34</t>
  </si>
  <si>
    <t>Перекрытие 35</t>
  </si>
  <si>
    <t>Перекрытие 36</t>
  </si>
  <si>
    <t>Перекрытие 37</t>
  </si>
  <si>
    <t>Перекрытие 38</t>
  </si>
  <si>
    <t>Перекрытие 39</t>
  </si>
  <si>
    <t>Перекрытие 40</t>
  </si>
  <si>
    <t>Перекрытие 41</t>
  </si>
  <si>
    <t>Перекрытие 42</t>
  </si>
  <si>
    <t>Перекрытие 43</t>
  </si>
  <si>
    <t>Перекрытие 44</t>
  </si>
  <si>
    <t>Перекрытие 45</t>
  </si>
  <si>
    <t>Перекрытие 46</t>
  </si>
  <si>
    <t>Перекрытие 47</t>
  </si>
  <si>
    <t>Перекрытие 48</t>
  </si>
  <si>
    <t>Перекрытие 49</t>
  </si>
  <si>
    <t>Перекрытие 50</t>
  </si>
  <si>
    <t>Перекрытие 51</t>
  </si>
  <si>
    <t>Перекрытие 52</t>
  </si>
  <si>
    <t>Перекрытие 53</t>
  </si>
  <si>
    <t>Перекрытие 54</t>
  </si>
  <si>
    <t>Перекрытие 55</t>
  </si>
  <si>
    <t>Перекрытие 56</t>
  </si>
  <si>
    <t>Перекрытие 57</t>
  </si>
  <si>
    <t>Перекрытие 58</t>
  </si>
  <si>
    <t>Перекрытие 59</t>
  </si>
  <si>
    <t>Перекрытие 60</t>
  </si>
  <si>
    <t>Перекрытие 61</t>
  </si>
  <si>
    <t>Перекрытие 62</t>
  </si>
  <si>
    <t>Перекрытие 63</t>
  </si>
  <si>
    <t>Перекрытие 64</t>
  </si>
  <si>
    <t>Перекрытие 65</t>
  </si>
  <si>
    <t>Перекрытие 66</t>
  </si>
  <si>
    <t>Перекрытие 67</t>
  </si>
  <si>
    <t>Перекрытие 68</t>
  </si>
  <si>
    <t>Перекрытие 69</t>
  </si>
  <si>
    <t>Перекрытие 70</t>
  </si>
  <si>
    <t>Перекрытие 71</t>
  </si>
  <si>
    <t>Перекрытие 72</t>
  </si>
  <si>
    <t>Перекрытие 73</t>
  </si>
  <si>
    <t>Перекрытие 74</t>
  </si>
  <si>
    <t>Перекрытие 75</t>
  </si>
  <si>
    <t>Перекрытие 76</t>
  </si>
  <si>
    <t>Перекрытие 77</t>
  </si>
  <si>
    <t>Перекрытие 78</t>
  </si>
  <si>
    <t>Перекрытие 79</t>
  </si>
  <si>
    <t>Перекрытие 80</t>
  </si>
  <si>
    <t>Перекрытие 81</t>
  </si>
  <si>
    <t>Перекрытие 82</t>
  </si>
  <si>
    <t>Перекрытие 83</t>
  </si>
  <si>
    <t>Перекрытие 84</t>
  </si>
  <si>
    <t>Перекрытие 85</t>
  </si>
  <si>
    <t>Перекрытие 86</t>
  </si>
  <si>
    <t>Перекрытие 87</t>
  </si>
  <si>
    <t>Перекрытие 88</t>
  </si>
  <si>
    <t>Перекрытие 89</t>
  </si>
  <si>
    <t>Перекрытие 90</t>
  </si>
  <si>
    <t>Перекрытие 91</t>
  </si>
  <si>
    <t>Перекрытие 92</t>
  </si>
  <si>
    <t>Перекрытие 93</t>
  </si>
  <si>
    <t>Перекрытие 94</t>
  </si>
  <si>
    <t>Перекрытие 95</t>
  </si>
  <si>
    <t>Перекрытие 96</t>
  </si>
  <si>
    <t>Перекрытие 97</t>
  </si>
  <si>
    <t>Перекрытие 98</t>
  </si>
  <si>
    <t>Перекрытие 99</t>
  </si>
  <si>
    <t>Конец таблицы</t>
  </si>
  <si>
    <t>Добавлять строки перед этой строкой</t>
  </si>
  <si>
    <t>Ч</t>
  </si>
  <si>
    <t>Проф. Брус камерной сушки 145х145мм</t>
  </si>
  <si>
    <t>ОЦБ Хвоя</t>
  </si>
  <si>
    <t>ОЦБ Листва</t>
  </si>
  <si>
    <t>ОЦБ Кедр</t>
  </si>
  <si>
    <t>D</t>
  </si>
  <si>
    <t>2. Монтаж перекрытия первого этажа</t>
  </si>
  <si>
    <t>2.1 Монтаж перекрытия второго этажа</t>
  </si>
  <si>
    <t>2.2 Монтаж перекрытия третьего этажа</t>
  </si>
  <si>
    <t>2.3 Монтаж перекрытия потолка</t>
  </si>
  <si>
    <t>2.2 Монтаж потолочного перекрытия</t>
  </si>
  <si>
    <t>А/м до 10 тн (пиломатериал/комплектующие)</t>
  </si>
  <si>
    <t>ДЛЯ БРУСА 145Х45   И  145Х95</t>
  </si>
  <si>
    <t>Маш 20т / цена</t>
  </si>
  <si>
    <t>Маш 10т / цена</t>
  </si>
  <si>
    <t>Брус 50х150мм  камерной сушки</t>
  </si>
  <si>
    <t>Цокольный</t>
  </si>
  <si>
    <t>Первый</t>
  </si>
  <si>
    <t>Второй</t>
  </si>
  <si>
    <t>Третий</t>
  </si>
  <si>
    <t>Чердак</t>
  </si>
  <si>
    <t xml:space="preserve">Длина ленты </t>
  </si>
  <si>
    <t>м</t>
  </si>
  <si>
    <t xml:space="preserve">Ширина ленты  </t>
  </si>
  <si>
    <t xml:space="preserve">Высота  цоколя </t>
  </si>
  <si>
    <t>Количество пересечений крест</t>
  </si>
  <si>
    <t>Количество пересечений Т-обр</t>
  </si>
  <si>
    <t>Количество углов Г</t>
  </si>
  <si>
    <t>Количество углов 45 гр</t>
  </si>
  <si>
    <t xml:space="preserve">Толщина песчаного основания </t>
  </si>
  <si>
    <t>Толщина щебеночного основания</t>
  </si>
  <si>
    <t>S пятна застройки</t>
  </si>
  <si>
    <t>тн</t>
  </si>
  <si>
    <t>ед изм</t>
  </si>
  <si>
    <t>Цена</t>
  </si>
  <si>
    <t>Песок карьерный</t>
  </si>
  <si>
    <t>Геотекстиль плотность 160 г/м2 ,50 м.п. шириной мм.</t>
  </si>
  <si>
    <t>Щебень фр 20х40</t>
  </si>
  <si>
    <t>Доска 50х150 обр</t>
  </si>
  <si>
    <t>Шпилька М12  2000 мм</t>
  </si>
  <si>
    <t>Шайба усиленная  М12</t>
  </si>
  <si>
    <t>Гайка М12</t>
  </si>
  <si>
    <t>Гильза (Трубка изолирующая)</t>
  </si>
  <si>
    <t>Гвоздь строительный  100 мм</t>
  </si>
  <si>
    <t>Саморез черный по дереву усиленный 96 мм</t>
  </si>
  <si>
    <t>Пленка п/э 200 мкр</t>
  </si>
  <si>
    <t>Арматура д.12 мм  А500С</t>
  </si>
  <si>
    <t>Арматура д.8 мм  А240</t>
  </si>
  <si>
    <t xml:space="preserve">Проволока вязальная </t>
  </si>
  <si>
    <t>Бетон В 25</t>
  </si>
  <si>
    <t>Опорная площадка "Стульчик"</t>
  </si>
  <si>
    <t>Труба SN4 д.160 мм дл.2000 мм</t>
  </si>
  <si>
    <t>Гидроизол</t>
  </si>
  <si>
    <t>Мастика №24 мгтн (20 кг)</t>
  </si>
  <si>
    <t>ведро</t>
  </si>
  <si>
    <t>Расходные материалы</t>
  </si>
  <si>
    <t>диск отрезной д 125 мм</t>
  </si>
  <si>
    <t>собка для степлера 1000 шт</t>
  </si>
  <si>
    <t>пачка</t>
  </si>
  <si>
    <t>нитка разметочная 150 м</t>
  </si>
  <si>
    <t xml:space="preserve">бухта </t>
  </si>
  <si>
    <t>Аренда а/м до 8 тн</t>
  </si>
  <si>
    <t>Аренда JSB</t>
  </si>
  <si>
    <t>Аренда бетононасоса</t>
  </si>
  <si>
    <t>РАБОТЫ</t>
  </si>
  <si>
    <t>Разбивка  площадки с выносом осей</t>
  </si>
  <si>
    <t>Разработка траншеи в ручную</t>
  </si>
  <si>
    <t>Зачистка дна траншеи вручную</t>
  </si>
  <si>
    <t>Устройство песчаного основания с трамбоакой</t>
  </si>
  <si>
    <t>Укладка геотекстиля</t>
  </si>
  <si>
    <t>Устройство щебеночного основания с трамбовкой</t>
  </si>
  <si>
    <t>Монтаж опалубки</t>
  </si>
  <si>
    <t xml:space="preserve">Устройство армокаркаса монолитного ростверка </t>
  </si>
  <si>
    <t>Изготовление детали "хомут"</t>
  </si>
  <si>
    <t>Изготовление Д3 "УГОЛ"</t>
  </si>
  <si>
    <t>Изготовление Д4 "УГОЛ 45"</t>
  </si>
  <si>
    <t>Изготовление Д5 "крест"</t>
  </si>
  <si>
    <t>Изготовление Д6 "Т"</t>
  </si>
  <si>
    <t>Изготовление Д1 "Стойка"</t>
  </si>
  <si>
    <t>Монтаж продухов</t>
  </si>
  <si>
    <t>Бетонирование монолитного ростверка</t>
  </si>
  <si>
    <t>Горизонтальная гидроизоляция</t>
  </si>
  <si>
    <t>Прием матералов на фундамент</t>
  </si>
  <si>
    <t>Приложение к договору № __</t>
  </si>
  <si>
    <t>к Договору подряда № ______  от "___"_______ 202__года</t>
  </si>
  <si>
    <t xml:space="preserve">Подрядчик:  ______________ </t>
  </si>
  <si>
    <t xml:space="preserve">_________________________  /_____________/                     </t>
  </si>
  <si>
    <t>Заказчик: __________________________/______________/</t>
  </si>
  <si>
    <r>
      <t xml:space="preserve">     </t>
    </r>
    <r>
      <rPr>
        <u/>
        <sz val="11"/>
        <rFont val="Times New Roman"/>
        <family val="1"/>
        <charset val="204"/>
      </rPr>
      <t xml:space="preserve">"_____" _________ 202__ г. </t>
    </r>
    <r>
      <rPr>
        <sz val="11"/>
        <rFont val="Times New Roman"/>
        <family val="1"/>
        <charset val="204"/>
      </rPr>
      <t xml:space="preserve">   </t>
    </r>
  </si>
  <si>
    <r>
      <t xml:space="preserve">    </t>
    </r>
    <r>
      <rPr>
        <u/>
        <sz val="11"/>
        <rFont val="Times New Roman"/>
        <family val="1"/>
        <charset val="204"/>
      </rPr>
      <t xml:space="preserve"> "___" ________ 202__ г.    </t>
    </r>
  </si>
  <si>
    <t xml:space="preserve">                ЛОКАЛЬНАЯ СМЕТА </t>
  </si>
  <si>
    <t xml:space="preserve">                           Раздел №1 Строительно-монтажные работы по устройству "ленточного фундамента" </t>
  </si>
  <si>
    <t>1. Земляные и подготовительные работы</t>
  </si>
  <si>
    <t>Расходный материал</t>
  </si>
  <si>
    <t>к-кт</t>
  </si>
  <si>
    <t xml:space="preserve">Разработка траншеи в ручную ширина ленты + 100мм с перемещением до 10 м без вывоза </t>
  </si>
  <si>
    <t xml:space="preserve">Устройство песчаного основания ширина ленты + 100мм., толщиной  мм </t>
  </si>
  <si>
    <t xml:space="preserve">Укладка геотекстиля плотность 160  </t>
  </si>
  <si>
    <t xml:space="preserve">м2 </t>
  </si>
  <si>
    <t xml:space="preserve">Устройство щебеночного основания ширина ленты + 100мм толщ мм </t>
  </si>
  <si>
    <t xml:space="preserve">2. Устройство фундамента </t>
  </si>
  <si>
    <t>2.1.</t>
  </si>
  <si>
    <t>2.2.</t>
  </si>
  <si>
    <t>2.3.</t>
  </si>
  <si>
    <t>2.4.</t>
  </si>
  <si>
    <t>2.5.</t>
  </si>
  <si>
    <t>Труба SN4 д.160 мм 2000 мм</t>
  </si>
  <si>
    <t>пач.</t>
  </si>
  <si>
    <t>бух</t>
  </si>
  <si>
    <t>Непердвиденные 3,5%</t>
  </si>
  <si>
    <t>Материал</t>
  </si>
  <si>
    <t>Транспортные расходы</t>
  </si>
  <si>
    <t xml:space="preserve">  Прием материалов. </t>
  </si>
  <si>
    <t>Доска 50х100 обрезная</t>
  </si>
  <si>
    <t>Для объектов Кам Сушка и ПБКЛ</t>
  </si>
  <si>
    <t>2.3 Монтаж потолочного перекрытия</t>
  </si>
  <si>
    <t>Для объектов ест. Влажности всех</t>
  </si>
  <si>
    <t>Брус 50х200мм  ест. Влажность</t>
  </si>
  <si>
    <t>цена брус</t>
  </si>
  <si>
    <t>Проф. Брус камерной сушки 145х195мм</t>
  </si>
  <si>
    <t>Проф. Брус естеств. влажности 145х140мм</t>
  </si>
  <si>
    <t>Проф. Брус камерной сушки 195х195мм</t>
  </si>
  <si>
    <t>монтаж бруса  ест. Влаж</t>
  </si>
  <si>
    <t>Проф. Брус естеств. влажности 145х190мм</t>
  </si>
  <si>
    <t>Проф. Брус естеств. влажности 195х190мм</t>
  </si>
  <si>
    <t>Проф. Брус Лиственница естеств. влажности 195х190мм</t>
  </si>
  <si>
    <t>Проф. Брус Лиственница естеств. влажности 145х140мм</t>
  </si>
  <si>
    <t>Проф. Брус Лиственница естеств. влажности 145х190мм</t>
  </si>
  <si>
    <t>Проф. Брус Кедр естеств. влажности 195х190мм</t>
  </si>
  <si>
    <t>Проф. Брус Кедр естеств. влажности 145х140мм</t>
  </si>
  <si>
    <t>Проф. Брус Кедр естеств. влажности 145х190мм</t>
  </si>
  <si>
    <t>Клееный проф. Брус 145х160мм</t>
  </si>
  <si>
    <t>монтаж бруса  - ПБКЛ</t>
  </si>
  <si>
    <t xml:space="preserve">монтаж бруса ПБКС </t>
  </si>
  <si>
    <t>Клееный проф. Брус 145х200мм</t>
  </si>
  <si>
    <t>Клееный проф. Брус 190х160мм</t>
  </si>
  <si>
    <t>Клееный проф. Брус 190х200мм</t>
  </si>
  <si>
    <t>Клееный проф. Брус 190х240мм</t>
  </si>
  <si>
    <t>Клееный проф. Брус 145х240мм</t>
  </si>
  <si>
    <t>Клееный проф. Брус 230х160мм</t>
  </si>
  <si>
    <t>Клееный проф. Брус 230х200мм</t>
  </si>
  <si>
    <t>Клееный проф. Брус 230х240мм</t>
  </si>
  <si>
    <t>Клееный проф. Брус 250х160мм</t>
  </si>
  <si>
    <t>Клееный проф. Брус 250х200мм</t>
  </si>
  <si>
    <t>Клееный проф. Брус 280х200мм</t>
  </si>
  <si>
    <t>Оцилиндрованное бревно (ель/сосна) D 180мм</t>
  </si>
  <si>
    <t>Брус 50х200мм ест. Влажность</t>
  </si>
  <si>
    <t>База бревно 200мм</t>
  </si>
  <si>
    <t>Бревно с отходом</t>
  </si>
  <si>
    <t>Монтаж бревна 200мм</t>
  </si>
  <si>
    <t>Монтаж бревна 220мм</t>
  </si>
  <si>
    <t>Монтаж бревна 240мм</t>
  </si>
  <si>
    <t>Монтаж бревна 260мм</t>
  </si>
  <si>
    <t>Монтаж бревна 280мм</t>
  </si>
  <si>
    <t>Монтаж бревна 300мм</t>
  </si>
  <si>
    <t>ХВ Монтаж бревна 180мм</t>
  </si>
  <si>
    <t>ХВ Монтаж бревна 200мм</t>
  </si>
  <si>
    <t>ХВ Монтаж бревна 220мм</t>
  </si>
  <si>
    <t>ХВ Монтаж бревна 240мм</t>
  </si>
  <si>
    <t>ХВ Монтаж бревна 260мм</t>
  </si>
  <si>
    <t>ХВ Монтаж бревна 280мм</t>
  </si>
  <si>
    <t>ХВ Монтаж бревна 300мм</t>
  </si>
  <si>
    <t>ОЦБ Ель/сосна</t>
  </si>
  <si>
    <t>Политерм 100/15/300</t>
  </si>
  <si>
    <t>Политерм 110/15/300</t>
  </si>
  <si>
    <t>Политерм 120/15/300</t>
  </si>
  <si>
    <t>Политерм 130/15/300</t>
  </si>
  <si>
    <t>Политерм 140/15/300</t>
  </si>
  <si>
    <t>Политерм 150/15/300</t>
  </si>
  <si>
    <t>Политерм 90/15/300</t>
  </si>
  <si>
    <t>Автокран монтаж</t>
  </si>
  <si>
    <t>Автокран</t>
  </si>
  <si>
    <t>Оцилиндрованное бревно (ель/сосна) D 200мм</t>
  </si>
  <si>
    <t>Оцилиндрованное бревно (ель/сосна) D 220мм</t>
  </si>
  <si>
    <t>Оцилиндрованное бревно (ель/сосна) D 240мм</t>
  </si>
  <si>
    <t>Оцилиндрованное бревно (ель/сосна) D 260мм</t>
  </si>
  <si>
    <t>Оцилиндрованное бревно (ель/сосна) D 280мм</t>
  </si>
  <si>
    <t>Оцилиндрованное бревно (ель/сосна) D 300мм</t>
  </si>
  <si>
    <t>Оцилиндрованное бревно (лиственница) D 300мм</t>
  </si>
  <si>
    <t>Оцилиндрованное бревно (лиственница) D 200мм</t>
  </si>
  <si>
    <t>Оцилиндрованное бревно (лиственница) D 220мм</t>
  </si>
  <si>
    <t>Оцилиндрованное бревно (лиственница) D 240мм</t>
  </si>
  <si>
    <t>Оцилиндрованное бревно (лиственница) D 260мм</t>
  </si>
  <si>
    <t>Оцилиндрованное бревно (кедр) D 200мм</t>
  </si>
  <si>
    <t>Оцилиндрованное бревно (кедр) D 220мм</t>
  </si>
  <si>
    <t>Оцилиндрованное бревно (кедр) D 240мм</t>
  </si>
  <si>
    <t>Оцилиндрованное бревно (кедр) D 260мм</t>
  </si>
  <si>
    <t>Оцилиндрованное бревно (кедр) D 280мм</t>
  </si>
  <si>
    <t>Оцилиндрованное бревно (кедр) D 300мм</t>
  </si>
  <si>
    <t>Листы железа</t>
  </si>
  <si>
    <t>д/ш/м2</t>
  </si>
  <si>
    <t>Кровля под рубероид</t>
  </si>
  <si>
    <t>Кровля мягкая</t>
  </si>
  <si>
    <t>Площадь кровли</t>
  </si>
  <si>
    <t>Доска 50х200 ест. Влажность</t>
  </si>
  <si>
    <t>Гибкая черепица "Shnglas" коллекция _________</t>
  </si>
  <si>
    <t>упак</t>
  </si>
  <si>
    <t>Доска обр 25х150 мм ест. влажность</t>
  </si>
  <si>
    <t xml:space="preserve">Подкладочный ковер </t>
  </si>
  <si>
    <t>Рубероид кровельный</t>
  </si>
  <si>
    <t>Конек карниз</t>
  </si>
  <si>
    <t>Рейка 25х50</t>
  </si>
  <si>
    <t>Мастика битумная 3.6 кг</t>
  </si>
  <si>
    <t>банк</t>
  </si>
  <si>
    <t>Монтаж прижимной рейки</t>
  </si>
  <si>
    <t>Мастика битумная12 кг</t>
  </si>
  <si>
    <t xml:space="preserve">Конек широкий </t>
  </si>
  <si>
    <t>Разгрузка рубероид крепеж</t>
  </si>
  <si>
    <t>компл</t>
  </si>
  <si>
    <t>Конек односкатной крыши</t>
  </si>
  <si>
    <t>Доставка комплектующих авт. До 3т.</t>
  </si>
  <si>
    <t>Планка ветровая</t>
  </si>
  <si>
    <t>Карнизная планка</t>
  </si>
  <si>
    <t xml:space="preserve">Капельники </t>
  </si>
  <si>
    <t>Ендова</t>
  </si>
  <si>
    <t>Гвоздь кровельный</t>
  </si>
  <si>
    <t>Саморез 70</t>
  </si>
  <si>
    <t>Упаковка</t>
  </si>
  <si>
    <t>Изоспан АМ 70м2</t>
  </si>
  <si>
    <t>Изоспан АМ 35м2</t>
  </si>
  <si>
    <t>Лента клеещая двухсторонняя</t>
  </si>
  <si>
    <t>Роквул скандик</t>
  </si>
  <si>
    <t>Изоспан В 70м2</t>
  </si>
  <si>
    <t>Изоспан В 35м2</t>
  </si>
  <si>
    <t>Кровля металочерепица</t>
  </si>
  <si>
    <t>Примыкание угловое</t>
  </si>
  <si>
    <t>Примыкание накладное</t>
  </si>
  <si>
    <t>Металлочерепица 0,5мм</t>
  </si>
  <si>
    <t>OSB-3 12 мм</t>
  </si>
  <si>
    <t>лист</t>
  </si>
  <si>
    <t>Конек широкий</t>
  </si>
  <si>
    <t>Саморез 35мм</t>
  </si>
  <si>
    <t>Аэратор конька</t>
  </si>
  <si>
    <t>Аэратор скатный</t>
  </si>
  <si>
    <t>Стропила 50х200</t>
  </si>
  <si>
    <t>Капельники</t>
  </si>
  <si>
    <t>Брусок 50х50х3000мм</t>
  </si>
  <si>
    <t>Ендова нижняя</t>
  </si>
  <si>
    <t>Гвоздь 120мм</t>
  </si>
  <si>
    <t>Ендова верхняя</t>
  </si>
  <si>
    <t>Доска кам. Сушки 25х150мм</t>
  </si>
  <si>
    <t>Саморез 35</t>
  </si>
  <si>
    <t>Саморез 3.8х70мм</t>
  </si>
  <si>
    <t>Соеденительная пластина</t>
  </si>
  <si>
    <t>Гайки 12мм</t>
  </si>
  <si>
    <t>Шайбы 12мм усиленные</t>
  </si>
  <si>
    <t>Лента клеещая двухстороняя</t>
  </si>
  <si>
    <t>уплотнительная лента для контробрешетки 60мм</t>
  </si>
  <si>
    <t>Скользячки</t>
  </si>
  <si>
    <t xml:space="preserve">Саморез 4,2х90 мм </t>
  </si>
  <si>
    <t>Саморез 51 на скользячки</t>
  </si>
  <si>
    <t>Лента вентиляционная карнизная  0.1х5м</t>
  </si>
  <si>
    <t xml:space="preserve">Огнебиозащита Сенеж Проф 23кг </t>
  </si>
  <si>
    <t>Доставка пиломатериал до 10т.</t>
  </si>
  <si>
    <t>Объем стропил</t>
  </si>
  <si>
    <t>Доставка кровля/утепдитель/водосток/комплектующие</t>
  </si>
  <si>
    <t>Доска 25х150мм</t>
  </si>
  <si>
    <t>Монтаж пароизоляционной мембраны</t>
  </si>
  <si>
    <t>Монтаж утеплителя 150мм</t>
  </si>
  <si>
    <t>Монтаж утеплителя 200мм</t>
  </si>
  <si>
    <t>Монтаж гидроизоляционной мембраны</t>
  </si>
  <si>
    <t>Монтаж стропила 200/150мм</t>
  </si>
  <si>
    <t>Монтаж контробрешетки</t>
  </si>
  <si>
    <t>Монтаж уплотнительной ленты</t>
  </si>
  <si>
    <t>Монтаж обрешетки</t>
  </si>
  <si>
    <t>Обработка септиком</t>
  </si>
  <si>
    <t xml:space="preserve">Монтаж кровельного покрытия </t>
  </si>
  <si>
    <t>Монтаж подкладочного ковра</t>
  </si>
  <si>
    <t>Монтаж водостока труба</t>
  </si>
  <si>
    <t>Монтаж водостока желоб</t>
  </si>
  <si>
    <t>Прием  пиломатериалов для кровли</t>
  </si>
  <si>
    <t>Прием  материалов кровли</t>
  </si>
  <si>
    <t>Водосток пластиковый</t>
  </si>
  <si>
    <t>Желоб 3м</t>
  </si>
  <si>
    <t>Соединитель желоба</t>
  </si>
  <si>
    <t>Кронштейн желоба</t>
  </si>
  <si>
    <t>Заглушка</t>
  </si>
  <si>
    <t>Воронка</t>
  </si>
  <si>
    <t>Колено</t>
  </si>
  <si>
    <t>Отвод</t>
  </si>
  <si>
    <t>Труба 3м</t>
  </si>
  <si>
    <t>Труба 1м</t>
  </si>
  <si>
    <t>Хомут трубы</t>
  </si>
  <si>
    <t>Муфта трубы</t>
  </si>
  <si>
    <r>
      <t>Угол желоба 90</t>
    </r>
    <r>
      <rPr>
        <sz val="11"/>
        <rFont val="Calibri"/>
        <family val="2"/>
        <charset val="204"/>
      </rPr>
      <t>°</t>
    </r>
  </si>
  <si>
    <r>
      <t>Угол желоба 135</t>
    </r>
    <r>
      <rPr>
        <sz val="11"/>
        <rFont val="Calibri"/>
        <family val="2"/>
        <charset val="204"/>
      </rPr>
      <t>°</t>
    </r>
  </si>
  <si>
    <t>Водосток металлический</t>
  </si>
  <si>
    <t>Угол желоба 90° внутренний</t>
  </si>
  <si>
    <t>Угол желоба 90° внешний</t>
  </si>
  <si>
    <t>Угол желоба наружный 135°</t>
  </si>
  <si>
    <t xml:space="preserve">Огнебиозащита Сенеж Проф 23кг         300 гр/м² для II группы </t>
  </si>
  <si>
    <t>Брус 50х200 естеств влаж</t>
  </si>
  <si>
    <t>к Договору подряда № _______           от "  "              202_ года</t>
  </si>
  <si>
    <t xml:space="preserve">_________________________  /                       /                     </t>
  </si>
  <si>
    <t>__________________________/                          /</t>
  </si>
  <si>
    <r>
      <t xml:space="preserve">     </t>
    </r>
    <r>
      <rPr>
        <u/>
        <sz val="11"/>
        <rFont val="Times New Roman"/>
        <family val="1"/>
        <charset val="204"/>
      </rPr>
      <t xml:space="preserve">"  "                        202_ г. </t>
    </r>
    <r>
      <rPr>
        <sz val="11"/>
        <rFont val="Times New Roman"/>
        <family val="1"/>
        <charset val="204"/>
      </rPr>
      <t xml:space="preserve">   </t>
    </r>
  </si>
  <si>
    <r>
      <t xml:space="preserve">    </t>
    </r>
    <r>
      <rPr>
        <u/>
        <sz val="11"/>
        <rFont val="Times New Roman"/>
        <family val="1"/>
        <charset val="204"/>
      </rPr>
      <t xml:space="preserve"> "  "                      202_ г.    </t>
    </r>
  </si>
  <si>
    <t xml:space="preserve">Раздел -  Строительно-монтажные работы по кровле </t>
  </si>
  <si>
    <t>1. Стропильная система</t>
  </si>
  <si>
    <t>Установка стропильных ног</t>
  </si>
  <si>
    <t>Брус 50х200мм камерной сушки</t>
  </si>
  <si>
    <t>Антисептирование всего пиломатериала (стропила/контробрешетка/обрешетка)</t>
  </si>
  <si>
    <t>Огнебиозащита Сенеж Проф 23кг</t>
  </si>
  <si>
    <t xml:space="preserve">2. Устройство основания кровли </t>
  </si>
  <si>
    <t>Брусок 50х50х3000мм кам. Сушки</t>
  </si>
  <si>
    <t>Гвозди 120мм</t>
  </si>
  <si>
    <t>Уплотнительная лента для контробрешетки 60мм</t>
  </si>
  <si>
    <t>6.</t>
  </si>
  <si>
    <t>Монтаж OSB-3 12 мм</t>
  </si>
  <si>
    <t>Доска обрезная 25х150 мм</t>
  </si>
  <si>
    <t xml:space="preserve">Скользящая опора для стропил 160х90х40х2 </t>
  </si>
  <si>
    <t xml:space="preserve">Саморез 51мм </t>
  </si>
  <si>
    <t>Лента вентиляционная карнизная  100х5000</t>
  </si>
  <si>
    <t>3. Монтаж кровельного покрытия</t>
  </si>
  <si>
    <t>Монтаж желоба</t>
  </si>
  <si>
    <t>Монтаж трубы</t>
  </si>
  <si>
    <t>Доставка пиломатериала авт. до 10т.</t>
  </si>
  <si>
    <t>Доставка кровли и комплектующих</t>
  </si>
  <si>
    <t>ИТОГО по смете</t>
  </si>
  <si>
    <t>ВСЕГО по смете</t>
  </si>
  <si>
    <t xml:space="preserve">Брус обрезной кам. Сушки 50х200мм </t>
  </si>
  <si>
    <t>Доска обрезная кам. Сушки 25х150 мм</t>
  </si>
  <si>
    <t>Металлочерепица Grand Line серия Classic 0,5</t>
  </si>
  <si>
    <t>Раздел -  Строительно-монтажные работы по кровле под рубероид</t>
  </si>
  <si>
    <t>Монтаж временного кровельного покрытия</t>
  </si>
  <si>
    <t>Разгрузка (пиломатериал)</t>
  </si>
  <si>
    <t>Разгрузка комплетующие</t>
  </si>
  <si>
    <t>Монтаж обрешетки сплошной настил</t>
  </si>
  <si>
    <t>дл./шт.</t>
  </si>
  <si>
    <t>Доставка пиломатериала до  10 тн.</t>
  </si>
  <si>
    <t>Доставка кровли и комплектующих до 10 тн.</t>
  </si>
  <si>
    <t>Винтовой</t>
  </si>
  <si>
    <t>ЖБ</t>
  </si>
  <si>
    <t>площадь</t>
  </si>
  <si>
    <t>Погонные метры</t>
  </si>
  <si>
    <t>Количество свай</t>
  </si>
  <si>
    <t>объем бруса 200х200</t>
  </si>
  <si>
    <t>объем бруса 150х150</t>
  </si>
  <si>
    <t>МАТЕРИАЛ</t>
  </si>
  <si>
    <t>Свая СВС 89/2500</t>
  </si>
  <si>
    <t>ЖБ Свая С30. 15-3</t>
  </si>
  <si>
    <t>Свая СВС 89/3000</t>
  </si>
  <si>
    <t>ЖБ Свая С30. 20-3</t>
  </si>
  <si>
    <t>Свая СВС 108/2500</t>
  </si>
  <si>
    <t>ЖБ Свая С40. 15-3</t>
  </si>
  <si>
    <t>Свая СВС 108/3000</t>
  </si>
  <si>
    <t>ЖБ Свая С40. 20-3</t>
  </si>
  <si>
    <t>Оголовки</t>
  </si>
  <si>
    <t>Шуруп-болт (глухарь) 8х100</t>
  </si>
  <si>
    <t>Брус 200200мм</t>
  </si>
  <si>
    <t>Доставка свай 108/2500</t>
  </si>
  <si>
    <t>доставка свай С30. 15-3</t>
  </si>
  <si>
    <t>Доставка свай 108/3000</t>
  </si>
  <si>
    <t>доставка свай С30. 20-3</t>
  </si>
  <si>
    <t>Доставка свай 89/2500</t>
  </si>
  <si>
    <t>доставка свай С40. 15-3</t>
  </si>
  <si>
    <t>Доставка свай 89/3000</t>
  </si>
  <si>
    <t>доставка свай С40. 20-3</t>
  </si>
  <si>
    <t>Монтаж свай 89/2500</t>
  </si>
  <si>
    <t>Монтаж свай С30. 15-3</t>
  </si>
  <si>
    <t>Монтаж свай 89/3000</t>
  </si>
  <si>
    <t>Монтаж свай С30. 20-3</t>
  </si>
  <si>
    <t>Монтаж свай 108/2500</t>
  </si>
  <si>
    <t>Монтаж свай 108/3000</t>
  </si>
  <si>
    <t>Монтаж оголовков</t>
  </si>
  <si>
    <t xml:space="preserve">Монтаж бруса </t>
  </si>
  <si>
    <t>Разгрузка бруса</t>
  </si>
  <si>
    <t>СВС 108/2500</t>
  </si>
  <si>
    <t>СВС 108/3000</t>
  </si>
  <si>
    <t xml:space="preserve">                           Раздел №1 Строительно-монтажные работы по устройству винтового фундамента " СВС 89/2500 " </t>
  </si>
  <si>
    <t>Монтаж свай</t>
  </si>
  <si>
    <t>СВС 89/2500</t>
  </si>
  <si>
    <t>Оголовок 200х200мм</t>
  </si>
  <si>
    <t>Шуруп болт ( глухарь) 8х100мм</t>
  </si>
  <si>
    <t>Разгрузка бруса 150х150мм</t>
  </si>
  <si>
    <t xml:space="preserve">                           Раздел №1 Строительно-монтажные работы по устройству винтового фундамента " СВС 89/3000 " </t>
  </si>
  <si>
    <t>СВС 89/3000</t>
  </si>
  <si>
    <t xml:space="preserve">                           Раздел №1 Строительно-монтажные работы по устройству винтового фундамента " СВС 108/2500 " </t>
  </si>
  <si>
    <t>Оголовок 250х250мм</t>
  </si>
  <si>
    <t>Разгрузка бруса 200х200мм</t>
  </si>
  <si>
    <t xml:space="preserve">                        Раздел №1 Строительно-монтажные работы по устройству винтового фундамента " СВС 108/3000 " </t>
  </si>
  <si>
    <t xml:space="preserve">                           Раздел №1 Строительно-монтажные работы по устройству свайного ЖБ фундамента  " С 30. 15-3 " </t>
  </si>
  <si>
    <t>Свая С 30. 15 - 3</t>
  </si>
  <si>
    <t xml:space="preserve">                           Раздел №1 Строительно-монтажные работы по устройству свайного ЖБ фундамента  " С 30. 20-3 " </t>
  </si>
  <si>
    <t>Свая С 30. 20 - 3</t>
  </si>
  <si>
    <t xml:space="preserve">                           Раздел №1 Строительно-монтажные работы по устройству свайного ЖБ фундамента  " С 40. 15-3 " </t>
  </si>
  <si>
    <t>Свая С 40. 15 - 3</t>
  </si>
  <si>
    <t xml:space="preserve">                           Раздел №1 Строительно-монтажные работы по устройству свайного ЖБ фундамента  " С 40. 20-3 " </t>
  </si>
  <si>
    <t>Свая С 40. 20 - 3</t>
  </si>
  <si>
    <t>база</t>
  </si>
  <si>
    <t>для дачных</t>
  </si>
  <si>
    <t>дачные</t>
  </si>
  <si>
    <t xml:space="preserve">Подрядчик: ООО ______________ </t>
  </si>
  <si>
    <t>Устройство скважин под сваи</t>
  </si>
  <si>
    <t>2. Устройство свайного поля</t>
  </si>
  <si>
    <t>Монтаж Трубы а/ц д. 300</t>
  </si>
  <si>
    <t>Труба а/ц д.300 5000 мм.</t>
  </si>
  <si>
    <t>Устройство армокаркаса свай</t>
  </si>
  <si>
    <t>Укладка бетонной смеси</t>
  </si>
  <si>
    <t xml:space="preserve">3. Устройство фундамента </t>
  </si>
  <si>
    <t>Доска 50х100 обр</t>
  </si>
  <si>
    <t>Труба А/Ц БНТ 300 5000 мм</t>
  </si>
  <si>
    <t>Укладка бетонной смеси - сваи</t>
  </si>
  <si>
    <t>не трогать</t>
  </si>
  <si>
    <t>работы</t>
  </si>
  <si>
    <t>7.</t>
  </si>
  <si>
    <t>3. Прием материалов. Транспортные расходы</t>
  </si>
  <si>
    <t>4. Прием материалов. Транспортные расходы</t>
  </si>
  <si>
    <t>НЕ ТРОГАТЬ!!!!!!</t>
  </si>
  <si>
    <t>ПОЛЯ ДЛЯ ВВОДА ДАННЫХ!!!!</t>
  </si>
  <si>
    <t>ДАННЫЕ С АДМИНКИ!!!</t>
  </si>
  <si>
    <t>ФУНДАМЕНТ ЛЕНТОЧНЫЙ И ЛЕНТОЧНЫЙ С РОСТВЕРКОМ</t>
  </si>
  <si>
    <t>ФУНДАМЕНТ ВИНТОВОЙ И ЖБ СВАИ</t>
  </si>
  <si>
    <t>1. Монтаж свай.   Материалы</t>
  </si>
  <si>
    <t>2. Прием материалов.   Транспортные расходы</t>
  </si>
  <si>
    <t>Пескобетон  М300, 40 кг</t>
  </si>
  <si>
    <t>Доставка свай и пескобетона</t>
  </si>
  <si>
    <t>Разгрузка пескобетона</t>
  </si>
  <si>
    <t>2. Прием материалов.  Транспортные расходы</t>
  </si>
  <si>
    <t>1. Монтаж свай.  Материалы</t>
  </si>
  <si>
    <t>Прием материалов на фундамент</t>
  </si>
  <si>
    <t>Доставка свай и бруса</t>
  </si>
  <si>
    <t>МОНОЛИТНАЯ ПЛИТА</t>
  </si>
  <si>
    <t>Расходный материал на разбивку площадки</t>
  </si>
  <si>
    <t>Разработка котлована без вывоза грунта</t>
  </si>
  <si>
    <t>Зачистка дна котлована вручную</t>
  </si>
  <si>
    <t>Устройство основания под закладную трубу, "постелька", с последующей обваловкой песком до 100 мм.</t>
  </si>
  <si>
    <t>Песок</t>
  </si>
  <si>
    <t xml:space="preserve">Укладка трубы ввода ХВС, с утеплением в в гильзе </t>
  </si>
  <si>
    <t>Труба ПНД 32 х 2.4 Pn12.5 SDR 13.</t>
  </si>
  <si>
    <t>Обратная засыпка траншеи</t>
  </si>
  <si>
    <t>Утеплитель трубный НПЭ 35*13мм
(для трубы ПНД Д32) отрезок 2м</t>
  </si>
  <si>
    <t>рол</t>
  </si>
  <si>
    <t>Труба для наружной канализации ПВХ гладкая раструбная рыжая 110 х 2,2 х 1000 мм Sn4</t>
  </si>
  <si>
    <t>Труба для наружной канализации ПВХ гладкая раструбная рыжая 110 х 2,2 х 2000 мм Sn4</t>
  </si>
  <si>
    <t>Отвод 110 мм x 30° ПП</t>
  </si>
  <si>
    <t>Укладка трубы ввода ЭОМ</t>
  </si>
  <si>
    <t xml:space="preserve">Труба ПНД 50 х 3.0 Pn10 SDR 17 </t>
  </si>
  <si>
    <t>Укладка трубы ввода СС</t>
  </si>
  <si>
    <t>Разработка грунта канализация в ручную</t>
  </si>
  <si>
    <t>Укладка трубы вывода канализации</t>
  </si>
  <si>
    <t>Отвод 110 мм x 90° ПП</t>
  </si>
  <si>
    <t>Выравнивание дна котлована, трашеи</t>
  </si>
  <si>
    <t>8.</t>
  </si>
  <si>
    <t>Геотекстиль 160 гр/м2</t>
  </si>
  <si>
    <t>Устройство песчаного основания с послойным трамбованием  толщиной мм.</t>
  </si>
  <si>
    <t>Устройство щебеночного основания с послойным трамбованием  толщиной мм.</t>
  </si>
  <si>
    <t>Щебень гравийный фр. 20-40</t>
  </si>
  <si>
    <t>Устройство теплозащитного слоя толщиной мм</t>
  </si>
  <si>
    <t>ЭППС  толщиной мм.</t>
  </si>
  <si>
    <t>Отвод 110 мм x 15° ПП</t>
  </si>
  <si>
    <t>Отвод 110 мм x 45° ПП</t>
  </si>
  <si>
    <t>Гидроизоляция плиты в два слоя</t>
  </si>
  <si>
    <t>Мастика битумная №24 МГНТ (20 кг)</t>
  </si>
  <si>
    <t>Газ баллонный 50 л</t>
  </si>
  <si>
    <t>балл</t>
  </si>
  <si>
    <t>Арматура А500С (верхнее армиров.) диаметр мм.</t>
  </si>
  <si>
    <t>Арматура А500С (нижнее армиров.) диаметр мм.</t>
  </si>
  <si>
    <t>Изготовление Д3 "лягушка"</t>
  </si>
  <si>
    <t>Изготовление Д4 "торец"</t>
  </si>
  <si>
    <t xml:space="preserve">Арматура А500С д.10 мм  </t>
  </si>
  <si>
    <t>Укладка бетонной смеси монолитной фундаментной плиты</t>
  </si>
  <si>
    <t>Аренда а/м до 3,5 тн</t>
  </si>
  <si>
    <t>Саморез 4,8х100 черный по дереву</t>
  </si>
  <si>
    <t>Арматура д.14 мм  А500С</t>
  </si>
  <si>
    <t>Арматура д.10 мм  А500С</t>
  </si>
  <si>
    <t>Бетон В-7,5</t>
  </si>
  <si>
    <t>Труба SN4 д.110 мм дл.2000 мм</t>
  </si>
  <si>
    <t>Труба SN4 д.110 мм дл.1000 мм</t>
  </si>
  <si>
    <t>Тройник 110х110х110х90 гр</t>
  </si>
  <si>
    <t>Утеплитель трубный НПЭ 35*13мм (для трубы ПНД Д32) отрезок 2м</t>
  </si>
  <si>
    <t>Скотч сантехнический армированный серый UNIBOB 48мм х 50м</t>
  </si>
  <si>
    <t>ЭППС толщ 50 мм</t>
  </si>
  <si>
    <t>ЭППС толщ 100 мм</t>
  </si>
  <si>
    <t xml:space="preserve">Газ 40 кг </t>
  </si>
  <si>
    <t>Блок</t>
  </si>
  <si>
    <r>
      <t xml:space="preserve">Вид строения дерево/камень </t>
    </r>
    <r>
      <rPr>
        <b/>
        <sz val="12"/>
        <color theme="1"/>
        <rFont val="Calibri"/>
        <family val="2"/>
        <charset val="204"/>
        <scheme val="minor"/>
      </rPr>
      <t>1/0</t>
    </r>
  </si>
  <si>
    <t>Ширина утепления под отмосток</t>
  </si>
  <si>
    <t>4 Основная плита</t>
  </si>
  <si>
    <t>S плиты фундаментной основная</t>
  </si>
  <si>
    <t>Внешний периметр плиты основной</t>
  </si>
  <si>
    <t>Толщина плиты основной</t>
  </si>
  <si>
    <t>Ячейка 200х200/150х150    1/0</t>
  </si>
  <si>
    <t>Количество углов 90 гр</t>
  </si>
  <si>
    <t>Глубина заложения (низ плиты от ур грунта)</t>
  </si>
  <si>
    <t>15. Основания</t>
  </si>
  <si>
    <t>Толщина бетонного основания</t>
  </si>
  <si>
    <t>Горизонтальная гидроизоляция да/нет 1/0</t>
  </si>
  <si>
    <t>Ввод ХВС длина от точки до края ф-та</t>
  </si>
  <si>
    <t>Ввод ЭОМ длина от точки до края ф-та</t>
  </si>
  <si>
    <t>Ввод СС длина от точки до края ф-та</t>
  </si>
  <si>
    <t>Наименовани позиции</t>
  </si>
  <si>
    <t>Данные</t>
  </si>
  <si>
    <t>Толщина утепления (ЭППС) 0,05/0,1</t>
  </si>
  <si>
    <r>
      <t xml:space="preserve">Вывод канализации </t>
    </r>
    <r>
      <rPr>
        <b/>
        <sz val="12"/>
        <color theme="1"/>
        <rFont val="Calibri"/>
        <family val="2"/>
        <charset val="204"/>
        <scheme val="minor"/>
      </rPr>
      <t>точка 1</t>
    </r>
    <r>
      <rPr>
        <sz val="11"/>
        <color theme="1"/>
        <rFont val="Calibri"/>
        <family val="2"/>
        <charset val="204"/>
        <scheme val="minor"/>
      </rPr>
      <t xml:space="preserve"> длина от точки до края ф-та</t>
    </r>
  </si>
  <si>
    <t>Бетон М100 В 7,5</t>
  </si>
  <si>
    <t>17. ИНЖ-Комм</t>
  </si>
  <si>
    <t>Устройство основания под закладную трубу, "постелька" с последующей обваловкой песком до 100 мм.</t>
  </si>
  <si>
    <t xml:space="preserve">Укладка трубы ввода ХВС с утеплением в в гильзе </t>
  </si>
  <si>
    <r>
      <t xml:space="preserve">Устройство основания под закладную трубу </t>
    </r>
    <r>
      <rPr>
        <b/>
        <sz val="12"/>
        <rFont val="Arial"/>
        <family val="2"/>
        <charset val="204"/>
      </rPr>
      <t xml:space="preserve">ХВС/ЭОМ/СС </t>
    </r>
    <r>
      <rPr>
        <sz val="12"/>
        <rFont val="Arial"/>
        <family val="2"/>
        <charset val="204"/>
      </rPr>
      <t xml:space="preserve"> "постелька", с последующей обваловкой песком до 100 мм.</t>
    </r>
  </si>
  <si>
    <r>
      <t xml:space="preserve">Разработка грунта </t>
    </r>
    <r>
      <rPr>
        <b/>
        <sz val="12"/>
        <rFont val="Arial"/>
        <family val="2"/>
        <charset val="204"/>
      </rPr>
      <t>ХВС/ЭОМ/СС</t>
    </r>
    <r>
      <rPr>
        <sz val="12"/>
        <rFont val="Arial"/>
        <family val="2"/>
        <charset val="204"/>
      </rPr>
      <t xml:space="preserve"> в ручную </t>
    </r>
  </si>
  <si>
    <r>
      <t xml:space="preserve">Обратная засыпка траншеи </t>
    </r>
    <r>
      <rPr>
        <b/>
        <sz val="12"/>
        <rFont val="Arial"/>
        <family val="2"/>
        <charset val="204"/>
      </rPr>
      <t>ХВС/ЭОМ/СС</t>
    </r>
  </si>
  <si>
    <t>Выравнивание дна котлована</t>
  </si>
  <si>
    <t>Укладка геотекстиля котлован</t>
  </si>
  <si>
    <t>Устройство бетонного основания Бетон М100 В 7,5 100мм</t>
  </si>
  <si>
    <t>Горизонтальная гидроизоляция 1 слой</t>
  </si>
  <si>
    <t>Устройство армокаркаса монолитной плиты</t>
  </si>
  <si>
    <t>Укладка бетона монолитной фундаментной плиты</t>
  </si>
  <si>
    <t>не трогать!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</si>
  <si>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</si>
  <si>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</si>
  <si>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</si>
  <si>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</si>
  <si>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</si>
  <si>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</si>
  <si>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</si>
  <si>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</si>
  <si>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</si>
  <si>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</si>
  <si>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</si>
  <si>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</si>
  <si>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</si>
  <si>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</si>
  <si>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</si>
  <si>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</si>
  <si>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</si>
  <si>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наименование</t>
  </si>
  <si>
    <t>ед.изм</t>
  </si>
  <si>
    <t>Фундамент п.м.</t>
  </si>
  <si>
    <t>База 145х140</t>
  </si>
  <si>
    <t>Отход 145х140</t>
  </si>
  <si>
    <t>под 45й  - 30мм</t>
  </si>
  <si>
    <t>под 95й - 50мм</t>
  </si>
  <si>
    <t>под остальной - 100мм</t>
  </si>
  <si>
    <t xml:space="preserve">Опора бруса раскрытая OBR R-50х160х2 </t>
  </si>
  <si>
    <r>
      <rPr>
        <b/>
        <sz val="11"/>
        <rFont val="Arial"/>
        <family val="2"/>
        <charset val="204"/>
      </rPr>
      <t>45 и 95 мм</t>
    </r>
    <r>
      <rPr>
        <sz val="11"/>
        <rFont val="Arial"/>
        <family val="2"/>
        <charset val="204"/>
      </rPr>
      <t xml:space="preserve"> - Опора бруса раскрытая OBR R-50х140х2 </t>
    </r>
  </si>
  <si>
    <t>Саморез 3.5х41 мм</t>
  </si>
  <si>
    <t>Шуруп оцинкованный 8х50</t>
  </si>
  <si>
    <t xml:space="preserve">Шуруп оцинкованный 6х80 </t>
  </si>
  <si>
    <t>Шуруп оцинкованный 8х100</t>
  </si>
  <si>
    <t>Ед. Изм.</t>
  </si>
  <si>
    <t>2.3 Монтаж потолочного перекрытия. Материал</t>
  </si>
  <si>
    <t>2.2 Монтаж перекрытия третьего этажа. Материал</t>
  </si>
  <si>
    <t>2.1 Монтаж перекрытия второго этажа. Материал</t>
  </si>
  <si>
    <t>2. Монтаж перекрытия первого этажа. Материал</t>
  </si>
  <si>
    <t>2.2 Монтаж потолочного перекрытия. Материал</t>
  </si>
  <si>
    <t xml:space="preserve">Монтаж стенового комплекта </t>
  </si>
  <si>
    <t>Нагеля</t>
  </si>
  <si>
    <t>Доска 50х150мм. Ест. Влажность</t>
  </si>
  <si>
    <t>цена политерма</t>
  </si>
  <si>
    <t>Прием  материалов (крепеж/политерм/крепеж)</t>
  </si>
  <si>
    <t>Столбы</t>
  </si>
  <si>
    <t>Непредвиденные 3,5%</t>
  </si>
  <si>
    <t>с админки</t>
  </si>
  <si>
    <t>Брусовые дома</t>
  </si>
  <si>
    <t>Дома ОЦБ</t>
  </si>
  <si>
    <t>Цена 10/тн</t>
  </si>
  <si>
    <t>Цена 20/тн</t>
  </si>
  <si>
    <t>цена бревно</t>
  </si>
  <si>
    <t>Дома Ручная Рубка</t>
  </si>
  <si>
    <t xml:space="preserve"> "СОГЛАСОВАНО"</t>
  </si>
  <si>
    <t xml:space="preserve">_________________________  /                      /      </t>
  </si>
  <si>
    <t xml:space="preserve">"  "                  202  г.    </t>
  </si>
  <si>
    <t xml:space="preserve">Раздел №1 Строительно-монтажные работы по устройству "монолитной плиты" </t>
  </si>
  <si>
    <t>мм.</t>
  </si>
  <si>
    <t>Крыши</t>
  </si>
  <si>
    <t>1.1.</t>
  </si>
  <si>
    <t xml:space="preserve">Антисептирование  300 гр/м² для II группы </t>
  </si>
  <si>
    <t xml:space="preserve">Антисептирование всех балок 300 гр/м² для II группы </t>
  </si>
  <si>
    <t xml:space="preserve">Антисептирование  комплекта  300 гр/м² для II группы </t>
  </si>
  <si>
    <t>Огнебиозащита Сенеж Проф 23кг с учетом балок</t>
  </si>
  <si>
    <t>Огнебиозащита Сенеж Проф 23кг  с учетом балок</t>
  </si>
  <si>
    <t xml:space="preserve">Антисептирование 300 гр/м² для II группы </t>
  </si>
  <si>
    <t>Антисептирование 300 гр/м² для II группы</t>
  </si>
  <si>
    <t>Оцилиндрованное бревно (лиственница) D 280мм</t>
  </si>
  <si>
    <t>Монтаж нижней контробрешетки</t>
  </si>
  <si>
    <t>Монтаж верхней контробрешетки</t>
  </si>
  <si>
    <t>Лента соединительная двухсторонняя 25*0,03 м D-TACK Tacoduo</t>
  </si>
  <si>
    <t>Монтаж ленты</t>
  </si>
  <si>
    <t>Политерм 160/15/300</t>
  </si>
  <si>
    <t>Политерм 170/15/300</t>
  </si>
  <si>
    <t>Политерм 180/15/300</t>
  </si>
  <si>
    <t>Политерм 190/15/300</t>
  </si>
  <si>
    <t>Политерм 200/15/300</t>
  </si>
  <si>
    <t>ХВ Монтаж бревна 320мм</t>
  </si>
  <si>
    <t>ХВ Монтаж бревна 340мм</t>
  </si>
  <si>
    <t>ХВ Монтаж бревна 360мм</t>
  </si>
  <si>
    <t>ХВ Монтаж бревна 380мм</t>
  </si>
  <si>
    <t>ХВ Монтаж бревна 400мм</t>
  </si>
  <si>
    <t>Монтаж бревна 320мм</t>
  </si>
  <si>
    <t>Монтаж бревна 340мм</t>
  </si>
  <si>
    <t>Монтаж бревна 360мм</t>
  </si>
  <si>
    <t>Монтаж бревна 380мм</t>
  </si>
  <si>
    <t>Монтаж бревна 400мм</t>
  </si>
  <si>
    <t>Арматура д.12 А500С</t>
  </si>
  <si>
    <t>Отмосток да/нет 1/0</t>
  </si>
  <si>
    <t>Гидростеклоизол</t>
  </si>
  <si>
    <t>Раздел -  Строительно-монтажные работы по коробке из рубленного бревна</t>
  </si>
  <si>
    <t>Рубка сруба на строительной плаощадке</t>
  </si>
  <si>
    <t>Рубка</t>
  </si>
  <si>
    <t>Сборка</t>
  </si>
  <si>
    <t>Обработка септиком брус/ОЦБ/бревно рубка</t>
  </si>
  <si>
    <t>Монтаж межвенцового утеплителя 2 слоя</t>
  </si>
  <si>
    <t>Накладные расходы 20%</t>
  </si>
  <si>
    <t>Непредвиденные 5%</t>
  </si>
  <si>
    <t xml:space="preserve"> Ель/сосна</t>
  </si>
  <si>
    <t xml:space="preserve"> Листва</t>
  </si>
  <si>
    <t xml:space="preserve"> Кедр</t>
  </si>
  <si>
    <t>Автокран монтаж ОЦБ/Рубка</t>
  </si>
  <si>
    <t>Лента межвенцового утеплителя Политерм 90/15/300</t>
  </si>
  <si>
    <t>Монтаж стенового комплекта D 180 мм</t>
  </si>
  <si>
    <t>Монтаж стенового комплекта D 200 мм</t>
  </si>
  <si>
    <t>Лента межвенцового утеплителя Политерм 100/15/300</t>
  </si>
  <si>
    <t>Монтаж стенового комплекта D 220 мм</t>
  </si>
  <si>
    <t>Лента межвенцового утеплителя Политерм 120/15/300</t>
  </si>
  <si>
    <t>Монтаж стенового комплекта D 240 мм</t>
  </si>
  <si>
    <t>Лента межвенцового утеплителя Политерм 110/15/300</t>
  </si>
  <si>
    <t>Монтаж стенового комплекта D 260 мм</t>
  </si>
  <si>
    <t>Монтаж стенового комплекта D 280 мм</t>
  </si>
  <si>
    <t>Монтаж стенового комплекта D 300 мм</t>
  </si>
  <si>
    <t>Монтаж стенового комплекта D 320 мм</t>
  </si>
  <si>
    <t>Монтаж стенового комплекта D 340 мм</t>
  </si>
  <si>
    <t>Монтаж стенового комплекта D 360 мм</t>
  </si>
  <si>
    <t>Монтаж стенового комплекта D 380 мм</t>
  </si>
  <si>
    <t>Монтаж стенового комплекта D 400 мм</t>
  </si>
  <si>
    <t>Пиловочник Лиственница  D 200/210мм</t>
  </si>
  <si>
    <t>Пиловочник (ель/сосна) D 180/190мм</t>
  </si>
  <si>
    <t>Пиловочник (ель/сосна)  D 240/250мм</t>
  </si>
  <si>
    <t>Пиловочник (ель/сосна) D 260/270мм</t>
  </si>
  <si>
    <t>Пиловочник (ель/сосна) D 200/210мм</t>
  </si>
  <si>
    <t>Пиловочник (ель/сосна) D 220/230мм</t>
  </si>
  <si>
    <t>Пиловочник (ель/сосна) D 280/290мм</t>
  </si>
  <si>
    <t>Пиловочник (ель/сосна) D 300/310мм</t>
  </si>
  <si>
    <t>Пиловочник (ель/сосна) D 320/330мм</t>
  </si>
  <si>
    <t>Пиловочник (ель/сосна) D 340/350мм</t>
  </si>
  <si>
    <t>Пиловочник (ель/сосна) D 360/370мм</t>
  </si>
  <si>
    <t>Пиловочник (ель/сосна) D 380/390мм</t>
  </si>
  <si>
    <t>Пиловочник (ель/сосна) D 400/410мм</t>
  </si>
  <si>
    <t>Пиловочник Лиственница  D 220/230мм</t>
  </si>
  <si>
    <t>Пиловочник Лиственница  D 240/250мм</t>
  </si>
  <si>
    <t>Пиловочник Лиственница  D 260/270мм</t>
  </si>
  <si>
    <t>Пиловочник Лиственница  D 280/290мм</t>
  </si>
  <si>
    <t>Пиловочник Лиственница  D 300/310мм</t>
  </si>
  <si>
    <t>Пиловочник Лиственница  D 320/330мм</t>
  </si>
  <si>
    <t>Пиловочник Лиственница  D 340/350мм</t>
  </si>
  <si>
    <t>Пиловочник Лиственница  D 360/370мм</t>
  </si>
  <si>
    <t>Пиловочник Лиственница  D 380/390мм</t>
  </si>
  <si>
    <t>Пиловочник Лиственница  D 400/410мм</t>
  </si>
  <si>
    <t>Пиловочник Кедр  D 200/210мм</t>
  </si>
  <si>
    <t>Пиловочник Кедр  D 220/230мм</t>
  </si>
  <si>
    <t>Пиловочник Кедр  D 260/270мм</t>
  </si>
  <si>
    <t>Пиловочник Кедр  D 300/310мм</t>
  </si>
  <si>
    <t>Пиловочник Кедр  D 320/330мм</t>
  </si>
  <si>
    <t>Пиловочник Кедр  D 340/350мм</t>
  </si>
  <si>
    <t>Пиловочник Кедр  D 360/370мм</t>
  </si>
  <si>
    <t>Пиловочник Кедр  D 380/390мм</t>
  </si>
  <si>
    <t>Пиловочник Кедр  D 400/410мм</t>
  </si>
  <si>
    <t>Разработка грунта ХВС в ручную 1800х400мм</t>
  </si>
  <si>
    <t>Разработка грунта ЭОМ в ручную 700х400мм</t>
  </si>
  <si>
    <t>Разработка грунта СС в ручную 700х400мм</t>
  </si>
  <si>
    <t>3. Отмосток</t>
  </si>
  <si>
    <t>Устройство отмостка толщ 120-150 мм</t>
  </si>
  <si>
    <t>Гидроизоляция в два слоя</t>
  </si>
  <si>
    <t>Гидроизоляция ОТМОСТОК  в 2 слоя</t>
  </si>
  <si>
    <t>Аренда JSB 42м3/см</t>
  </si>
  <si>
    <t>0,2/0,25/0,3/0,35</t>
  </si>
  <si>
    <t>Разработка котлована без вывоза грунта с отмостком Да/Нет</t>
  </si>
  <si>
    <t xml:space="preserve">     "  " __________ 202  г.    </t>
  </si>
  <si>
    <r>
      <t xml:space="preserve">     </t>
    </r>
    <r>
      <rPr>
        <u/>
        <sz val="11"/>
        <rFont val="Times New Roman"/>
        <family val="1"/>
        <charset val="204"/>
      </rPr>
      <t xml:space="preserve">"  " ___________ 202  г. </t>
    </r>
    <r>
      <rPr>
        <sz val="11"/>
        <rFont val="Times New Roman"/>
        <family val="1"/>
        <charset val="204"/>
      </rPr>
      <t xml:space="preserve">   </t>
    </r>
  </si>
  <si>
    <r>
      <t xml:space="preserve">     </t>
    </r>
    <r>
      <rPr>
        <u/>
        <sz val="11"/>
        <rFont val="Times New Roman"/>
        <family val="1"/>
        <charset val="204"/>
      </rPr>
      <t xml:space="preserve">"  "               202  г. </t>
    </r>
    <r>
      <rPr>
        <sz val="11"/>
        <rFont val="Times New Roman"/>
        <family val="1"/>
        <charset val="204"/>
      </rPr>
      <t xml:space="preserve">   </t>
    </r>
  </si>
  <si>
    <r>
      <t xml:space="preserve">     </t>
    </r>
    <r>
      <rPr>
        <u/>
        <sz val="11"/>
        <rFont val="Times New Roman"/>
        <family val="1"/>
        <charset val="204"/>
      </rPr>
      <t xml:space="preserve">"  "                202  г. </t>
    </r>
    <r>
      <rPr>
        <sz val="11"/>
        <rFont val="Times New Roman"/>
        <family val="1"/>
        <charset val="204"/>
      </rPr>
      <t xml:space="preserve">   </t>
    </r>
  </si>
  <si>
    <t xml:space="preserve">Устройство щебеночного основания ширина ленты + 100мм толщиной мм </t>
  </si>
  <si>
    <t>4. Водосток пластиковый</t>
  </si>
  <si>
    <t>4.. Водосток металлический</t>
  </si>
  <si>
    <t>5. Прием материалов. Транспортные расходы</t>
  </si>
  <si>
    <t xml:space="preserve">                   ЛОКАЛЬНАЯ СМЕТА </t>
  </si>
  <si>
    <t xml:space="preserve">                           Раздел №1 Строительно-монтажные работы по устройству "Свайно-ростверкового фундамента" </t>
  </si>
  <si>
    <t>Разбивка  площадки с выносом осей с отмостком в мм  Да/Нет</t>
  </si>
  <si>
    <t>В. отмостка</t>
  </si>
  <si>
    <t>Гвоздь строительный 100мм</t>
  </si>
  <si>
    <t>Брус обрезной 50х150мм</t>
  </si>
  <si>
    <t>Брус 50х150/200мм</t>
  </si>
  <si>
    <t>Монтаж обвязки свай брус 50х150 путем сращивания в 150х150мм гвоздями</t>
  </si>
  <si>
    <t>Брус обрезной 50х200мм</t>
  </si>
  <si>
    <t>гвоздь-100мм</t>
  </si>
  <si>
    <t>Монтаж обвязки свай брус 50х200 путем сращивания в 200х200мм гвоздями</t>
  </si>
  <si>
    <t>Изготовление П-образный хомут "торец"</t>
  </si>
  <si>
    <t>Изготовление деталей "лягушка"</t>
  </si>
  <si>
    <t>Изготовление деталей "крест"</t>
  </si>
  <si>
    <t>Изготовление деталей "угол"</t>
  </si>
  <si>
    <t>Изготовление деталей "угол 45"</t>
  </si>
  <si>
    <t>Изготовление деталей "Т-образные"</t>
  </si>
  <si>
    <t>Изготовление деталей "стойка"</t>
  </si>
  <si>
    <t>Отмосток</t>
  </si>
  <si>
    <t>кнопка ДА/НЕТ на сайт Не более 1200 мм.</t>
  </si>
  <si>
    <t xml:space="preserve"> Уголок усиленный 90х90х2,0мм</t>
  </si>
  <si>
    <t>Уголок усиленный 90х90х2,0мм</t>
  </si>
  <si>
    <t>Саморез 4.8х89мм</t>
  </si>
  <si>
    <t xml:space="preserve">Устройство отсечки </t>
  </si>
  <si>
    <t>Гидроизоляция плиты в два слоя (верх)</t>
  </si>
  <si>
    <t>4. Транспортные расходы и аренда механизмов</t>
  </si>
  <si>
    <t>Устройство бетонного основания (подбетонка)  толщиной мм.</t>
  </si>
  <si>
    <t>Гидроизоляция в два слоя (подбетонка+торцы плиты)</t>
  </si>
  <si>
    <t>SHEET INDEX</t>
  </si>
  <si>
    <t>балки</t>
  </si>
  <si>
    <t>balk</t>
  </si>
  <si>
    <t>data</t>
  </si>
  <si>
    <t>Балки - Этажи 45 и 95мм</t>
  </si>
  <si>
    <t>balk45</t>
  </si>
  <si>
    <t>Балки - КС и ПБКЛ</t>
  </si>
  <si>
    <t>balkKS</t>
  </si>
  <si>
    <t>Балки - ест. влахность</t>
  </si>
  <si>
    <t>balkNatural</t>
  </si>
  <si>
    <t>Смета Мягкая</t>
  </si>
  <si>
    <t>rSoft</t>
  </si>
  <si>
    <t>Смета Железо</t>
  </si>
  <si>
    <t>rMetal</t>
  </si>
  <si>
    <t>Смета винты 89х2500</t>
  </si>
  <si>
    <t>Vinta8925</t>
  </si>
  <si>
    <t>Смета винты 89х3000</t>
  </si>
  <si>
    <t>Vinta8930</t>
  </si>
  <si>
    <t>Смета винты 108х2500</t>
  </si>
  <si>
    <t>Vinta10825</t>
  </si>
  <si>
    <t>Смета винты 108х3000</t>
  </si>
  <si>
    <t>Vinta10830</t>
  </si>
  <si>
    <t>Смета ЖБ 150х3000</t>
  </si>
  <si>
    <t>Beton153</t>
  </si>
  <si>
    <t>Смета ЖБ 200х3000</t>
  </si>
  <si>
    <t>Beton203</t>
  </si>
  <si>
    <t>Смета ЖБ 150х4000</t>
  </si>
  <si>
    <t>Beton154</t>
  </si>
  <si>
    <t>Смета ЖБ 200х4000</t>
  </si>
  <si>
    <t>Beton204</t>
  </si>
  <si>
    <t>Смета - Рубероид</t>
  </si>
  <si>
    <t>rRub</t>
  </si>
  <si>
    <t>Смета СВ-Рост 600х300</t>
  </si>
  <si>
    <t>unknown</t>
  </si>
  <si>
    <t>Смета лента 600х300</t>
  </si>
  <si>
    <t>fLenta</t>
  </si>
  <si>
    <t>Смета лента 700х300</t>
  </si>
  <si>
    <t>na</t>
  </si>
  <si>
    <t>Смета плита</t>
  </si>
  <si>
    <t>fMono</t>
  </si>
  <si>
    <t>Смета ХВ 200</t>
  </si>
  <si>
    <t>dOCBSos200</t>
  </si>
  <si>
    <t>Смета брус КС 145х45</t>
  </si>
  <si>
    <t>Kamera14545</t>
  </si>
  <si>
    <t>Смета брус КС 145х95</t>
  </si>
  <si>
    <t>Kamera14595</t>
  </si>
  <si>
    <t>Смета брус КС 145х145</t>
  </si>
  <si>
    <t>Kamera145</t>
  </si>
  <si>
    <t>Смета брус КС 145х195</t>
  </si>
  <si>
    <t>Kamera145195</t>
  </si>
  <si>
    <t>Смета брус КС 195х195</t>
  </si>
  <si>
    <t>Kamera195</t>
  </si>
  <si>
    <t>Смета брус ЕВ 145х140</t>
  </si>
  <si>
    <t>dNaturalBrus145140</t>
  </si>
  <si>
    <t>Смета брус ЕВ 145х190</t>
  </si>
  <si>
    <t>dNaturalBrus145190</t>
  </si>
  <si>
    <t>Смета брус ЕВ 195х190</t>
  </si>
  <si>
    <t>dNaturalBrus195190</t>
  </si>
  <si>
    <t>Смета брус ЕВ-Л 145х140</t>
  </si>
  <si>
    <t>dNaturalBrusL145140</t>
  </si>
  <si>
    <t>Смета брус ЕВ-Л 145х190</t>
  </si>
  <si>
    <t>dNaturalBrusL145190</t>
  </si>
  <si>
    <t>Смета брус ЕВ-Л 195х190</t>
  </si>
  <si>
    <t>dNaturalBrusL195190</t>
  </si>
  <si>
    <t>Смета брус ЕВ-К 145х140</t>
  </si>
  <si>
    <t>dNaturalBrusK145140</t>
  </si>
  <si>
    <t>Смета брус ЕВ-К 145х190</t>
  </si>
  <si>
    <t>dNaturalBrusK145190</t>
  </si>
  <si>
    <t>Смета брус ЕВ-К 195х190</t>
  </si>
  <si>
    <t>dNaturalBrusK195190</t>
  </si>
  <si>
    <t>Смета КЛ 145х160</t>
  </si>
  <si>
    <t>Glue145160</t>
  </si>
  <si>
    <t>Смета КЛ 145х200</t>
  </si>
  <si>
    <t>Glue145200</t>
  </si>
  <si>
    <t>Смета КЛ 190х160</t>
  </si>
  <si>
    <t>Glue190160</t>
  </si>
  <si>
    <t>Смета КЛ 190х200</t>
  </si>
  <si>
    <t>Glue190200</t>
  </si>
  <si>
    <t>Смета КЛ 145х240</t>
  </si>
  <si>
    <t>Glue145240</t>
  </si>
  <si>
    <t>Смета КЛ 190х240</t>
  </si>
  <si>
    <t>Glue190240</t>
  </si>
  <si>
    <t>Смета КЛ 230х160</t>
  </si>
  <si>
    <t>Glue230160</t>
  </si>
  <si>
    <t>Смета КЛ 230х200</t>
  </si>
  <si>
    <t>Glue230200</t>
  </si>
  <si>
    <t>Смета КЛ 230х240</t>
  </si>
  <si>
    <t>Glue230240</t>
  </si>
  <si>
    <t>Смета КЛ 250х160</t>
  </si>
  <si>
    <t>Glue250160</t>
  </si>
  <si>
    <t>Смета КЛ 250х200</t>
  </si>
  <si>
    <t>Glue250200</t>
  </si>
  <si>
    <t>Смета КЛ 280х200</t>
  </si>
  <si>
    <t>Glue280200</t>
  </si>
  <si>
    <t>Смета ХВ 180</t>
  </si>
  <si>
    <t>dOCBSos180</t>
  </si>
  <si>
    <t>Смета ХВ 220</t>
  </si>
  <si>
    <t>dOCBSos220</t>
  </si>
  <si>
    <t>Смета ХВ 240</t>
  </si>
  <si>
    <t>dOCBSos240</t>
  </si>
  <si>
    <t>Смета ХВ 260</t>
  </si>
  <si>
    <t>dOCBSos260</t>
  </si>
  <si>
    <t>Смета ХВ 280</t>
  </si>
  <si>
    <t>dOCBSos280</t>
  </si>
  <si>
    <t>Смета ХВ 300</t>
  </si>
  <si>
    <t>dOCBSos300</t>
  </si>
  <si>
    <t>Смета Л 200</t>
  </si>
  <si>
    <t>dOCBList200</t>
  </si>
  <si>
    <t>Смета Л 220</t>
  </si>
  <si>
    <t>dOCBList220</t>
  </si>
  <si>
    <t>Смета Л 240</t>
  </si>
  <si>
    <t>dOCBList240</t>
  </si>
  <si>
    <t>Смета Л 260</t>
  </si>
  <si>
    <t>dOCBList260</t>
  </si>
  <si>
    <t>Смета Л 280</t>
  </si>
  <si>
    <t>dOCBList280</t>
  </si>
  <si>
    <t>Смета Л 300</t>
  </si>
  <si>
    <t>dOCBList300</t>
  </si>
  <si>
    <t>Смета К 200</t>
  </si>
  <si>
    <t>dOCBKedr200</t>
  </si>
  <si>
    <t>Смета К 220</t>
  </si>
  <si>
    <t>dOCBKedr220</t>
  </si>
  <si>
    <t>Смета К 240</t>
  </si>
  <si>
    <t>dOCBKedr240</t>
  </si>
  <si>
    <t>Смета К 260</t>
  </si>
  <si>
    <t>dOCBKedr260</t>
  </si>
  <si>
    <t>Смета К 280</t>
  </si>
  <si>
    <t>dOCBKedr280</t>
  </si>
  <si>
    <t>Смета К 300</t>
  </si>
  <si>
    <t>dOCBKedr300</t>
  </si>
  <si>
    <t>Смета ХВР 180</t>
  </si>
  <si>
    <t>dRrSos180</t>
  </si>
  <si>
    <t>Смета ХВР 200</t>
  </si>
  <si>
    <t>dRrSos200</t>
  </si>
  <si>
    <t>Смета ХВР 220</t>
  </si>
  <si>
    <t>dRrSos220</t>
  </si>
  <si>
    <t>Смета ХВР 240</t>
  </si>
  <si>
    <t>dRrSos240</t>
  </si>
  <si>
    <t>Смета ХВР 260</t>
  </si>
  <si>
    <t>dRrSos260</t>
  </si>
  <si>
    <t>Смета ХВР 280</t>
  </si>
  <si>
    <t>dRrSos280</t>
  </si>
  <si>
    <t>Смета ХВР 300</t>
  </si>
  <si>
    <t>dRrSos300</t>
  </si>
  <si>
    <t>Смета ХВР 320</t>
  </si>
  <si>
    <t>dRrSos320</t>
  </si>
  <si>
    <t>Смета ХВР 340</t>
  </si>
  <si>
    <t>dRrSos340</t>
  </si>
  <si>
    <t>Смета ХВР 360</t>
  </si>
  <si>
    <t>dRrSos360</t>
  </si>
  <si>
    <t>Смета ХВР 380</t>
  </si>
  <si>
    <t>dRrSos380</t>
  </si>
  <si>
    <t>Смета ХВР 400</t>
  </si>
  <si>
    <t>dRrSos400</t>
  </si>
  <si>
    <t>Смета ЛР 200</t>
  </si>
  <si>
    <t>dRrList200</t>
  </si>
  <si>
    <t>Смета ЛР 220</t>
  </si>
  <si>
    <t>dRrList220</t>
  </si>
  <si>
    <t>Смета ЛР 240</t>
  </si>
  <si>
    <t>dRrList240</t>
  </si>
  <si>
    <t>Смета ЛР 260</t>
  </si>
  <si>
    <t>dRrList260</t>
  </si>
  <si>
    <t>Смета ЛР 280</t>
  </si>
  <si>
    <t>dRrList280</t>
  </si>
  <si>
    <t>Смета ЛР 300</t>
  </si>
  <si>
    <t>dRrList300</t>
  </si>
  <si>
    <t>Смета ЛР 320</t>
  </si>
  <si>
    <t>dRrList320</t>
  </si>
  <si>
    <t>Смета ЛР 340</t>
  </si>
  <si>
    <t>dRrList340</t>
  </si>
  <si>
    <t>Смета ЛР 360</t>
  </si>
  <si>
    <t>dRrList360</t>
  </si>
  <si>
    <t>Смета ЛР 380</t>
  </si>
  <si>
    <t>dRrList380</t>
  </si>
  <si>
    <t>Смета ЛР 400</t>
  </si>
  <si>
    <t>dRrList400</t>
  </si>
  <si>
    <t>Смета КР 200</t>
  </si>
  <si>
    <t>dRrKedr200</t>
  </si>
  <si>
    <t>Смета КР 220</t>
  </si>
  <si>
    <t>dRrKedr220</t>
  </si>
  <si>
    <t>Смета КР 240</t>
  </si>
  <si>
    <t>dRrKedr240</t>
  </si>
  <si>
    <t>Смета КР 260</t>
  </si>
  <si>
    <t>dRrKedr260</t>
  </si>
  <si>
    <t>Смета КР 280</t>
  </si>
  <si>
    <t>dRrKedr280</t>
  </si>
  <si>
    <t>Смета КР 300</t>
  </si>
  <si>
    <t>dRrKedr300</t>
  </si>
  <si>
    <t>Смета КР 320</t>
  </si>
  <si>
    <t>dRrKedr320</t>
  </si>
  <si>
    <t>Смета КР 340</t>
  </si>
  <si>
    <t>dRrKedr340</t>
  </si>
  <si>
    <t>Смета КР 360</t>
  </si>
  <si>
    <t>dRrKedr360</t>
  </si>
  <si>
    <t>Смета КР 380</t>
  </si>
  <si>
    <t>dRrKedr380</t>
  </si>
  <si>
    <t>Смета КР 400</t>
  </si>
  <si>
    <t>dRrKedr400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</si>
</sst>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\ ##0"/>
    <numFmt numFmtId="165" formatCode="0.000%"/>
    <numFmt numFmtId="166" formatCode="#,##0.000"/>
    <numFmt numFmtId="167" formatCode="0.000"/>
    <numFmt numFmtId="168" formatCode="0.0000"/>
    <numFmt numFmtId="169" formatCode="#,##0.0000"/>
    <numFmt numFmtId="170" formatCode="0.0%"/>
    <numFmt numFmtId="171" formatCode="#,##0\ &quot;₽&quot;"/>
    <numFmt numFmtId="172" formatCode="#,##0.00\ &quot;₽&quot;"/>
    <numFmt numFmtId="173" formatCode="#,##0.00;[Red]#,##0.00"/>
  </numFmts>
  <fonts count="6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name val="Arial Cyr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Arial"/>
      <family val="2"/>
      <charset val="204"/>
    </font>
    <font>
      <i/>
      <sz val="11"/>
      <name val="Arial"/>
      <family val="2"/>
      <charset val="204"/>
    </font>
    <font>
      <sz val="10"/>
      <name val="Arial"/>
      <family val="2"/>
      <charset val="204"/>
    </font>
    <font>
      <i/>
      <sz val="11"/>
      <color indexed="8"/>
      <name val="Arial"/>
      <family val="2"/>
      <charset val="204"/>
    </font>
    <font>
      <b/>
      <sz val="12"/>
      <name val="Arial Cyr"/>
      <charset val="204"/>
    </font>
    <font>
      <sz val="10"/>
      <color rgb="FFFF0000"/>
      <name val="Arial Cyr"/>
      <family val="2"/>
      <charset val="204"/>
    </font>
    <font>
      <b/>
      <sz val="11"/>
      <color rgb="FFFF0000"/>
      <name val="Arial Cyr"/>
      <family val="2"/>
      <charset val="204"/>
    </font>
    <font>
      <b/>
      <sz val="12"/>
      <name val="Arial Cyr"/>
      <family val="2"/>
      <charset val="204"/>
    </font>
    <font>
      <b/>
      <sz val="11"/>
      <name val="Arial Cyr"/>
      <charset val="204"/>
    </font>
    <font>
      <b/>
      <sz val="10"/>
      <color rgb="FFFF0000"/>
      <name val="Arial Cyr"/>
      <charset val="204"/>
    </font>
    <font>
      <sz val="11"/>
      <color rgb="FFFF0000"/>
      <name val="Arial"/>
      <family val="2"/>
      <charset val="204"/>
    </font>
    <font>
      <sz val="11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rgb="FFFFFF00"/>
      <name val="Arial"/>
      <family val="2"/>
      <charset val="204"/>
    </font>
    <font>
      <b/>
      <sz val="12"/>
      <name val="Times New Roman"/>
      <family val="1"/>
      <charset val="204"/>
    </font>
    <font>
      <sz val="11"/>
      <color rgb="FFFFFF00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rgb="FF7030A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sz val="11"/>
      <name val="Calibri"/>
      <family val="2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11"/>
      <name val="Arial Cyr"/>
      <family val="2"/>
      <charset val="204"/>
    </font>
    <font>
      <sz val="11"/>
      <color theme="0"/>
      <name val="Arial Cyr"/>
      <family val="2"/>
      <charset val="204"/>
    </font>
    <font>
      <sz val="12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2"/>
      <name val="Calibri"/>
      <family val="2"/>
      <charset val="204"/>
      <scheme val="minor"/>
    </font>
    <font>
      <b/>
      <u/>
      <sz val="12"/>
      <color rgb="FFFF0000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u/>
      <sz val="1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name val="Arial Cyr"/>
      <charset val="204"/>
    </font>
    <font>
      <sz val="11"/>
      <color rgb="FFFF0000"/>
      <name val="Arial Cyr"/>
      <family val="2"/>
      <charset val="204"/>
    </font>
    <font>
      <sz val="11"/>
      <name val="Arial Cyr"/>
      <charset val="204"/>
    </font>
    <font>
      <sz val="10"/>
      <color rgb="FFFF0000"/>
      <name val="Arial Cyr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CFC72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rgb="FF92D050"/>
        <bgColor indexed="64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150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2" xfId="0" applyFill="1" applyBorder="1" applyAlignment="1" applyProtection="1">
      <alignment horizontal="left" vertical="center"/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Alignment="1" applyProtection="1">
      <alignment horizontal="left" vertical="center"/>
      <protection locked="0"/>
    </xf>
    <xf numFmtId="0" fontId="0" fillId="2" borderId="3" xfId="0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0" fillId="4" borderId="3" xfId="0" applyFill="1" applyBorder="1" applyAlignment="1" applyProtection="1">
      <alignment horizontal="left" vertical="center"/>
      <protection locked="0"/>
    </xf>
    <xf numFmtId="0" fontId="0" fillId="4" borderId="3" xfId="0" applyFill="1" applyBorder="1" applyAlignment="1" applyProtection="1">
      <alignment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0" borderId="0" xfId="0" quotePrefix="1" applyFont="1"/>
    <xf numFmtId="0" fontId="1" fillId="2" borderId="1" xfId="0" applyFont="1" applyFill="1" applyBorder="1" applyAlignment="1">
      <alignment horizontal="center"/>
    </xf>
    <xf numFmtId="165" fontId="1" fillId="0" borderId="0" xfId="0" applyNumberFormat="1" applyFont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  <xf numFmtId="4" fontId="0" fillId="0" borderId="0" xfId="0" applyNumberFormat="1"/>
    <xf numFmtId="0" fontId="7" fillId="6" borderId="8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4" fontId="7" fillId="6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/>
    </xf>
    <xf numFmtId="0" fontId="7" fillId="6" borderId="9" xfId="0" applyFont="1" applyFill="1" applyBorder="1" applyAlignment="1">
      <alignment horizontal="center" vertical="center"/>
    </xf>
    <xf numFmtId="4" fontId="7" fillId="6" borderId="9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4" fontId="7" fillId="6" borderId="8" xfId="0" applyNumberFormat="1" applyFont="1" applyFill="1" applyBorder="1" applyAlignment="1">
      <alignment horizontal="center" vertical="center"/>
    </xf>
    <xf numFmtId="4" fontId="7" fillId="0" borderId="8" xfId="0" applyNumberFormat="1" applyFont="1" applyBorder="1" applyAlignment="1">
      <alignment horizontal="center"/>
    </xf>
    <xf numFmtId="4" fontId="7" fillId="0" borderId="8" xfId="0" applyNumberFormat="1" applyFont="1" applyBorder="1" applyAlignment="1">
      <alignment horizontal="center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center"/>
    </xf>
    <xf numFmtId="4" fontId="10" fillId="6" borderId="0" xfId="1" applyNumberFormat="1" applyFont="1" applyFill="1" applyAlignment="1">
      <alignment horizontal="center" vertical="center"/>
    </xf>
    <xf numFmtId="0" fontId="10" fillId="6" borderId="0" xfId="0" applyFont="1" applyFill="1" applyAlignment="1">
      <alignment horizontal="left" vertical="center"/>
    </xf>
    <xf numFmtId="4" fontId="10" fillId="6" borderId="0" xfId="0" applyNumberFormat="1" applyFont="1" applyFill="1" applyAlignment="1">
      <alignment vertical="center"/>
    </xf>
    <xf numFmtId="4" fontId="10" fillId="6" borderId="0" xfId="0" applyNumberFormat="1" applyFont="1" applyFill="1" applyAlignment="1">
      <alignment horizontal="right" vertical="center"/>
    </xf>
    <xf numFmtId="4" fontId="10" fillId="6" borderId="0" xfId="0" applyNumberFormat="1" applyFont="1" applyFill="1" applyAlignment="1">
      <alignment horizontal="center" vertical="center"/>
    </xf>
    <xf numFmtId="0" fontId="10" fillId="6" borderId="0" xfId="1" applyFont="1" applyFill="1" applyAlignment="1">
      <alignment vertical="center"/>
    </xf>
    <xf numFmtId="4" fontId="10" fillId="12" borderId="0" xfId="1" applyNumberFormat="1" applyFont="1" applyFill="1" applyAlignment="1">
      <alignment horizontal="center" vertical="center" wrapText="1"/>
    </xf>
    <xf numFmtId="4" fontId="9" fillId="12" borderId="0" xfId="1" applyNumberFormat="1" applyFont="1" applyFill="1" applyAlignment="1">
      <alignment horizontal="right" vertical="center" wrapText="1"/>
    </xf>
    <xf numFmtId="4" fontId="12" fillId="12" borderId="0" xfId="1" applyNumberFormat="1" applyFont="1" applyFill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 wrapText="1"/>
    </xf>
    <xf numFmtId="4" fontId="9" fillId="12" borderId="1" xfId="1" applyNumberFormat="1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/>
    </xf>
    <xf numFmtId="3" fontId="9" fillId="12" borderId="1" xfId="1" applyNumberFormat="1" applyFont="1" applyFill="1" applyBorder="1" applyAlignment="1">
      <alignment horizontal="center" vertical="center" wrapText="1"/>
    </xf>
    <xf numFmtId="0" fontId="13" fillId="12" borderId="0" xfId="1" applyFont="1" applyFill="1" applyAlignment="1">
      <alignment horizontal="center" vertical="center"/>
    </xf>
    <xf numFmtId="3" fontId="13" fillId="12" borderId="0" xfId="1" applyNumberFormat="1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4" fontId="7" fillId="6" borderId="0" xfId="0" applyNumberFormat="1" applyFont="1" applyFill="1" applyAlignment="1">
      <alignment horizontal="center" vertic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 wrapText="1"/>
    </xf>
    <xf numFmtId="4" fontId="15" fillId="6" borderId="0" xfId="0" applyNumberFormat="1" applyFont="1" applyFill="1" applyAlignment="1">
      <alignment horizontal="center" vertical="center"/>
    </xf>
    <xf numFmtId="0" fontId="7" fillId="6" borderId="1" xfId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 wrapText="1"/>
    </xf>
    <xf numFmtId="4" fontId="15" fillId="0" borderId="1" xfId="0" applyNumberFormat="1" applyFont="1" applyBorder="1" applyAlignment="1">
      <alignment horizontal="center" vertical="center"/>
    </xf>
    <xf numFmtId="0" fontId="7" fillId="6" borderId="8" xfId="1" applyFont="1" applyFill="1" applyBorder="1" applyAlignment="1">
      <alignment horizontal="center" vertical="center" wrapText="1"/>
    </xf>
    <xf numFmtId="4" fontId="7" fillId="0" borderId="1" xfId="1" applyNumberFormat="1" applyFont="1" applyBorder="1" applyAlignment="1">
      <alignment vertical="center" wrapText="1"/>
    </xf>
    <xf numFmtId="4" fontId="7" fillId="0" borderId="1" xfId="1" applyNumberFormat="1" applyFont="1" applyBorder="1" applyAlignment="1">
      <alignment horizontal="center" vertical="center" wrapText="1"/>
    </xf>
    <xf numFmtId="0" fontId="7" fillId="12" borderId="0" xfId="1" applyFont="1" applyFill="1" applyAlignment="1">
      <alignment horizontal="center" vertical="center" wrapText="1"/>
    </xf>
    <xf numFmtId="0" fontId="7" fillId="12" borderId="0" xfId="0" applyFont="1" applyFill="1" applyAlignment="1">
      <alignment vertical="center"/>
    </xf>
    <xf numFmtId="0" fontId="7" fillId="12" borderId="0" xfId="0" applyFont="1" applyFill="1" applyAlignment="1">
      <alignment horizontal="center" vertical="center"/>
    </xf>
    <xf numFmtId="4" fontId="14" fillId="0" borderId="12" xfId="0" applyNumberFormat="1" applyFont="1" applyBorder="1" applyAlignment="1">
      <alignment horizontal="center" vertical="center"/>
    </xf>
    <xf numFmtId="4" fontId="7" fillId="12" borderId="0" xfId="1" applyNumberFormat="1" applyFont="1" applyFill="1" applyAlignment="1">
      <alignment horizontal="left" vertical="center" wrapText="1"/>
    </xf>
    <xf numFmtId="4" fontId="7" fillId="12" borderId="0" xfId="1" applyNumberFormat="1" applyFont="1" applyFill="1" applyAlignment="1">
      <alignment horizontal="center" vertical="center" wrapText="1"/>
    </xf>
    <xf numFmtId="2" fontId="15" fillId="6" borderId="8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4" fontId="15" fillId="0" borderId="8" xfId="0" applyNumberFormat="1" applyFont="1" applyBorder="1" applyAlignment="1">
      <alignment horizontal="center" vertical="center" wrapText="1"/>
    </xf>
    <xf numFmtId="4" fontId="15" fillId="0" borderId="8" xfId="0" applyNumberFormat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13" xfId="1" applyFont="1" applyBorder="1" applyAlignment="1">
      <alignment horizontal="center" vertical="center"/>
    </xf>
    <xf numFmtId="0" fontId="16" fillId="0" borderId="8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4" fontId="16" fillId="0" borderId="8" xfId="0" applyNumberFormat="1" applyFont="1" applyBorder="1" applyAlignment="1">
      <alignment horizontal="center"/>
    </xf>
    <xf numFmtId="4" fontId="16" fillId="0" borderId="13" xfId="0" applyNumberFormat="1" applyFont="1" applyBorder="1" applyAlignment="1">
      <alignment horizontal="center"/>
    </xf>
    <xf numFmtId="0" fontId="17" fillId="0" borderId="8" xfId="0" applyFont="1" applyBorder="1" applyAlignment="1">
      <alignment vertical="center"/>
    </xf>
    <xf numFmtId="0" fontId="7" fillId="0" borderId="8" xfId="0" applyFont="1" applyBorder="1" applyAlignment="1">
      <alignment horizontal="left"/>
    </xf>
    <xf numFmtId="4" fontId="16" fillId="0" borderId="14" xfId="0" applyNumberFormat="1" applyFont="1" applyBorder="1" applyAlignment="1">
      <alignment horizontal="center"/>
    </xf>
    <xf numFmtId="4" fontId="16" fillId="0" borderId="1" xfId="0" applyNumberFormat="1" applyFont="1" applyBorder="1" applyAlignment="1">
      <alignment horizontal="center"/>
    </xf>
    <xf numFmtId="0" fontId="17" fillId="0" borderId="10" xfId="0" applyFont="1" applyBorder="1" applyAlignment="1">
      <alignment vertical="center"/>
    </xf>
    <xf numFmtId="4" fontId="15" fillId="0" borderId="14" xfId="0" applyNumberFormat="1" applyFont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4" fontId="7" fillId="6" borderId="1" xfId="0" applyNumberFormat="1" applyFont="1" applyFill="1" applyBorder="1" applyAlignment="1">
      <alignment horizontal="center" vertical="center" wrapText="1"/>
    </xf>
    <xf numFmtId="4" fontId="7" fillId="12" borderId="1" xfId="1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center" vertical="center" wrapText="1"/>
    </xf>
    <xf numFmtId="4" fontId="15" fillId="12" borderId="1" xfId="0" applyNumberFormat="1" applyFont="1" applyFill="1" applyBorder="1" applyAlignment="1">
      <alignment horizontal="center" vertical="center"/>
    </xf>
    <xf numFmtId="4" fontId="15" fillId="6" borderId="1" xfId="0" applyNumberFormat="1" applyFont="1" applyFill="1" applyBorder="1" applyAlignment="1">
      <alignment horizontal="center" vertical="center" wrapText="1"/>
    </xf>
    <xf numFmtId="4" fontId="15" fillId="12" borderId="15" xfId="0" applyNumberFormat="1" applyFont="1" applyFill="1" applyBorder="1" applyAlignment="1">
      <alignment horizontal="center" vertical="center"/>
    </xf>
    <xf numFmtId="0" fontId="7" fillId="6" borderId="0" xfId="1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4" fontId="14" fillId="6" borderId="12" xfId="1" applyNumberFormat="1" applyFont="1" applyFill="1" applyBorder="1" applyAlignment="1">
      <alignment horizontal="center" vertical="center" wrapText="1"/>
    </xf>
    <xf numFmtId="4" fontId="7" fillId="6" borderId="0" xfId="1" applyNumberFormat="1" applyFont="1" applyFill="1" applyAlignment="1">
      <alignment vertical="center" wrapText="1"/>
    </xf>
    <xf numFmtId="4" fontId="7" fillId="6" borderId="0" xfId="1" applyNumberFormat="1" applyFont="1" applyFill="1" applyAlignment="1">
      <alignment horizontal="center" vertical="center" wrapText="1"/>
    </xf>
    <xf numFmtId="4" fontId="14" fillId="6" borderId="0" xfId="1" applyNumberFormat="1" applyFont="1" applyFill="1" applyAlignment="1">
      <alignment horizontal="right" vertical="center" wrapText="1"/>
    </xf>
    <xf numFmtId="4" fontId="14" fillId="6" borderId="0" xfId="1" applyNumberFormat="1" applyFont="1" applyFill="1" applyAlignment="1">
      <alignment horizontal="center" vertical="center" wrapText="1"/>
    </xf>
    <xf numFmtId="2" fontId="14" fillId="6" borderId="0" xfId="1" applyNumberFormat="1" applyFont="1" applyFill="1" applyAlignment="1">
      <alignment horizontal="right" vertical="center" wrapText="1"/>
    </xf>
    <xf numFmtId="4" fontId="7" fillId="6" borderId="1" xfId="1" applyNumberFormat="1" applyFont="1" applyFill="1" applyBorder="1" applyAlignment="1">
      <alignment horizontal="center" vertical="center" wrapText="1"/>
    </xf>
    <xf numFmtId="4" fontId="7" fillId="6" borderId="1" xfId="1" applyNumberFormat="1" applyFont="1" applyFill="1" applyBorder="1" applyAlignment="1">
      <alignment vertical="center" wrapText="1"/>
    </xf>
    <xf numFmtId="4" fontId="7" fillId="6" borderId="5" xfId="1" applyNumberFormat="1" applyFont="1" applyFill="1" applyBorder="1" applyAlignment="1">
      <alignment horizontal="center" vertical="center" wrapText="1"/>
    </xf>
    <xf numFmtId="4" fontId="7" fillId="6" borderId="6" xfId="1" applyNumberFormat="1" applyFont="1" applyFill="1" applyBorder="1" applyAlignment="1">
      <alignment vertical="center" wrapText="1"/>
    </xf>
    <xf numFmtId="4" fontId="7" fillId="13" borderId="1" xfId="1" applyNumberFormat="1" applyFont="1" applyFill="1" applyBorder="1" applyAlignment="1">
      <alignment horizontal="left" vertical="center" wrapText="1"/>
    </xf>
    <xf numFmtId="2" fontId="7" fillId="6" borderId="1" xfId="1" applyNumberFormat="1" applyFont="1" applyFill="1" applyBorder="1" applyAlignment="1">
      <alignment horizontal="center" vertical="center" wrapText="1"/>
    </xf>
    <xf numFmtId="4" fontId="14" fillId="6" borderId="1" xfId="1" applyNumberFormat="1" applyFont="1" applyFill="1" applyBorder="1" applyAlignment="1">
      <alignment horizontal="right" vertical="center" wrapText="1"/>
    </xf>
    <xf numFmtId="4" fontId="14" fillId="6" borderId="5" xfId="1" applyNumberFormat="1" applyFont="1" applyFill="1" applyBorder="1" applyAlignment="1">
      <alignment horizontal="right" vertical="center" wrapText="1"/>
    </xf>
    <xf numFmtId="4" fontId="14" fillId="6" borderId="1" xfId="1" applyNumberFormat="1" applyFont="1" applyFill="1" applyBorder="1" applyAlignment="1">
      <alignment horizontal="center" vertical="center" wrapText="1"/>
    </xf>
    <xf numFmtId="4" fontId="7" fillId="13" borderId="1" xfId="1" applyNumberFormat="1" applyFont="1" applyFill="1" applyBorder="1" applyAlignment="1">
      <alignment horizontal="center" vertical="center" wrapText="1"/>
    </xf>
    <xf numFmtId="4" fontId="14" fillId="0" borderId="1" xfId="1" applyNumberFormat="1" applyFont="1" applyBorder="1" applyAlignment="1">
      <alignment horizontal="center" vertical="center" wrapText="1"/>
    </xf>
    <xf numFmtId="1" fontId="14" fillId="0" borderId="6" xfId="1" applyNumberFormat="1" applyFont="1" applyBorder="1" applyAlignment="1">
      <alignment horizontal="center" vertical="center" wrapText="1"/>
    </xf>
    <xf numFmtId="1" fontId="14" fillId="0" borderId="6" xfId="1" applyNumberFormat="1" applyFont="1" applyBorder="1" applyAlignment="1">
      <alignment horizontal="center" vertical="center"/>
    </xf>
    <xf numFmtId="1" fontId="14" fillId="0" borderId="6" xfId="0" applyNumberFormat="1" applyFont="1" applyBorder="1" applyAlignment="1">
      <alignment horizontal="center" vertical="center"/>
    </xf>
    <xf numFmtId="1" fontId="14" fillId="0" borderId="23" xfId="0" applyNumberFormat="1" applyFont="1" applyBorder="1" applyAlignment="1">
      <alignment horizontal="center" vertical="center"/>
    </xf>
    <xf numFmtId="0" fontId="18" fillId="0" borderId="0" xfId="0" applyFont="1"/>
    <xf numFmtId="1" fontId="0" fillId="0" borderId="0" xfId="0" applyNumberFormat="1"/>
    <xf numFmtId="0" fontId="19" fillId="0" borderId="0" xfId="0" applyFont="1"/>
    <xf numFmtId="0" fontId="20" fillId="0" borderId="0" xfId="0" applyFont="1"/>
    <xf numFmtId="4" fontId="20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0" fontId="22" fillId="0" borderId="0" xfId="0" applyFont="1"/>
    <xf numFmtId="1" fontId="22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0" fillId="15" borderId="1" xfId="0" applyFill="1" applyBorder="1" applyAlignment="1" applyProtection="1">
      <alignment horizontal="center"/>
      <protection locked="0"/>
    </xf>
    <xf numFmtId="0" fontId="0" fillId="15" borderId="0" xfId="0" applyFill="1"/>
    <xf numFmtId="4" fontId="7" fillId="0" borderId="12" xfId="1" applyNumberFormat="1" applyFont="1" applyBorder="1" applyAlignment="1">
      <alignment vertical="center" wrapText="1"/>
    </xf>
    <xf numFmtId="4" fontId="7" fillId="0" borderId="12" xfId="1" applyNumberFormat="1" applyFont="1" applyBorder="1" applyAlignment="1">
      <alignment horizontal="center" vertical="center" wrapText="1"/>
    </xf>
    <xf numFmtId="4" fontId="15" fillId="6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4" fontId="7" fillId="6" borderId="19" xfId="0" applyNumberFormat="1" applyFont="1" applyFill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1" fontId="7" fillId="0" borderId="1" xfId="1" applyNumberFormat="1" applyFont="1" applyBorder="1" applyAlignment="1">
      <alignment horizontal="center" vertical="center" wrapText="1"/>
    </xf>
    <xf numFmtId="3" fontId="7" fillId="0" borderId="1" xfId="1" applyNumberFormat="1" applyFont="1" applyBorder="1" applyAlignment="1">
      <alignment horizontal="center" vertical="center" wrapText="1"/>
    </xf>
    <xf numFmtId="4" fontId="16" fillId="0" borderId="0" xfId="0" applyNumberFormat="1" applyFont="1" applyAlignment="1">
      <alignment horizontal="center"/>
    </xf>
    <xf numFmtId="4" fontId="16" fillId="0" borderId="12" xfId="0" applyNumberFormat="1" applyFont="1" applyBorder="1" applyAlignment="1">
      <alignment horizontal="center"/>
    </xf>
    <xf numFmtId="0" fontId="7" fillId="6" borderId="14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4" fontId="15" fillId="0" borderId="24" xfId="0" applyNumberFormat="1" applyFont="1" applyBorder="1" applyAlignment="1">
      <alignment horizontal="center" vertical="center"/>
    </xf>
    <xf numFmtId="4" fontId="15" fillId="0" borderId="12" xfId="0" applyNumberFormat="1" applyFont="1" applyBorder="1" applyAlignment="1">
      <alignment horizontal="center" vertical="center"/>
    </xf>
    <xf numFmtId="0" fontId="7" fillId="6" borderId="9" xfId="1" applyFont="1" applyFill="1" applyBorder="1" applyAlignment="1">
      <alignment horizontal="center" vertical="center" wrapText="1"/>
    </xf>
    <xf numFmtId="0" fontId="17" fillId="6" borderId="0" xfId="0" applyFont="1" applyFill="1" applyAlignment="1">
      <alignment vertical="center"/>
    </xf>
    <xf numFmtId="4" fontId="15" fillId="6" borderId="0" xfId="1" applyNumberFormat="1" applyFont="1" applyFill="1" applyAlignment="1">
      <alignment horizontal="center" vertical="center" wrapText="1"/>
    </xf>
    <xf numFmtId="2" fontId="15" fillId="6" borderId="0" xfId="0" applyNumberFormat="1" applyFont="1" applyFill="1" applyAlignment="1">
      <alignment horizontal="center" vertical="center"/>
    </xf>
    <xf numFmtId="2" fontId="15" fillId="6" borderId="1" xfId="0" applyNumberFormat="1" applyFont="1" applyFill="1" applyBorder="1" applyAlignment="1">
      <alignment horizontal="center" vertical="center"/>
    </xf>
    <xf numFmtId="0" fontId="7" fillId="6" borderId="24" xfId="1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16" fillId="0" borderId="27" xfId="0" applyFont="1" applyBorder="1" applyAlignment="1">
      <alignment horizontal="left"/>
    </xf>
    <xf numFmtId="0" fontId="16" fillId="0" borderId="27" xfId="0" applyFont="1" applyBorder="1" applyAlignment="1">
      <alignment horizontal="center"/>
    </xf>
    <xf numFmtId="4" fontId="16" fillId="0" borderId="27" xfId="0" applyNumberFormat="1" applyFont="1" applyBorder="1" applyAlignment="1">
      <alignment horizontal="center"/>
    </xf>
    <xf numFmtId="4" fontId="15" fillId="0" borderId="27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" fontId="7" fillId="0" borderId="12" xfId="0" applyNumberFormat="1" applyFont="1" applyBorder="1" applyAlignment="1">
      <alignment horizontal="left"/>
    </xf>
    <xf numFmtId="4" fontId="7" fillId="0" borderId="12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4" fontId="7" fillId="6" borderId="1" xfId="1" applyNumberFormat="1" applyFont="1" applyFill="1" applyBorder="1" applyAlignment="1">
      <alignment horizontal="left" wrapText="1"/>
    </xf>
    <xf numFmtId="2" fontId="7" fillId="6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15" fillId="0" borderId="12" xfId="0" applyFont="1" applyBorder="1" applyAlignment="1">
      <alignment horizontal="center" vertical="center"/>
    </xf>
    <xf numFmtId="1" fontId="15" fillId="0" borderId="12" xfId="0" applyNumberFormat="1" applyFont="1" applyBorder="1" applyAlignment="1">
      <alignment horizontal="center" vertical="center"/>
    </xf>
    <xf numFmtId="4" fontId="15" fillId="0" borderId="12" xfId="0" applyNumberFormat="1" applyFont="1" applyBorder="1" applyAlignment="1">
      <alignment horizontal="center" vertical="center" wrapText="1"/>
    </xf>
    <xf numFmtId="1" fontId="7" fillId="0" borderId="12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" fontId="7" fillId="0" borderId="0" xfId="1" applyNumberFormat="1" applyFont="1" applyAlignment="1">
      <alignment horizontal="left" vertical="center" wrapText="1"/>
    </xf>
    <xf numFmtId="4" fontId="7" fillId="0" borderId="0" xfId="1" applyNumberFormat="1" applyFont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2" fontId="15" fillId="0" borderId="8" xfId="0" applyNumberFormat="1" applyFont="1" applyBorder="1" applyAlignment="1">
      <alignment horizontal="center" vertical="center"/>
    </xf>
    <xf numFmtId="2" fontId="15" fillId="0" borderId="13" xfId="0" applyNumberFormat="1" applyFont="1" applyBorder="1" applyAlignment="1">
      <alignment horizontal="center" vertical="center"/>
    </xf>
    <xf numFmtId="167" fontId="15" fillId="0" borderId="8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4" fontId="7" fillId="0" borderId="1" xfId="1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 wrapText="1"/>
    </xf>
    <xf numFmtId="167" fontId="15" fillId="0" borderId="9" xfId="0" applyNumberFormat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 wrapText="1"/>
    </xf>
    <xf numFmtId="4" fontId="7" fillId="0" borderId="0" xfId="1" applyNumberFormat="1" applyFont="1" applyAlignment="1">
      <alignment vertical="center" wrapText="1"/>
    </xf>
    <xf numFmtId="169" fontId="7" fillId="0" borderId="1" xfId="0" applyNumberFormat="1" applyFont="1" applyBorder="1" applyAlignment="1">
      <alignment horizontal="center" vertical="center"/>
    </xf>
    <xf numFmtId="168" fontId="15" fillId="0" borderId="1" xfId="0" applyNumberFormat="1" applyFont="1" applyBorder="1" applyAlignment="1">
      <alignment horizontal="center" vertical="center"/>
    </xf>
    <xf numFmtId="169" fontId="7" fillId="0" borderId="1" xfId="0" applyNumberFormat="1" applyFont="1" applyBorder="1" applyAlignment="1">
      <alignment horizontal="center"/>
    </xf>
    <xf numFmtId="169" fontId="7" fillId="6" borderId="1" xfId="0" applyNumberFormat="1" applyFont="1" applyFill="1" applyBorder="1" applyAlignment="1">
      <alignment horizontal="center" vertical="center"/>
    </xf>
    <xf numFmtId="169" fontId="7" fillId="0" borderId="1" xfId="1" applyNumberFormat="1" applyFont="1" applyBorder="1" applyAlignment="1">
      <alignment horizontal="center" vertical="center" wrapText="1"/>
    </xf>
    <xf numFmtId="4" fontId="7" fillId="10" borderId="1" xfId="0" applyNumberFormat="1" applyFont="1" applyFill="1" applyBorder="1" applyAlignment="1">
      <alignment horizontal="center" vertical="center"/>
    </xf>
    <xf numFmtId="0" fontId="25" fillId="0" borderId="27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0" borderId="8" xfId="0" applyFont="1" applyBorder="1" applyAlignment="1">
      <alignment vertical="center"/>
    </xf>
    <xf numFmtId="4" fontId="7" fillId="0" borderId="0" xfId="0" applyNumberFormat="1" applyFont="1" applyAlignment="1">
      <alignment horizontal="center" vertical="center"/>
    </xf>
    <xf numFmtId="2" fontId="7" fillId="6" borderId="8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0" borderId="29" xfId="0" applyFont="1" applyBorder="1"/>
    <xf numFmtId="0" fontId="0" fillId="0" borderId="29" xfId="0" applyBorder="1"/>
    <xf numFmtId="0" fontId="27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0" fillId="19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3" fontId="0" fillId="19" borderId="1" xfId="0" applyNumberFormat="1" applyFill="1" applyBorder="1" applyAlignment="1">
      <alignment horizontal="center" vertical="center"/>
    </xf>
    <xf numFmtId="166" fontId="0" fillId="19" borderId="1" xfId="0" applyNumberFormat="1" applyFill="1" applyBorder="1" applyAlignment="1">
      <alignment horizontal="center" vertical="center"/>
    </xf>
    <xf numFmtId="166" fontId="0" fillId="19" borderId="1" xfId="0" applyNumberFormat="1" applyFill="1" applyBorder="1" applyAlignment="1">
      <alignment vertical="center"/>
    </xf>
    <xf numFmtId="170" fontId="0" fillId="19" borderId="1" xfId="0" applyNumberFormat="1" applyFill="1" applyBorder="1" applyAlignment="1">
      <alignment horizontal="center" vertical="center"/>
    </xf>
    <xf numFmtId="0" fontId="0" fillId="19" borderId="32" xfId="0" applyFill="1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19" borderId="34" xfId="0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1" fillId="19" borderId="36" xfId="0" applyFont="1" applyFill="1" applyBorder="1" applyAlignment="1">
      <alignment vertical="center"/>
    </xf>
    <xf numFmtId="167" fontId="1" fillId="19" borderId="37" xfId="0" applyNumberFormat="1" applyFont="1" applyFill="1" applyBorder="1" applyAlignment="1">
      <alignment horizontal="center" vertical="center"/>
    </xf>
    <xf numFmtId="4" fontId="1" fillId="19" borderId="37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vertical="center"/>
    </xf>
    <xf numFmtId="0" fontId="1" fillId="19" borderId="38" xfId="0" applyFont="1" applyFill="1" applyBorder="1" applyAlignment="1">
      <alignment vertical="center"/>
    </xf>
    <xf numFmtId="166" fontId="1" fillId="19" borderId="39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3" fontId="1" fillId="19" borderId="1" xfId="0" applyNumberFormat="1" applyFont="1" applyFill="1" applyBorder="1" applyAlignment="1">
      <alignment horizontal="center" vertical="center"/>
    </xf>
    <xf numFmtId="166" fontId="1" fillId="19" borderId="1" xfId="0" applyNumberFormat="1" applyFont="1" applyFill="1" applyBorder="1" applyAlignment="1">
      <alignment horizontal="center" vertical="center"/>
    </xf>
    <xf numFmtId="170" fontId="1" fillId="1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66" fontId="0" fillId="19" borderId="1" xfId="0" applyNumberFormat="1" applyFill="1" applyBorder="1" applyAlignment="1">
      <alignment horizontal="center"/>
    </xf>
    <xf numFmtId="2" fontId="0" fillId="19" borderId="1" xfId="0" applyNumberFormat="1" applyFill="1" applyBorder="1"/>
    <xf numFmtId="170" fontId="0" fillId="19" borderId="1" xfId="0" applyNumberFormat="1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4" fontId="0" fillId="19" borderId="1" xfId="0" applyNumberFormat="1" applyFill="1" applyBorder="1" applyAlignment="1">
      <alignment horizontal="center"/>
    </xf>
    <xf numFmtId="0" fontId="0" fillId="19" borderId="1" xfId="0" applyFill="1" applyBorder="1"/>
    <xf numFmtId="0" fontId="1" fillId="19" borderId="1" xfId="0" applyFont="1" applyFill="1" applyBorder="1"/>
    <xf numFmtId="166" fontId="1" fillId="19" borderId="1" xfId="0" applyNumberFormat="1" applyFont="1" applyFill="1" applyBorder="1" applyAlignment="1">
      <alignment horizontal="center"/>
    </xf>
    <xf numFmtId="170" fontId="1" fillId="19" borderId="1" xfId="0" applyNumberFormat="1" applyFont="1" applyFill="1" applyBorder="1" applyAlignment="1">
      <alignment horizontal="center"/>
    </xf>
    <xf numFmtId="0" fontId="0" fillId="19" borderId="12" xfId="0" applyFill="1" applyBorder="1"/>
    <xf numFmtId="3" fontId="1" fillId="19" borderId="1" xfId="0" applyNumberFormat="1" applyFont="1" applyFill="1" applyBorder="1" applyAlignment="1">
      <alignment horizontal="center"/>
    </xf>
    <xf numFmtId="0" fontId="7" fillId="6" borderId="9" xfId="0" applyFont="1" applyFill="1" applyBorder="1" applyAlignment="1">
      <alignment vertical="center"/>
    </xf>
    <xf numFmtId="4" fontId="7" fillId="0" borderId="9" xfId="0" applyNumberFormat="1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21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1" fontId="14" fillId="0" borderId="1" xfId="1" applyNumberFormat="1" applyFont="1" applyBorder="1" applyAlignment="1">
      <alignment horizontal="center" vertical="center" wrapText="1"/>
    </xf>
    <xf numFmtId="1" fontId="14" fillId="0" borderId="1" xfId="1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4" fontId="28" fillId="11" borderId="0" xfId="1" applyNumberFormat="1" applyFont="1" applyFill="1" applyAlignment="1">
      <alignment horizontal="center" vertical="center" wrapText="1"/>
    </xf>
    <xf numFmtId="4" fontId="28" fillId="11" borderId="1" xfId="1" applyNumberFormat="1" applyFont="1" applyFill="1" applyBorder="1" applyAlignment="1">
      <alignment horizontal="center" vertical="center" wrapText="1"/>
    </xf>
    <xf numFmtId="0" fontId="0" fillId="10" borderId="0" xfId="0" applyFill="1"/>
    <xf numFmtId="0" fontId="0" fillId="22" borderId="40" xfId="0" applyFill="1" applyBorder="1"/>
    <xf numFmtId="0" fontId="0" fillId="22" borderId="1" xfId="0" applyFill="1" applyBorder="1"/>
    <xf numFmtId="0" fontId="0" fillId="22" borderId="0" xfId="0" applyFill="1"/>
    <xf numFmtId="0" fontId="0" fillId="22" borderId="0" xfId="0" applyFill="1" applyAlignment="1">
      <alignment horizontal="center"/>
    </xf>
    <xf numFmtId="2" fontId="0" fillId="22" borderId="0" xfId="0" applyNumberFormat="1" applyFill="1"/>
    <xf numFmtId="4" fontId="14" fillId="12" borderId="0" xfId="1" applyNumberFormat="1" applyFont="1" applyFill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29" fillId="0" borderId="0" xfId="1" applyNumberFormat="1" applyFont="1" applyAlignment="1">
      <alignment horizontal="center" vertical="center"/>
    </xf>
    <xf numFmtId="4" fontId="7" fillId="14" borderId="6" xfId="1" applyNumberFormat="1" applyFont="1" applyFill="1" applyBorder="1" applyAlignment="1">
      <alignment vertical="center" wrapText="1"/>
    </xf>
    <xf numFmtId="0" fontId="16" fillId="0" borderId="0" xfId="0" applyFont="1"/>
    <xf numFmtId="0" fontId="9" fillId="6" borderId="0" xfId="1" applyFont="1" applyFill="1" applyAlignment="1">
      <alignment vertical="center"/>
    </xf>
    <xf numFmtId="0" fontId="29" fillId="12" borderId="0" xfId="1" applyFont="1" applyFill="1" applyAlignment="1">
      <alignment vertical="center"/>
    </xf>
    <xf numFmtId="0" fontId="29" fillId="0" borderId="0" xfId="1" applyFont="1" applyAlignment="1">
      <alignment horizontal="center" vertical="center"/>
    </xf>
    <xf numFmtId="4" fontId="13" fillId="12" borderId="1" xfId="1" applyNumberFormat="1" applyFont="1" applyFill="1" applyBorder="1" applyAlignment="1">
      <alignment horizontal="center" vertical="center" wrapText="1"/>
    </xf>
    <xf numFmtId="4" fontId="13" fillId="0" borderId="1" xfId="1" applyNumberFormat="1" applyFont="1" applyBorder="1" applyAlignment="1">
      <alignment horizontal="center" vertical="center" wrapText="1"/>
    </xf>
    <xf numFmtId="3" fontId="13" fillId="0" borderId="1" xfId="1" applyNumberFormat="1" applyFont="1" applyBorder="1" applyAlignment="1">
      <alignment horizontal="center" vertical="center" wrapText="1"/>
    </xf>
    <xf numFmtId="4" fontId="14" fillId="12" borderId="0" xfId="1" applyNumberFormat="1" applyFont="1" applyFill="1" applyAlignment="1">
      <alignment horizontal="center" vertical="center" wrapText="1"/>
    </xf>
    <xf numFmtId="4" fontId="14" fillId="6" borderId="0" xfId="1" applyNumberFormat="1" applyFont="1" applyFill="1" applyAlignment="1">
      <alignment horizontal="center" vertical="center"/>
    </xf>
    <xf numFmtId="4" fontId="7" fillId="6" borderId="0" xfId="1" applyNumberFormat="1" applyFont="1" applyFill="1" applyAlignment="1">
      <alignment horizontal="center" vertical="center"/>
    </xf>
    <xf numFmtId="3" fontId="7" fillId="6" borderId="14" xfId="1" applyNumberFormat="1" applyFont="1" applyFill="1" applyBorder="1" applyAlignment="1">
      <alignment horizontal="center" vertical="center" wrapText="1"/>
    </xf>
    <xf numFmtId="0" fontId="7" fillId="12" borderId="10" xfId="0" applyFont="1" applyFill="1" applyBorder="1" applyAlignment="1">
      <alignment horizontal="center" vertical="center"/>
    </xf>
    <xf numFmtId="4" fontId="7" fillId="0" borderId="8" xfId="1" applyNumberFormat="1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center" vertical="center" wrapText="1"/>
    </xf>
    <xf numFmtId="4" fontId="7" fillId="12" borderId="8" xfId="0" applyNumberFormat="1" applyFont="1" applyFill="1" applyBorder="1" applyAlignment="1">
      <alignment horizontal="center" vertical="center"/>
    </xf>
    <xf numFmtId="0" fontId="15" fillId="6" borderId="8" xfId="1" applyFont="1" applyFill="1" applyBorder="1" applyAlignment="1">
      <alignment horizontal="center" vertical="center"/>
    </xf>
    <xf numFmtId="4" fontId="15" fillId="0" borderId="8" xfId="1" applyNumberFormat="1" applyFont="1" applyBorder="1" applyAlignment="1">
      <alignment horizontal="center" vertical="center"/>
    </xf>
    <xf numFmtId="3" fontId="7" fillId="6" borderId="8" xfId="1" applyNumberFormat="1" applyFont="1" applyFill="1" applyBorder="1" applyAlignment="1">
      <alignment horizontal="center" vertical="center" wrapText="1"/>
    </xf>
    <xf numFmtId="3" fontId="7" fillId="6" borderId="40" xfId="1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 indent="1"/>
    </xf>
    <xf numFmtId="0" fontId="7" fillId="12" borderId="18" xfId="0" applyFont="1" applyFill="1" applyBorder="1" applyAlignment="1">
      <alignment horizontal="center" vertical="center"/>
    </xf>
    <xf numFmtId="4" fontId="7" fillId="0" borderId="19" xfId="1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 wrapText="1"/>
    </xf>
    <xf numFmtId="4" fontId="7" fillId="12" borderId="19" xfId="0" applyNumberFormat="1" applyFont="1" applyFill="1" applyBorder="1" applyAlignment="1">
      <alignment horizontal="center" vertical="center"/>
    </xf>
    <xf numFmtId="0" fontId="15" fillId="12" borderId="19" xfId="1" applyFont="1" applyFill="1" applyBorder="1" applyAlignment="1">
      <alignment horizontal="center" vertical="center"/>
    </xf>
    <xf numFmtId="4" fontId="15" fillId="0" borderId="19" xfId="1" applyNumberFormat="1" applyFont="1" applyBorder="1" applyAlignment="1">
      <alignment horizontal="center" vertical="center"/>
    </xf>
    <xf numFmtId="4" fontId="7" fillId="12" borderId="58" xfId="0" applyNumberFormat="1" applyFont="1" applyFill="1" applyBorder="1" applyAlignment="1">
      <alignment horizontal="center" vertical="center"/>
    </xf>
    <xf numFmtId="0" fontId="32" fillId="0" borderId="0" xfId="0" applyFont="1"/>
    <xf numFmtId="3" fontId="7" fillId="6" borderId="51" xfId="1" applyNumberFormat="1" applyFont="1" applyFill="1" applyBorder="1" applyAlignment="1">
      <alignment horizontal="center" vertical="center" wrapText="1"/>
    </xf>
    <xf numFmtId="0" fontId="7" fillId="12" borderId="58" xfId="0" applyFont="1" applyFill="1" applyBorder="1" applyAlignment="1">
      <alignment horizontal="center" vertical="center"/>
    </xf>
    <xf numFmtId="4" fontId="7" fillId="0" borderId="13" xfId="1" applyNumberFormat="1" applyFont="1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4" fontId="7" fillId="12" borderId="13" xfId="0" applyNumberFormat="1" applyFont="1" applyFill="1" applyBorder="1" applyAlignment="1">
      <alignment horizontal="center" vertical="center"/>
    </xf>
    <xf numFmtId="0" fontId="15" fillId="12" borderId="13" xfId="1" applyFont="1" applyFill="1" applyBorder="1" applyAlignment="1">
      <alignment horizontal="center" vertical="center"/>
    </xf>
    <xf numFmtId="4" fontId="15" fillId="0" borderId="13" xfId="1" applyNumberFormat="1" applyFont="1" applyBorder="1" applyAlignment="1">
      <alignment horizontal="center" vertical="center"/>
    </xf>
    <xf numFmtId="3" fontId="7" fillId="6" borderId="5" xfId="1" applyNumberFormat="1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/>
    </xf>
    <xf numFmtId="4" fontId="7" fillId="12" borderId="1" xfId="0" applyNumberFormat="1" applyFont="1" applyFill="1" applyBorder="1" applyAlignment="1">
      <alignment horizontal="center" vertical="center"/>
    </xf>
    <xf numFmtId="0" fontId="15" fillId="12" borderId="1" xfId="1" applyFont="1" applyFill="1" applyBorder="1" applyAlignment="1">
      <alignment horizontal="center" vertical="center"/>
    </xf>
    <xf numFmtId="4" fontId="15" fillId="0" borderId="1" xfId="1" applyNumberFormat="1" applyFont="1" applyBorder="1" applyAlignment="1">
      <alignment horizontal="center" vertical="center"/>
    </xf>
    <xf numFmtId="4" fontId="7" fillId="12" borderId="0" xfId="1" applyNumberFormat="1" applyFont="1" applyFill="1" applyAlignment="1">
      <alignment vertical="center" wrapText="1"/>
    </xf>
    <xf numFmtId="4" fontId="14" fillId="12" borderId="9" xfId="1" applyNumberFormat="1" applyFont="1" applyFill="1" applyBorder="1" applyAlignment="1">
      <alignment horizontal="center" vertical="center" wrapText="1"/>
    </xf>
    <xf numFmtId="4" fontId="14" fillId="12" borderId="12" xfId="1" applyNumberFormat="1" applyFont="1" applyFill="1" applyBorder="1" applyAlignment="1">
      <alignment horizontal="center" vertical="center" wrapText="1"/>
    </xf>
    <xf numFmtId="4" fontId="7" fillId="12" borderId="6" xfId="1" applyNumberFormat="1" applyFont="1" applyFill="1" applyBorder="1" applyAlignment="1">
      <alignment horizontal="center" vertical="center" wrapText="1"/>
    </xf>
    <xf numFmtId="4" fontId="14" fillId="12" borderId="1" xfId="1" applyNumberFormat="1" applyFont="1" applyFill="1" applyBorder="1" applyAlignment="1">
      <alignment horizontal="center" vertical="center" wrapText="1"/>
    </xf>
    <xf numFmtId="4" fontId="14" fillId="12" borderId="19" xfId="1" applyNumberFormat="1" applyFont="1" applyFill="1" applyBorder="1" applyAlignment="1">
      <alignment horizontal="center" vertical="center" wrapText="1"/>
    </xf>
    <xf numFmtId="4" fontId="7" fillId="12" borderId="18" xfId="1" applyNumberFormat="1" applyFont="1" applyFill="1" applyBorder="1" applyAlignment="1">
      <alignment horizontal="center" vertical="center" wrapText="1"/>
    </xf>
    <xf numFmtId="4" fontId="7" fillId="0" borderId="19" xfId="1" applyNumberFormat="1" applyFont="1" applyBorder="1" applyAlignment="1">
      <alignment horizontal="center" vertical="center" wrapText="1"/>
    </xf>
    <xf numFmtId="4" fontId="7" fillId="0" borderId="27" xfId="0" applyNumberFormat="1" applyFont="1" applyBorder="1" applyAlignment="1">
      <alignment horizontal="center" vertical="center"/>
    </xf>
    <xf numFmtId="4" fontId="7" fillId="12" borderId="15" xfId="1" applyNumberFormat="1" applyFont="1" applyFill="1" applyBorder="1" applyAlignment="1">
      <alignment horizontal="center" vertical="center" wrapText="1"/>
    </xf>
    <xf numFmtId="4" fontId="7" fillId="0" borderId="15" xfId="1" applyNumberFormat="1" applyFont="1" applyBorder="1" applyAlignment="1">
      <alignment horizontal="center" vertical="center" wrapText="1"/>
    </xf>
    <xf numFmtId="4" fontId="15" fillId="12" borderId="12" xfId="0" applyNumberFormat="1" applyFont="1" applyFill="1" applyBorder="1" applyAlignment="1">
      <alignment horizontal="center" vertical="center"/>
    </xf>
    <xf numFmtId="0" fontId="7" fillId="12" borderId="25" xfId="0" applyFont="1" applyFill="1" applyBorder="1" applyAlignment="1">
      <alignment horizontal="center" vertical="center"/>
    </xf>
    <xf numFmtId="4" fontId="7" fillId="0" borderId="24" xfId="0" applyNumberFormat="1" applyFont="1" applyBorder="1" applyAlignment="1">
      <alignment horizontal="center" vertical="center"/>
    </xf>
    <xf numFmtId="0" fontId="15" fillId="12" borderId="15" xfId="0" applyFont="1" applyFill="1" applyBorder="1" applyAlignment="1">
      <alignment horizontal="center" vertical="center"/>
    </xf>
    <xf numFmtId="167" fontId="15" fillId="0" borderId="15" xfId="0" applyNumberFormat="1" applyFont="1" applyBorder="1" applyAlignment="1">
      <alignment horizontal="center" vertical="center"/>
    </xf>
    <xf numFmtId="4" fontId="15" fillId="0" borderId="15" xfId="0" applyNumberFormat="1" applyFont="1" applyBorder="1" applyAlignment="1">
      <alignment horizontal="center" vertical="center" wrapText="1"/>
    </xf>
    <xf numFmtId="0" fontId="7" fillId="0" borderId="42" xfId="1" applyFont="1" applyBorder="1" applyAlignment="1">
      <alignment horizontal="center" vertical="center" wrapText="1"/>
    </xf>
    <xf numFmtId="0" fontId="7" fillId="12" borderId="11" xfId="0" applyFont="1" applyFill="1" applyBorder="1" applyAlignment="1">
      <alignment horizontal="center" vertical="center"/>
    </xf>
    <xf numFmtId="4" fontId="7" fillId="0" borderId="27" xfId="1" applyNumberFormat="1" applyFont="1" applyBorder="1" applyAlignment="1">
      <alignment horizontal="center" vertical="center"/>
    </xf>
    <xf numFmtId="4" fontId="7" fillId="0" borderId="42" xfId="0" applyNumberFormat="1" applyFont="1" applyBorder="1" applyAlignment="1">
      <alignment horizontal="center" vertical="center"/>
    </xf>
    <xf numFmtId="4" fontId="7" fillId="12" borderId="12" xfId="0" applyNumberFormat="1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167" fontId="15" fillId="0" borderId="1" xfId="0" applyNumberFormat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 wrapText="1"/>
    </xf>
    <xf numFmtId="4" fontId="7" fillId="0" borderId="19" xfId="0" applyNumberFormat="1" applyFont="1" applyBorder="1" applyAlignment="1">
      <alignment horizontal="center" vertical="center"/>
    </xf>
    <xf numFmtId="4" fontId="7" fillId="12" borderId="15" xfId="0" applyNumberFormat="1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24" xfId="1" applyFont="1" applyFill="1" applyBorder="1" applyAlignment="1">
      <alignment horizontal="center" vertical="center" wrapText="1"/>
    </xf>
    <xf numFmtId="0" fontId="7" fillId="12" borderId="42" xfId="1" applyFont="1" applyFill="1" applyBorder="1" applyAlignment="1">
      <alignment horizontal="center" vertical="center" wrapText="1"/>
    </xf>
    <xf numFmtId="0" fontId="7" fillId="12" borderId="51" xfId="1" applyFont="1" applyFill="1" applyBorder="1" applyAlignment="1">
      <alignment horizontal="center" vertical="center" wrapText="1"/>
    </xf>
    <xf numFmtId="0" fontId="7" fillId="12" borderId="5" xfId="1" applyFont="1" applyFill="1" applyBorder="1" applyAlignment="1">
      <alignment horizontal="center" vertical="center" wrapText="1"/>
    </xf>
    <xf numFmtId="4" fontId="7" fillId="0" borderId="5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2" fontId="7" fillId="0" borderId="1" xfId="1" applyNumberFormat="1" applyFont="1" applyBorder="1" applyAlignment="1">
      <alignment horizontal="center" vertical="center" wrapText="1"/>
    </xf>
    <xf numFmtId="4" fontId="14" fillId="0" borderId="1" xfId="1" applyNumberFormat="1" applyFont="1" applyBorder="1" applyAlignment="1">
      <alignment horizontal="right" vertical="center" wrapText="1"/>
    </xf>
    <xf numFmtId="4" fontId="14" fillId="0" borderId="5" xfId="1" applyNumberFormat="1" applyFont="1" applyBorder="1" applyAlignment="1">
      <alignment horizontal="right" vertical="center" wrapText="1"/>
    </xf>
    <xf numFmtId="0" fontId="6" fillId="0" borderId="0" xfId="0" applyFont="1"/>
    <xf numFmtId="1" fontId="14" fillId="0" borderId="0" xfId="1" applyNumberFormat="1" applyFont="1" applyAlignment="1">
      <alignment horizontal="center" vertical="center" wrapText="1"/>
    </xf>
    <xf numFmtId="1" fontId="14" fillId="0" borderId="0" xfId="1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" fontId="6" fillId="0" borderId="0" xfId="0" applyNumberFormat="1" applyFont="1"/>
    <xf numFmtId="167" fontId="15" fillId="0" borderId="1" xfId="0" quotePrefix="1" applyNumberFormat="1" applyFont="1" applyBorder="1" applyAlignment="1">
      <alignment horizontal="center" vertical="center"/>
    </xf>
    <xf numFmtId="4" fontId="7" fillId="0" borderId="9" xfId="1" applyNumberFormat="1" applyFont="1" applyBorder="1" applyAlignment="1">
      <alignment horizontal="center" vertical="center"/>
    </xf>
    <xf numFmtId="4" fontId="14" fillId="12" borderId="1" xfId="1" applyNumberFormat="1" applyFont="1" applyFill="1" applyBorder="1" applyAlignment="1">
      <alignment horizontal="left" vertical="center" wrapText="1"/>
    </xf>
    <xf numFmtId="4" fontId="14" fillId="6" borderId="1" xfId="1" applyNumberFormat="1" applyFont="1" applyFill="1" applyBorder="1" applyAlignment="1">
      <alignment vertical="center" wrapText="1"/>
    </xf>
    <xf numFmtId="4" fontId="7" fillId="6" borderId="13" xfId="1" applyNumberFormat="1" applyFont="1" applyFill="1" applyBorder="1" applyAlignment="1">
      <alignment horizontal="left" vertical="center" wrapText="1"/>
    </xf>
    <xf numFmtId="3" fontId="7" fillId="6" borderId="13" xfId="1" applyNumberFormat="1" applyFont="1" applyFill="1" applyBorder="1" applyAlignment="1">
      <alignment horizontal="left" vertical="center" wrapText="1"/>
    </xf>
    <xf numFmtId="4" fontId="10" fillId="0" borderId="0" xfId="0" applyNumberFormat="1" applyFont="1" applyAlignment="1">
      <alignment horizontal="left" vertical="center"/>
    </xf>
    <xf numFmtId="1" fontId="15" fillId="0" borderId="13" xfId="0" applyNumberFormat="1" applyFont="1" applyBorder="1" applyAlignment="1">
      <alignment horizontal="center" vertical="center"/>
    </xf>
    <xf numFmtId="1" fontId="15" fillId="0" borderId="8" xfId="0" applyNumberFormat="1" applyFont="1" applyBorder="1" applyAlignment="1">
      <alignment horizontal="center" vertical="center"/>
    </xf>
    <xf numFmtId="1" fontId="15" fillId="0" borderId="9" xfId="0" applyNumberFormat="1" applyFont="1" applyBorder="1" applyAlignment="1">
      <alignment horizontal="center" vertical="center"/>
    </xf>
    <xf numFmtId="4" fontId="7" fillId="6" borderId="5" xfId="0" applyNumberFormat="1" applyFont="1" applyFill="1" applyBorder="1" applyAlignment="1">
      <alignment horizontal="center" vertical="center"/>
    </xf>
    <xf numFmtId="4" fontId="16" fillId="0" borderId="42" xfId="0" applyNumberFormat="1" applyFont="1" applyBorder="1" applyAlignment="1">
      <alignment horizontal="center"/>
    </xf>
    <xf numFmtId="4" fontId="16" fillId="0" borderId="5" xfId="0" applyNumberFormat="1" applyFont="1" applyBorder="1" applyAlignment="1">
      <alignment horizontal="center"/>
    </xf>
    <xf numFmtId="0" fontId="25" fillId="0" borderId="10" xfId="0" applyFont="1" applyBorder="1" applyAlignment="1">
      <alignment vertical="center"/>
    </xf>
    <xf numFmtId="0" fontId="25" fillId="0" borderId="25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34" fillId="6" borderId="0" xfId="0" applyFont="1" applyFill="1" applyAlignment="1">
      <alignment vertical="center"/>
    </xf>
    <xf numFmtId="2" fontId="15" fillId="6" borderId="9" xfId="0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vertical="center"/>
    </xf>
    <xf numFmtId="4" fontId="7" fillId="0" borderId="14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" fontId="16" fillId="0" borderId="10" xfId="0" applyNumberFormat="1" applyFont="1" applyBorder="1" applyAlignment="1">
      <alignment horizontal="center"/>
    </xf>
    <xf numFmtId="4" fontId="7" fillId="6" borderId="6" xfId="1" applyNumberFormat="1" applyFont="1" applyFill="1" applyBorder="1" applyAlignment="1">
      <alignment horizontal="center" vertical="center"/>
    </xf>
    <xf numFmtId="0" fontId="7" fillId="6" borderId="13" xfId="1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" fontId="7" fillId="6" borderId="6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4" fontId="14" fillId="0" borderId="0" xfId="1" applyNumberFormat="1" applyFont="1" applyAlignment="1">
      <alignment horizontal="right" vertical="center" wrapText="1"/>
    </xf>
    <xf numFmtId="2" fontId="14" fillId="0" borderId="0" xfId="1" applyNumberFormat="1" applyFont="1" applyAlignment="1">
      <alignment horizontal="right" vertical="center" wrapText="1"/>
    </xf>
    <xf numFmtId="4" fontId="10" fillId="6" borderId="0" xfId="0" applyNumberFormat="1" applyFont="1" applyFill="1" applyAlignment="1">
      <alignment horizontal="left" vertical="center"/>
    </xf>
    <xf numFmtId="4" fontId="7" fillId="6" borderId="5" xfId="1" applyNumberFormat="1" applyFont="1" applyFill="1" applyBorder="1" applyAlignment="1">
      <alignment horizontal="left" vertical="center" wrapText="1"/>
    </xf>
    <xf numFmtId="4" fontId="7" fillId="6" borderId="6" xfId="1" applyNumberFormat="1" applyFont="1" applyFill="1" applyBorder="1" applyAlignment="1">
      <alignment horizontal="left" vertical="center" wrapText="1"/>
    </xf>
    <xf numFmtId="4" fontId="7" fillId="6" borderId="6" xfId="1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29" fillId="12" borderId="0" xfId="1" applyFont="1" applyFill="1" applyAlignment="1">
      <alignment horizontal="center" vertical="center"/>
    </xf>
    <xf numFmtId="4" fontId="29" fillId="0" borderId="0" xfId="1" applyNumberFormat="1" applyFont="1" applyAlignment="1">
      <alignment horizontal="center" vertical="center"/>
    </xf>
    <xf numFmtId="0" fontId="13" fillId="12" borderId="1" xfId="1" applyFont="1" applyFill="1" applyBorder="1" applyAlignment="1">
      <alignment horizontal="center" vertical="center" wrapText="1"/>
    </xf>
    <xf numFmtId="0" fontId="13" fillId="12" borderId="1" xfId="1" applyFont="1" applyFill="1" applyBorder="1" applyAlignment="1">
      <alignment horizontal="center" vertical="center"/>
    </xf>
    <xf numFmtId="3" fontId="13" fillId="12" borderId="1" xfId="1" applyNumberFormat="1" applyFont="1" applyFill="1" applyBorder="1" applyAlignment="1">
      <alignment horizontal="center" vertical="center" wrapText="1"/>
    </xf>
    <xf numFmtId="4" fontId="29" fillId="12" borderId="0" xfId="1" applyNumberFormat="1" applyFont="1" applyFill="1" applyAlignment="1">
      <alignment horizontal="center" vertical="center"/>
    </xf>
    <xf numFmtId="4" fontId="14" fillId="0" borderId="12" xfId="1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4" fontId="0" fillId="0" borderId="5" xfId="0" applyNumberFormat="1" applyBorder="1" applyAlignment="1" applyProtection="1">
      <alignment horizontal="center"/>
      <protection locked="0"/>
    </xf>
    <xf numFmtId="4" fontId="14" fillId="0" borderId="6" xfId="1" applyNumberFormat="1" applyFont="1" applyBorder="1" applyAlignment="1">
      <alignment horizontal="center" vertical="center" wrapText="1"/>
    </xf>
    <xf numFmtId="4" fontId="14" fillId="0" borderId="6" xfId="1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0" fillId="21" borderId="1" xfId="0" applyFill="1" applyBorder="1" applyProtection="1">
      <protection locked="0"/>
    </xf>
    <xf numFmtId="0" fontId="0" fillId="15" borderId="6" xfId="0" applyFill="1" applyBorder="1" applyProtection="1">
      <protection locked="0"/>
    </xf>
    <xf numFmtId="0" fontId="0" fillId="5" borderId="6" xfId="0" applyFill="1" applyBorder="1" applyProtection="1">
      <protection locked="0"/>
    </xf>
    <xf numFmtId="0" fontId="7" fillId="10" borderId="1" xfId="0" applyFont="1" applyFill="1" applyBorder="1" applyAlignment="1">
      <alignment horizontal="center" vertical="center"/>
    </xf>
    <xf numFmtId="4" fontId="14" fillId="0" borderId="6" xfId="0" applyNumberFormat="1" applyFont="1" applyBorder="1" applyAlignment="1">
      <alignment horizontal="center" vertical="center"/>
    </xf>
    <xf numFmtId="4" fontId="14" fillId="0" borderId="23" xfId="0" applyNumberFormat="1" applyFont="1" applyBorder="1" applyAlignment="1">
      <alignment horizontal="center" vertical="center"/>
    </xf>
    <xf numFmtId="4" fontId="15" fillId="6" borderId="13" xfId="0" applyNumberFormat="1" applyFont="1" applyFill="1" applyBorder="1" applyAlignment="1">
      <alignment horizontal="center" vertical="center"/>
    </xf>
    <xf numFmtId="4" fontId="15" fillId="6" borderId="13" xfId="0" applyNumberFormat="1" applyFont="1" applyFill="1" applyBorder="1" applyAlignment="1">
      <alignment horizontal="center" vertical="center" wrapText="1"/>
    </xf>
    <xf numFmtId="4" fontId="7" fillId="6" borderId="19" xfId="1" applyNumberFormat="1" applyFont="1" applyFill="1" applyBorder="1" applyAlignment="1">
      <alignment horizontal="center" vertical="center" wrapText="1"/>
    </xf>
    <xf numFmtId="4" fontId="7" fillId="6" borderId="19" xfId="1" applyNumberFormat="1" applyFont="1" applyFill="1" applyBorder="1" applyAlignment="1">
      <alignment horizontal="left" vertical="center" wrapText="1"/>
    </xf>
    <xf numFmtId="3" fontId="7" fillId="0" borderId="1" xfId="1" applyNumberFormat="1" applyFont="1" applyBorder="1" applyAlignment="1">
      <alignment horizontal="left" vertical="center" wrapText="1"/>
    </xf>
    <xf numFmtId="3" fontId="7" fillId="0" borderId="19" xfId="1" applyNumberFormat="1" applyFont="1" applyBorder="1" applyAlignment="1">
      <alignment horizontal="center" vertical="center" wrapText="1"/>
    </xf>
    <xf numFmtId="3" fontId="7" fillId="24" borderId="1" xfId="1" applyNumberFormat="1" applyFont="1" applyFill="1" applyBorder="1" applyAlignment="1">
      <alignment horizontal="left" vertical="center" wrapText="1"/>
    </xf>
    <xf numFmtId="3" fontId="7" fillId="24" borderId="1" xfId="1" applyNumberFormat="1" applyFont="1" applyFill="1" applyBorder="1" applyAlignment="1">
      <alignment horizontal="center" vertical="center" wrapText="1"/>
    </xf>
    <xf numFmtId="4" fontId="7" fillId="24" borderId="19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4" fontId="7" fillId="6" borderId="19" xfId="1" applyNumberFormat="1" applyFont="1" applyFill="1" applyBorder="1" applyAlignment="1">
      <alignment vertical="center" wrapText="1"/>
    </xf>
    <xf numFmtId="4" fontId="7" fillId="10" borderId="19" xfId="1" applyNumberFormat="1" applyFont="1" applyFill="1" applyBorder="1" applyAlignment="1">
      <alignment horizontal="center" vertical="center" wrapText="1"/>
    </xf>
    <xf numFmtId="3" fontId="7" fillId="17" borderId="1" xfId="1" applyNumberFormat="1" applyFont="1" applyFill="1" applyBorder="1" applyAlignment="1">
      <alignment horizontal="center" vertical="center" wrapText="1"/>
    </xf>
    <xf numFmtId="166" fontId="7" fillId="0" borderId="1" xfId="1" applyNumberFormat="1" applyFont="1" applyBorder="1" applyAlignment="1">
      <alignment horizontal="center" vertical="center" wrapText="1"/>
    </xf>
    <xf numFmtId="167" fontId="7" fillId="6" borderId="1" xfId="1" applyNumberFormat="1" applyFont="1" applyFill="1" applyBorder="1" applyAlignment="1">
      <alignment horizontal="center" vertical="center" wrapText="1"/>
    </xf>
    <xf numFmtId="166" fontId="7" fillId="6" borderId="1" xfId="1" applyNumberFormat="1" applyFont="1" applyFill="1" applyBorder="1" applyAlignment="1">
      <alignment horizontal="center" vertical="center" wrapText="1"/>
    </xf>
    <xf numFmtId="1" fontId="7" fillId="6" borderId="1" xfId="1" applyNumberFormat="1" applyFont="1" applyFill="1" applyBorder="1" applyAlignment="1">
      <alignment horizontal="center" vertical="center" wrapText="1"/>
    </xf>
    <xf numFmtId="4" fontId="39" fillId="12" borderId="0" xfId="1" applyNumberFormat="1" applyFont="1" applyFill="1" applyAlignment="1">
      <alignment horizontal="center" vertical="center" wrapText="1"/>
    </xf>
    <xf numFmtId="4" fontId="13" fillId="12" borderId="0" xfId="1" applyNumberFormat="1" applyFont="1" applyFill="1" applyAlignment="1">
      <alignment horizontal="right" vertical="center" wrapText="1"/>
    </xf>
    <xf numFmtId="4" fontId="40" fillId="12" borderId="0" xfId="1" applyNumberFormat="1" applyFont="1" applyFill="1" applyAlignment="1">
      <alignment horizontal="center" vertical="center" wrapText="1"/>
    </xf>
    <xf numFmtId="49" fontId="7" fillId="6" borderId="1" xfId="1" applyNumberFormat="1" applyFont="1" applyFill="1" applyBorder="1" applyAlignment="1">
      <alignment horizontal="center" vertical="center" wrapText="1"/>
    </xf>
    <xf numFmtId="0" fontId="7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4" fontId="14" fillId="6" borderId="12" xfId="1" applyNumberFormat="1" applyFont="1" applyFill="1" applyBorder="1" applyAlignment="1">
      <alignment horizontal="center" vertical="center"/>
    </xf>
    <xf numFmtId="2" fontId="7" fillId="6" borderId="0" xfId="1" applyNumberFormat="1" applyFont="1" applyFill="1" applyAlignment="1">
      <alignment vertical="center"/>
    </xf>
    <xf numFmtId="4" fontId="7" fillId="6" borderId="0" xfId="1" applyNumberFormat="1" applyFont="1" applyFill="1" applyAlignment="1">
      <alignment vertical="center"/>
    </xf>
    <xf numFmtId="0" fontId="14" fillId="6" borderId="0" xfId="1" applyFont="1" applyFill="1" applyAlignment="1">
      <alignment vertical="center"/>
    </xf>
    <xf numFmtId="2" fontId="7" fillId="6" borderId="0" xfId="1" applyNumberFormat="1" applyFont="1" applyFill="1" applyAlignment="1">
      <alignment horizontal="center" vertical="center" wrapText="1"/>
    </xf>
    <xf numFmtId="49" fontId="7" fillId="6" borderId="19" xfId="1" applyNumberFormat="1" applyFont="1" applyFill="1" applyBorder="1" applyAlignment="1">
      <alignment horizontal="center" vertical="center" wrapText="1"/>
    </xf>
    <xf numFmtId="49" fontId="7" fillId="6" borderId="0" xfId="1" applyNumberFormat="1" applyFont="1" applyFill="1" applyAlignment="1">
      <alignment horizontal="center" vertical="center" wrapText="1"/>
    </xf>
    <xf numFmtId="3" fontId="7" fillId="0" borderId="0" xfId="1" applyNumberFormat="1" applyFont="1" applyAlignment="1">
      <alignment horizontal="left" vertical="center" wrapText="1"/>
    </xf>
    <xf numFmtId="3" fontId="7" fillId="0" borderId="0" xfId="1" applyNumberFormat="1" applyFont="1" applyAlignment="1">
      <alignment horizontal="center" vertical="center" wrapText="1"/>
    </xf>
    <xf numFmtId="0" fontId="41" fillId="0" borderId="0" xfId="0" applyFont="1" applyAlignment="1">
      <alignment vertical="center"/>
    </xf>
    <xf numFmtId="2" fontId="7" fillId="0" borderId="19" xfId="1" applyNumberFormat="1" applyFont="1" applyBorder="1" applyAlignment="1">
      <alignment horizontal="center" vertical="center" wrapText="1"/>
    </xf>
    <xf numFmtId="0" fontId="42" fillId="0" borderId="0" xfId="0" applyFont="1"/>
    <xf numFmtId="0" fontId="9" fillId="12" borderId="0" xfId="1" applyFont="1" applyFill="1" applyAlignment="1">
      <alignment horizontal="center" vertical="center"/>
    </xf>
    <xf numFmtId="3" fontId="9" fillId="12" borderId="0" xfId="1" applyNumberFormat="1" applyFont="1" applyFill="1" applyAlignment="1">
      <alignment horizontal="center" vertical="center" wrapText="1"/>
    </xf>
    <xf numFmtId="4" fontId="7" fillId="0" borderId="6" xfId="1" applyNumberFormat="1" applyFont="1" applyBorder="1" applyAlignment="1">
      <alignment vertical="center" wrapText="1"/>
    </xf>
    <xf numFmtId="4" fontId="14" fillId="6" borderId="12" xfId="2" applyNumberFormat="1" applyFont="1" applyFill="1" applyBorder="1" applyAlignment="1">
      <alignment horizontal="center" vertical="center" wrapText="1"/>
    </xf>
    <xf numFmtId="4" fontId="14" fillId="6" borderId="0" xfId="2" applyNumberFormat="1" applyFont="1" applyFill="1" applyAlignment="1">
      <alignment horizontal="right" vertical="center" wrapText="1"/>
    </xf>
    <xf numFmtId="4" fontId="14" fillId="6" borderId="0" xfId="2" applyNumberFormat="1" applyFont="1" applyFill="1" applyAlignment="1">
      <alignment horizontal="center" vertical="center" wrapText="1"/>
    </xf>
    <xf numFmtId="3" fontId="42" fillId="0" borderId="0" xfId="0" applyNumberFormat="1" applyFont="1"/>
    <xf numFmtId="171" fontId="42" fillId="0" borderId="0" xfId="0" applyNumberFormat="1" applyFont="1"/>
    <xf numFmtId="4" fontId="14" fillId="0" borderId="0" xfId="1" applyNumberFormat="1" applyFont="1" applyAlignment="1">
      <alignment horizontal="center" vertical="center"/>
    </xf>
    <xf numFmtId="171" fontId="14" fillId="0" borderId="0" xfId="1" applyNumberFormat="1" applyFont="1" applyAlignment="1">
      <alignment horizontal="center" vertical="center"/>
    </xf>
    <xf numFmtId="172" fontId="42" fillId="0" borderId="0" xfId="0" applyNumberFormat="1" applyFont="1"/>
    <xf numFmtId="0" fontId="42" fillId="0" borderId="0" xfId="0" applyFont="1" applyAlignment="1">
      <alignment horizontal="center" vertical="center"/>
    </xf>
    <xf numFmtId="0" fontId="43" fillId="0" borderId="0" xfId="0" applyFont="1"/>
    <xf numFmtId="3" fontId="42" fillId="0" borderId="0" xfId="0" applyNumberFormat="1" applyFont="1" applyAlignment="1">
      <alignment horizontal="center" vertical="center"/>
    </xf>
    <xf numFmtId="4" fontId="18" fillId="0" borderId="0" xfId="0" applyNumberFormat="1" applyFont="1" applyAlignment="1">
      <alignment horizontal="left" vertical="center"/>
    </xf>
    <xf numFmtId="0" fontId="44" fillId="0" borderId="0" xfId="0" applyFont="1"/>
    <xf numFmtId="4" fontId="44" fillId="0" borderId="0" xfId="0" applyNumberFormat="1" applyFont="1" applyAlignment="1">
      <alignment horizontal="right" vertical="center"/>
    </xf>
    <xf numFmtId="4" fontId="44" fillId="0" borderId="0" xfId="0" applyNumberFormat="1" applyFont="1" applyAlignment="1">
      <alignment horizontal="left" vertical="center"/>
    </xf>
    <xf numFmtId="4" fontId="42" fillId="0" borderId="0" xfId="0" applyNumberFormat="1" applyFont="1" applyAlignment="1">
      <alignment horizontal="left" vertical="center"/>
    </xf>
    <xf numFmtId="4" fontId="42" fillId="0" borderId="0" xfId="0" applyNumberFormat="1" applyFont="1" applyAlignment="1">
      <alignment horizontal="right" vertical="center"/>
    </xf>
    <xf numFmtId="4" fontId="14" fillId="0" borderId="37" xfId="1" applyNumberFormat="1" applyFont="1" applyBorder="1" applyAlignment="1">
      <alignment horizontal="center" vertical="center" wrapText="1"/>
    </xf>
    <xf numFmtId="4" fontId="14" fillId="0" borderId="33" xfId="1" applyNumberFormat="1" applyFont="1" applyBorder="1" applyAlignment="1">
      <alignment horizontal="center" vertical="center" wrapText="1"/>
    </xf>
    <xf numFmtId="4" fontId="14" fillId="0" borderId="39" xfId="1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 wrapText="1"/>
    </xf>
    <xf numFmtId="2" fontId="7" fillId="6" borderId="13" xfId="0" applyNumberFormat="1" applyFont="1" applyFill="1" applyBorder="1" applyAlignment="1">
      <alignment horizontal="center" vertical="center"/>
    </xf>
    <xf numFmtId="4" fontId="7" fillId="6" borderId="13" xfId="0" applyNumberFormat="1" applyFont="1" applyFill="1" applyBorder="1" applyAlignment="1">
      <alignment horizontal="center" vertical="center" wrapText="1"/>
    </xf>
    <xf numFmtId="4" fontId="25" fillId="0" borderId="1" xfId="0" applyNumberFormat="1" applyFont="1" applyBorder="1" applyAlignment="1">
      <alignment horizontal="left" vertical="center"/>
    </xf>
    <xf numFmtId="0" fontId="15" fillId="6" borderId="58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vertical="center"/>
    </xf>
    <xf numFmtId="173" fontId="7" fillId="6" borderId="1" xfId="1" applyNumberFormat="1" applyFont="1" applyFill="1" applyBorder="1" applyAlignment="1">
      <alignment horizontal="center" vertical="center" wrapText="1"/>
    </xf>
    <xf numFmtId="4" fontId="14" fillId="0" borderId="1" xfId="1" applyNumberFormat="1" applyFont="1" applyBorder="1" applyAlignment="1">
      <alignment horizontal="center" vertical="center"/>
    </xf>
    <xf numFmtId="0" fontId="7" fillId="6" borderId="8" xfId="1" applyFont="1" applyFill="1" applyBorder="1" applyAlignment="1">
      <alignment horizontal="center" vertical="center"/>
    </xf>
    <xf numFmtId="0" fontId="7" fillId="12" borderId="19" xfId="1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4" fontId="14" fillId="6" borderId="0" xfId="1" applyNumberFormat="1" applyFont="1" applyFill="1" applyAlignment="1">
      <alignment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0" fillId="11" borderId="0" xfId="0" applyFill="1" applyAlignment="1">
      <alignment horizontal="center" vertical="center"/>
    </xf>
    <xf numFmtId="4" fontId="7" fillId="10" borderId="1" xfId="1" applyNumberFormat="1" applyFont="1" applyFill="1" applyBorder="1" applyAlignment="1">
      <alignment horizontal="right" vertical="center" wrapText="1"/>
    </xf>
    <xf numFmtId="4" fontId="7" fillId="14" borderId="6" xfId="1" applyNumberFormat="1" applyFont="1" applyFill="1" applyBorder="1" applyAlignment="1">
      <alignment horizontal="right" vertical="center" wrapText="1"/>
    </xf>
    <xf numFmtId="4" fontId="15" fillId="25" borderId="50" xfId="1" applyNumberFormat="1" applyFont="1" applyFill="1" applyBorder="1" applyAlignment="1">
      <alignment horizontal="left" vertical="center" wrapText="1"/>
    </xf>
    <xf numFmtId="4" fontId="15" fillId="25" borderId="18" xfId="1" applyNumberFormat="1" applyFont="1" applyFill="1" applyBorder="1" applyAlignment="1">
      <alignment horizontal="left" vertical="center" wrapText="1"/>
    </xf>
    <xf numFmtId="0" fontId="0" fillId="22" borderId="0" xfId="0" applyFill="1" applyAlignment="1">
      <alignment horizontal="center" vertical="center"/>
    </xf>
    <xf numFmtId="4" fontId="14" fillId="22" borderId="1" xfId="1" applyNumberFormat="1" applyFont="1" applyFill="1" applyBorder="1" applyAlignment="1">
      <alignment horizontal="center" vertical="center" wrapText="1"/>
    </xf>
    <xf numFmtId="0" fontId="0" fillId="22" borderId="5" xfId="0" applyFill="1" applyBorder="1"/>
    <xf numFmtId="0" fontId="0" fillId="22" borderId="1" xfId="0" applyFill="1" applyBorder="1" applyAlignment="1">
      <alignment horizontal="center" vertical="center"/>
    </xf>
    <xf numFmtId="4" fontId="15" fillId="25" borderId="51" xfId="1" applyNumberFormat="1" applyFont="1" applyFill="1" applyBorder="1" applyAlignment="1">
      <alignment horizontal="left" vertical="center" wrapText="1"/>
    </xf>
    <xf numFmtId="3" fontId="15" fillId="25" borderId="6" xfId="1" applyNumberFormat="1" applyFont="1" applyFill="1" applyBorder="1" applyAlignment="1">
      <alignment horizontal="left" vertical="center" wrapText="1"/>
    </xf>
    <xf numFmtId="4" fontId="7" fillId="22" borderId="1" xfId="1" applyNumberFormat="1" applyFont="1" applyFill="1" applyBorder="1" applyAlignment="1">
      <alignment horizontal="left" vertical="center" wrapText="1"/>
    </xf>
    <xf numFmtId="0" fontId="1" fillId="22" borderId="0" xfId="0" applyFont="1" applyFill="1" applyAlignment="1">
      <alignment horizontal="center"/>
    </xf>
    <xf numFmtId="3" fontId="15" fillId="25" borderId="7" xfId="1" applyNumberFormat="1" applyFont="1" applyFill="1" applyBorder="1" applyAlignment="1">
      <alignment horizontal="left" vertical="center" wrapText="1"/>
    </xf>
    <xf numFmtId="4" fontId="31" fillId="22" borderId="1" xfId="1" applyNumberFormat="1" applyFont="1" applyFill="1" applyBorder="1" applyAlignment="1">
      <alignment horizontal="left" vertical="center" wrapText="1"/>
    </xf>
    <xf numFmtId="4" fontId="15" fillId="25" borderId="5" xfId="1" applyNumberFormat="1" applyFont="1" applyFill="1" applyBorder="1" applyAlignment="1">
      <alignment horizontal="left" vertical="center" wrapText="1"/>
    </xf>
    <xf numFmtId="4" fontId="15" fillId="25" borderId="7" xfId="1" applyNumberFormat="1" applyFont="1" applyFill="1" applyBorder="1" applyAlignment="1">
      <alignment horizontal="left" vertical="center" wrapText="1"/>
    </xf>
    <xf numFmtId="4" fontId="7" fillId="25" borderId="5" xfId="1" applyNumberFormat="1" applyFont="1" applyFill="1" applyBorder="1" applyAlignment="1">
      <alignment horizontal="left" vertical="center" wrapText="1"/>
    </xf>
    <xf numFmtId="4" fontId="7" fillId="25" borderId="6" xfId="1" applyNumberFormat="1" applyFont="1" applyFill="1" applyBorder="1" applyAlignment="1">
      <alignment horizontal="left" vertical="center" wrapText="1"/>
    </xf>
    <xf numFmtId="4" fontId="15" fillId="25" borderId="52" xfId="1" applyNumberFormat="1" applyFont="1" applyFill="1" applyBorder="1" applyAlignment="1">
      <alignment horizontal="left" vertical="center" wrapText="1"/>
    </xf>
    <xf numFmtId="4" fontId="15" fillId="25" borderId="6" xfId="1" applyNumberFormat="1" applyFont="1" applyFill="1" applyBorder="1" applyAlignment="1">
      <alignment horizontal="left" vertical="center" wrapText="1"/>
    </xf>
    <xf numFmtId="4" fontId="7" fillId="25" borderId="52" xfId="1" applyNumberFormat="1" applyFont="1" applyFill="1" applyBorder="1" applyAlignment="1">
      <alignment horizontal="left" vertical="center" wrapText="1"/>
    </xf>
    <xf numFmtId="0" fontId="15" fillId="25" borderId="6" xfId="0" applyFont="1" applyFill="1" applyBorder="1" applyAlignment="1">
      <alignment horizontal="left" vertical="center"/>
    </xf>
    <xf numFmtId="0" fontId="15" fillId="25" borderId="5" xfId="0" applyFont="1" applyFill="1" applyBorder="1" applyAlignment="1">
      <alignment horizontal="left" vertical="center"/>
    </xf>
    <xf numFmtId="0" fontId="15" fillId="25" borderId="54" xfId="0" applyFont="1" applyFill="1" applyBorder="1" applyAlignment="1">
      <alignment horizontal="left" vertical="center"/>
    </xf>
    <xf numFmtId="0" fontId="15" fillId="25" borderId="7" xfId="0" applyFont="1" applyFill="1" applyBorder="1" applyAlignment="1">
      <alignment horizontal="left" vertical="center"/>
    </xf>
    <xf numFmtId="0" fontId="30" fillId="22" borderId="0" xfId="0" applyFont="1" applyFill="1" applyAlignment="1">
      <alignment horizontal="center" vertical="center"/>
    </xf>
    <xf numFmtId="0" fontId="15" fillId="25" borderId="5" xfId="0" applyFont="1" applyFill="1" applyBorder="1" applyAlignment="1">
      <alignment horizontal="left" vertical="center" wrapText="1"/>
    </xf>
    <xf numFmtId="0" fontId="15" fillId="25" borderId="6" xfId="0" applyFont="1" applyFill="1" applyBorder="1" applyAlignment="1">
      <alignment horizontal="left" vertical="center" wrapText="1"/>
    </xf>
    <xf numFmtId="0" fontId="0" fillId="22" borderId="0" xfId="0" applyFill="1" applyAlignment="1">
      <alignment horizontal="right"/>
    </xf>
    <xf numFmtId="1" fontId="30" fillId="22" borderId="0" xfId="0" applyNumberFormat="1" applyFont="1" applyFill="1" applyAlignment="1">
      <alignment horizontal="center"/>
    </xf>
    <xf numFmtId="0" fontId="30" fillId="22" borderId="0" xfId="0" applyFont="1" applyFill="1" applyAlignment="1">
      <alignment horizontal="center"/>
    </xf>
    <xf numFmtId="4" fontId="7" fillId="25" borderId="1" xfId="1" applyNumberFormat="1" applyFont="1" applyFill="1" applyBorder="1" applyAlignment="1">
      <alignment vertical="center" wrapText="1"/>
    </xf>
    <xf numFmtId="4" fontId="7" fillId="25" borderId="1" xfId="1" applyNumberFormat="1" applyFont="1" applyFill="1" applyBorder="1" applyAlignment="1">
      <alignment horizontal="center" vertical="center" wrapText="1"/>
    </xf>
    <xf numFmtId="2" fontId="7" fillId="25" borderId="1" xfId="1" applyNumberFormat="1" applyFont="1" applyFill="1" applyBorder="1" applyAlignment="1">
      <alignment horizontal="center" vertical="center" wrapText="1"/>
    </xf>
    <xf numFmtId="4" fontId="7" fillId="22" borderId="1" xfId="1" applyNumberFormat="1" applyFont="1" applyFill="1" applyBorder="1" applyAlignment="1">
      <alignment horizontal="center" vertical="center" wrapText="1"/>
    </xf>
    <xf numFmtId="0" fontId="0" fillId="11" borderId="0" xfId="0" applyFill="1"/>
    <xf numFmtId="0" fontId="6" fillId="10" borderId="0" xfId="0" applyFont="1" applyFill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0" fontId="9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3" fontId="15" fillId="6" borderId="13" xfId="1" applyNumberFormat="1" applyFont="1" applyFill="1" applyBorder="1" applyAlignment="1">
      <alignment horizontal="left" vertical="center" wrapText="1"/>
    </xf>
    <xf numFmtId="3" fontId="7" fillId="6" borderId="1" xfId="1" applyNumberFormat="1" applyFont="1" applyFill="1" applyBorder="1" applyAlignment="1">
      <alignment horizontal="center" vertical="center" wrapText="1"/>
    </xf>
    <xf numFmtId="4" fontId="15" fillId="6" borderId="1" xfId="1" applyNumberFormat="1" applyFont="1" applyFill="1" applyBorder="1" applyAlignment="1">
      <alignment horizontal="left" vertical="center" wrapText="1"/>
    </xf>
    <xf numFmtId="4" fontId="7" fillId="0" borderId="1" xfId="1" applyNumberFormat="1" applyFont="1" applyBorder="1" applyAlignment="1">
      <alignment horizontal="right" vertical="center" wrapText="1"/>
    </xf>
    <xf numFmtId="166" fontId="7" fillId="0" borderId="1" xfId="1" applyNumberFormat="1" applyFont="1" applyBorder="1" applyAlignment="1">
      <alignment horizontal="center" vertical="center"/>
    </xf>
    <xf numFmtId="4" fontId="7" fillId="6" borderId="1" xfId="1" applyNumberFormat="1" applyFont="1" applyFill="1" applyBorder="1" applyAlignment="1">
      <alignment horizontal="left" vertical="center" wrapText="1"/>
    </xf>
    <xf numFmtId="4" fontId="14" fillId="6" borderId="17" xfId="1" applyNumberFormat="1" applyFont="1" applyFill="1" applyBorder="1" applyAlignment="1">
      <alignment vertical="center"/>
    </xf>
    <xf numFmtId="4" fontId="7" fillId="12" borderId="14" xfId="0" applyNumberFormat="1" applyFont="1" applyFill="1" applyBorder="1" applyAlignment="1">
      <alignment horizontal="center" vertical="center"/>
    </xf>
    <xf numFmtId="4" fontId="14" fillId="12" borderId="59" xfId="1" applyNumberFormat="1" applyFont="1" applyFill="1" applyBorder="1" applyAlignment="1">
      <alignment vertical="center" wrapText="1"/>
    </xf>
    <xf numFmtId="2" fontId="0" fillId="10" borderId="0" xfId="0" applyNumberFormat="1" applyFill="1" applyAlignment="1">
      <alignment horizontal="center"/>
    </xf>
    <xf numFmtId="0" fontId="1" fillId="23" borderId="0" xfId="0" applyFont="1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/>
    <xf numFmtId="0" fontId="46" fillId="23" borderId="0" xfId="0" applyFont="1" applyFill="1"/>
    <xf numFmtId="0" fontId="26" fillId="22" borderId="0" xfId="0" applyFont="1" applyFill="1" applyAlignment="1">
      <alignment vertical="center"/>
    </xf>
    <xf numFmtId="0" fontId="26" fillId="22" borderId="1" xfId="0" applyFont="1" applyFill="1" applyBorder="1" applyAlignment="1">
      <alignment vertical="center"/>
    </xf>
    <xf numFmtId="0" fontId="45" fillId="22" borderId="5" xfId="0" applyFont="1" applyFill="1" applyBorder="1" applyAlignment="1">
      <alignment horizontal="left"/>
    </xf>
    <xf numFmtId="0" fontId="7" fillId="25" borderId="5" xfId="0" applyFont="1" applyFill="1" applyBorder="1" applyAlignment="1">
      <alignment horizontal="left" vertical="center" wrapText="1"/>
    </xf>
    <xf numFmtId="0" fontId="7" fillId="25" borderId="5" xfId="0" applyFont="1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/>
    </xf>
    <xf numFmtId="0" fontId="1" fillId="17" borderId="0" xfId="0" applyFont="1" applyFill="1"/>
    <xf numFmtId="0" fontId="45" fillId="10" borderId="6" xfId="0" applyFont="1" applyFill="1" applyBorder="1" applyAlignment="1">
      <alignment horizontal="center"/>
    </xf>
    <xf numFmtId="0" fontId="45" fillId="11" borderId="6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166" fontId="7" fillId="0" borderId="19" xfId="1" applyNumberFormat="1" applyFont="1" applyBorder="1" applyAlignment="1">
      <alignment horizontal="center" vertical="center"/>
    </xf>
    <xf numFmtId="4" fontId="7" fillId="6" borderId="40" xfId="1" applyNumberFormat="1" applyFont="1" applyFill="1" applyBorder="1" applyAlignment="1">
      <alignment horizontal="left" vertical="center" wrapText="1"/>
    </xf>
    <xf numFmtId="4" fontId="7" fillId="6" borderId="18" xfId="1" applyNumberFormat="1" applyFont="1" applyFill="1" applyBorder="1" applyAlignment="1">
      <alignment horizontal="left" vertical="center" wrapText="1"/>
    </xf>
    <xf numFmtId="0" fontId="5" fillId="22" borderId="0" xfId="0" applyFont="1" applyFill="1"/>
    <xf numFmtId="0" fontId="0" fillId="26" borderId="0" xfId="0" applyFill="1"/>
    <xf numFmtId="0" fontId="4" fillId="22" borderId="0" xfId="0" applyFont="1" applyFill="1" applyAlignment="1">
      <alignment horizontal="center" vertical="center" wrapText="1"/>
    </xf>
    <xf numFmtId="0" fontId="4" fillId="22" borderId="7" xfId="0" applyFont="1" applyFill="1" applyBorder="1" applyAlignment="1">
      <alignment horizontal="center" vertical="center" wrapText="1"/>
    </xf>
    <xf numFmtId="0" fontId="0" fillId="22" borderId="12" xfId="0" applyFill="1" applyBorder="1" applyAlignment="1">
      <alignment horizontal="center" vertical="center" wrapText="1"/>
    </xf>
    <xf numFmtId="0" fontId="4" fillId="26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22" borderId="1" xfId="0" applyFill="1" applyBorder="1" applyAlignment="1">
      <alignment wrapText="1"/>
    </xf>
    <xf numFmtId="4" fontId="7" fillId="0" borderId="15" xfId="0" applyNumberFormat="1" applyFont="1" applyBorder="1" applyAlignment="1">
      <alignment horizontal="center" vertical="center" wrapText="1"/>
    </xf>
    <xf numFmtId="167" fontId="7" fillId="0" borderId="15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7" fontId="7" fillId="0" borderId="1" xfId="0" quotePrefix="1" applyNumberFormat="1" applyFont="1" applyBorder="1" applyAlignment="1">
      <alignment horizontal="center" vertical="center"/>
    </xf>
    <xf numFmtId="167" fontId="0" fillId="11" borderId="1" xfId="0" applyNumberForma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167" fontId="7" fillId="0" borderId="1" xfId="0" applyNumberFormat="1" applyFont="1" applyBorder="1" applyAlignment="1">
      <alignment vertical="center" wrapText="1"/>
    </xf>
    <xf numFmtId="0" fontId="0" fillId="22" borderId="19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4" fontId="48" fillId="12" borderId="0" xfId="1" applyNumberFormat="1" applyFont="1" applyFill="1" applyAlignment="1">
      <alignment horizontal="center" vertical="center" wrapText="1"/>
    </xf>
    <xf numFmtId="4" fontId="16" fillId="12" borderId="0" xfId="1" applyNumberFormat="1" applyFont="1" applyFill="1" applyAlignment="1">
      <alignment horizontal="center" vertical="center" wrapText="1"/>
    </xf>
    <xf numFmtId="4" fontId="16" fillId="12" borderId="0" xfId="1" applyNumberFormat="1" applyFont="1" applyFill="1" applyAlignment="1">
      <alignment horizontal="left" vertical="center" wrapText="1"/>
    </xf>
    <xf numFmtId="4" fontId="16" fillId="12" borderId="8" xfId="0" applyNumberFormat="1" applyFont="1" applyFill="1" applyBorder="1" applyAlignment="1">
      <alignment horizontal="center" vertical="center"/>
    </xf>
    <xf numFmtId="0" fontId="16" fillId="6" borderId="8" xfId="1" applyFont="1" applyFill="1" applyBorder="1" applyAlignment="1">
      <alignment horizontal="center" vertical="center"/>
    </xf>
    <xf numFmtId="4" fontId="16" fillId="6" borderId="14" xfId="1" applyNumberFormat="1" applyFont="1" applyFill="1" applyBorder="1" applyAlignment="1">
      <alignment horizontal="left" vertical="center" wrapText="1"/>
    </xf>
    <xf numFmtId="4" fontId="49" fillId="6" borderId="10" xfId="1" applyNumberFormat="1" applyFont="1" applyFill="1" applyBorder="1" applyAlignment="1">
      <alignment horizontal="left" vertical="center" wrapText="1"/>
    </xf>
    <xf numFmtId="3" fontId="16" fillId="6" borderId="1" xfId="1" applyNumberFormat="1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/>
    </xf>
    <xf numFmtId="0" fontId="16" fillId="6" borderId="1" xfId="1" applyFont="1" applyFill="1" applyBorder="1" applyAlignment="1">
      <alignment horizontal="center" vertical="center"/>
    </xf>
    <xf numFmtId="0" fontId="1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16" fillId="6" borderId="12" xfId="1" applyFont="1" applyFill="1" applyBorder="1" applyAlignment="1">
      <alignment horizontal="center" vertical="center"/>
    </xf>
    <xf numFmtId="4" fontId="16" fillId="0" borderId="5" xfId="1" applyNumberFormat="1" applyFont="1" applyBorder="1" applyAlignment="1">
      <alignment horizontal="left" vertical="center"/>
    </xf>
    <xf numFmtId="4" fontId="16" fillId="0" borderId="6" xfId="1" applyNumberFormat="1" applyFont="1" applyBorder="1" applyAlignment="1">
      <alignment horizontal="left" vertical="center"/>
    </xf>
    <xf numFmtId="4" fontId="49" fillId="6" borderId="6" xfId="1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vertical="center"/>
    </xf>
    <xf numFmtId="4" fontId="16" fillId="6" borderId="5" xfId="1" applyNumberFormat="1" applyFont="1" applyFill="1" applyBorder="1" applyAlignment="1">
      <alignment horizontal="right" vertical="center" wrapText="1"/>
    </xf>
    <xf numFmtId="4" fontId="48" fillId="12" borderId="12" xfId="1" applyNumberFormat="1" applyFont="1" applyFill="1" applyBorder="1" applyAlignment="1">
      <alignment horizontal="center" vertical="center" wrapText="1"/>
    </xf>
    <xf numFmtId="4" fontId="16" fillId="12" borderId="1" xfId="1" applyNumberFormat="1" applyFont="1" applyFill="1" applyBorder="1" applyAlignment="1">
      <alignment horizontal="center" vertical="center" wrapText="1"/>
    </xf>
    <xf numFmtId="4" fontId="16" fillId="12" borderId="15" xfId="1" applyNumberFormat="1" applyFont="1" applyFill="1" applyBorder="1" applyAlignment="1">
      <alignment horizontal="center" vertical="center" wrapText="1"/>
    </xf>
    <xf numFmtId="0" fontId="49" fillId="12" borderId="1" xfId="0" applyFont="1" applyFill="1" applyBorder="1" applyAlignment="1">
      <alignment horizontal="center" vertical="center" wrapText="1"/>
    </xf>
    <xf numFmtId="0" fontId="16" fillId="12" borderId="15" xfId="0" applyFont="1" applyFill="1" applyBorder="1" applyAlignment="1">
      <alignment horizontal="center" vertical="center"/>
    </xf>
    <xf numFmtId="0" fontId="49" fillId="12" borderId="1" xfId="0" applyFont="1" applyFill="1" applyBorder="1" applyAlignment="1">
      <alignment horizontal="center" vertical="center"/>
    </xf>
    <xf numFmtId="0" fontId="49" fillId="6" borderId="53" xfId="0" applyFont="1" applyFill="1" applyBorder="1" applyAlignment="1">
      <alignment vertical="center"/>
    </xf>
    <xf numFmtId="0" fontId="49" fillId="6" borderId="6" xfId="0" applyFont="1" applyFill="1" applyBorder="1" applyAlignment="1">
      <alignment vertical="center"/>
    </xf>
    <xf numFmtId="4" fontId="16" fillId="6" borderId="1" xfId="1" applyNumberFormat="1" applyFont="1" applyFill="1" applyBorder="1" applyAlignment="1">
      <alignment horizontal="center" vertical="center" wrapText="1"/>
    </xf>
    <xf numFmtId="4" fontId="16" fillId="6" borderId="6" xfId="1" applyNumberFormat="1" applyFont="1" applyFill="1" applyBorder="1" applyAlignment="1">
      <alignment vertical="center" wrapText="1"/>
    </xf>
    <xf numFmtId="4" fontId="16" fillId="13" borderId="1" xfId="1" applyNumberFormat="1" applyFont="1" applyFill="1" applyBorder="1" applyAlignment="1">
      <alignment horizontal="left" vertical="center" wrapText="1"/>
    </xf>
    <xf numFmtId="4" fontId="16" fillId="13" borderId="1" xfId="1" applyNumberFormat="1" applyFont="1" applyFill="1" applyBorder="1" applyAlignment="1">
      <alignment horizontal="center" vertical="center" wrapText="1"/>
    </xf>
    <xf numFmtId="1" fontId="48" fillId="0" borderId="0" xfId="1" applyNumberFormat="1" applyFont="1" applyAlignment="1">
      <alignment horizontal="center" vertical="center" wrapText="1"/>
    </xf>
    <xf numFmtId="1" fontId="48" fillId="0" borderId="0" xfId="1" applyNumberFormat="1" applyFont="1" applyAlignment="1">
      <alignment horizontal="center" vertical="center"/>
    </xf>
    <xf numFmtId="1" fontId="48" fillId="0" borderId="0" xfId="0" applyNumberFormat="1" applyFont="1" applyAlignment="1">
      <alignment horizontal="center" vertical="center"/>
    </xf>
    <xf numFmtId="0" fontId="33" fillId="10" borderId="1" xfId="0" applyFont="1" applyFill="1" applyBorder="1" applyAlignment="1">
      <alignment horizontal="center" vertical="center"/>
    </xf>
    <xf numFmtId="0" fontId="33" fillId="10" borderId="19" xfId="0" applyFont="1" applyFill="1" applyBorder="1" applyAlignment="1">
      <alignment horizontal="center" vertical="center"/>
    </xf>
    <xf numFmtId="4" fontId="16" fillId="12" borderId="9" xfId="0" applyNumberFormat="1" applyFont="1" applyFill="1" applyBorder="1" applyAlignment="1">
      <alignment horizontal="center" vertical="center"/>
    </xf>
    <xf numFmtId="4" fontId="16" fillId="6" borderId="59" xfId="1" applyNumberFormat="1" applyFont="1" applyFill="1" applyBorder="1" applyAlignment="1">
      <alignment horizontal="center" vertical="center"/>
    </xf>
    <xf numFmtId="4" fontId="48" fillId="0" borderId="1" xfId="0" applyNumberFormat="1" applyFont="1" applyBorder="1" applyAlignment="1">
      <alignment horizontal="center" vertical="center"/>
    </xf>
    <xf numFmtId="4" fontId="48" fillId="0" borderId="23" xfId="0" applyNumberFormat="1" applyFont="1" applyBorder="1" applyAlignment="1">
      <alignment horizontal="center" vertical="center"/>
    </xf>
    <xf numFmtId="4" fontId="16" fillId="0" borderId="0" xfId="1" applyNumberFormat="1" applyFont="1" applyAlignment="1">
      <alignment horizontal="center" vertical="center" wrapText="1"/>
    </xf>
    <xf numFmtId="4" fontId="16" fillId="0" borderId="8" xfId="1" applyNumberFormat="1" applyFont="1" applyBorder="1" applyAlignment="1">
      <alignment horizontal="center" vertical="center"/>
    </xf>
    <xf numFmtId="4" fontId="16" fillId="0" borderId="1" xfId="1" applyNumberFormat="1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 wrapText="1"/>
    </xf>
    <xf numFmtId="4" fontId="16" fillId="0" borderId="12" xfId="1" applyNumberFormat="1" applyFont="1" applyBorder="1" applyAlignment="1">
      <alignment horizontal="center" vertical="center"/>
    </xf>
    <xf numFmtId="4" fontId="16" fillId="0" borderId="12" xfId="0" applyNumberFormat="1" applyFont="1" applyBorder="1" applyAlignment="1">
      <alignment horizontal="center" vertical="center" wrapText="1"/>
    </xf>
    <xf numFmtId="4" fontId="16" fillId="0" borderId="1" xfId="1" applyNumberFormat="1" applyFont="1" applyBorder="1" applyAlignment="1">
      <alignment horizontal="center" vertical="center" wrapText="1"/>
    </xf>
    <xf numFmtId="4" fontId="16" fillId="0" borderId="19" xfId="1" applyNumberFormat="1" applyFont="1" applyBorder="1" applyAlignment="1">
      <alignment horizontal="center" vertical="center" wrapText="1"/>
    </xf>
    <xf numFmtId="4" fontId="16" fillId="0" borderId="27" xfId="1" applyNumberFormat="1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4" fontId="48" fillId="0" borderId="1" xfId="1" applyNumberFormat="1" applyFont="1" applyBorder="1" applyAlignment="1">
      <alignment horizontal="right" vertical="center" wrapText="1"/>
    </xf>
    <xf numFmtId="4" fontId="48" fillId="0" borderId="5" xfId="1" applyNumberFormat="1" applyFont="1" applyBorder="1" applyAlignment="1">
      <alignment horizontal="right" vertical="center" wrapText="1"/>
    </xf>
    <xf numFmtId="4" fontId="16" fillId="0" borderId="59" xfId="1" applyNumberFormat="1" applyFont="1" applyBorder="1" applyAlignment="1">
      <alignment horizontal="center" vertical="center" wrapText="1"/>
    </xf>
    <xf numFmtId="4" fontId="49" fillId="0" borderId="8" xfId="1" applyNumberFormat="1" applyFont="1" applyBorder="1" applyAlignment="1">
      <alignment horizontal="center" vertical="center"/>
    </xf>
    <xf numFmtId="4" fontId="49" fillId="0" borderId="1" xfId="1" applyNumberFormat="1" applyFont="1" applyBorder="1" applyAlignment="1">
      <alignment horizontal="center" vertical="center"/>
    </xf>
    <xf numFmtId="4" fontId="49" fillId="0" borderId="12" xfId="1" applyNumberFormat="1" applyFont="1" applyBorder="1" applyAlignment="1">
      <alignment horizontal="center" vertical="center"/>
    </xf>
    <xf numFmtId="4" fontId="16" fillId="0" borderId="15" xfId="1" applyNumberFormat="1" applyFont="1" applyBorder="1" applyAlignment="1">
      <alignment horizontal="center" vertical="center" wrapText="1"/>
    </xf>
    <xf numFmtId="166" fontId="16" fillId="0" borderId="1" xfId="1" applyNumberFormat="1" applyFont="1" applyBorder="1" applyAlignment="1">
      <alignment horizontal="center" vertical="center" wrapText="1"/>
    </xf>
    <xf numFmtId="167" fontId="49" fillId="0" borderId="15" xfId="0" applyNumberFormat="1" applyFont="1" applyBorder="1" applyAlignment="1">
      <alignment horizontal="center" vertical="center"/>
    </xf>
    <xf numFmtId="167" fontId="49" fillId="0" borderId="1" xfId="0" applyNumberFormat="1" applyFont="1" applyBorder="1" applyAlignment="1">
      <alignment horizontal="center" vertical="center"/>
    </xf>
    <xf numFmtId="4" fontId="49" fillId="0" borderId="1" xfId="0" applyNumberFormat="1" applyFont="1" applyBorder="1" applyAlignment="1">
      <alignment horizontal="center" vertical="center" wrapText="1"/>
    </xf>
    <xf numFmtId="4" fontId="49" fillId="0" borderId="1" xfId="0" applyNumberFormat="1" applyFont="1" applyBorder="1" applyAlignment="1">
      <alignment horizontal="center" vertical="center"/>
    </xf>
    <xf numFmtId="0" fontId="49" fillId="0" borderId="53" xfId="0" applyFont="1" applyBorder="1" applyAlignment="1">
      <alignment vertical="center"/>
    </xf>
    <xf numFmtId="2" fontId="16" fillId="0" borderId="1" xfId="1" applyNumberFormat="1" applyFont="1" applyBorder="1" applyAlignment="1">
      <alignment horizontal="center" vertical="center" wrapText="1"/>
    </xf>
    <xf numFmtId="0" fontId="48" fillId="0" borderId="0" xfId="0" applyFont="1"/>
    <xf numFmtId="1" fontId="16" fillId="0" borderId="0" xfId="0" applyNumberFormat="1" applyFont="1"/>
    <xf numFmtId="0" fontId="36" fillId="11" borderId="12" xfId="0" applyFont="1" applyFill="1" applyBorder="1" applyAlignment="1">
      <alignment horizontal="center" vertical="center"/>
    </xf>
    <xf numFmtId="2" fontId="7" fillId="10" borderId="1" xfId="0" applyNumberFormat="1" applyFont="1" applyFill="1" applyBorder="1" applyAlignment="1">
      <alignment horizontal="center" vertical="center"/>
    </xf>
    <xf numFmtId="4" fontId="31" fillId="22" borderId="75" xfId="1" applyNumberFormat="1" applyFont="1" applyFill="1" applyBorder="1" applyAlignment="1">
      <alignment horizontal="left" vertical="center" wrapText="1"/>
    </xf>
    <xf numFmtId="2" fontId="0" fillId="10" borderId="0" xfId="0" applyNumberForma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4" fontId="7" fillId="25" borderId="75" xfId="1" applyNumberFormat="1" applyFont="1" applyFill="1" applyBorder="1" applyAlignment="1">
      <alignment vertical="center" wrapText="1"/>
    </xf>
    <xf numFmtId="0" fontId="33" fillId="22" borderId="0" xfId="0" applyFont="1" applyFill="1"/>
    <xf numFmtId="0" fontId="33" fillId="22" borderId="0" xfId="0" applyFont="1" applyFill="1" applyAlignment="1">
      <alignment horizontal="center" vertical="center" wrapText="1"/>
    </xf>
    <xf numFmtId="0" fontId="33" fillId="22" borderId="0" xfId="0" applyFont="1" applyFill="1" applyAlignment="1">
      <alignment horizontal="center" vertical="center"/>
    </xf>
    <xf numFmtId="0" fontId="1" fillId="22" borderId="62" xfId="0" applyFont="1" applyFill="1" applyBorder="1" applyAlignment="1">
      <alignment horizontal="center" vertical="center"/>
    </xf>
    <xf numFmtId="0" fontId="1" fillId="22" borderId="68" xfId="0" applyFont="1" applyFill="1" applyBorder="1" applyAlignment="1">
      <alignment horizontal="center" vertical="center"/>
    </xf>
    <xf numFmtId="0" fontId="1" fillId="22" borderId="73" xfId="0" applyFont="1" applyFill="1" applyBorder="1" applyAlignment="1">
      <alignment horizontal="center" vertical="center" wrapText="1"/>
    </xf>
    <xf numFmtId="0" fontId="1" fillId="22" borderId="68" xfId="0" applyFont="1" applyFill="1" applyBorder="1" applyAlignment="1">
      <alignment horizontal="center" vertical="center" wrapText="1"/>
    </xf>
    <xf numFmtId="4" fontId="7" fillId="25" borderId="1" xfId="1" applyNumberFormat="1" applyFont="1" applyFill="1" applyBorder="1" applyAlignment="1">
      <alignment horizontal="left" vertical="center" wrapText="1"/>
    </xf>
    <xf numFmtId="0" fontId="33" fillId="22" borderId="1" xfId="0" applyFont="1" applyFill="1" applyBorder="1" applyAlignment="1">
      <alignment horizontal="center"/>
    </xf>
    <xf numFmtId="0" fontId="33" fillId="22" borderId="1" xfId="0" applyFont="1" applyFill="1" applyBorder="1" applyAlignment="1">
      <alignment horizontal="center" vertical="center"/>
    </xf>
    <xf numFmtId="0" fontId="15" fillId="25" borderId="1" xfId="0" applyFont="1" applyFill="1" applyBorder="1" applyAlignment="1">
      <alignment horizontal="left" vertical="center"/>
    </xf>
    <xf numFmtId="0" fontId="0" fillId="22" borderId="15" xfId="0" applyFill="1" applyBorder="1" applyAlignment="1">
      <alignment horizontal="center" vertical="center"/>
    </xf>
    <xf numFmtId="0" fontId="0" fillId="22" borderId="43" xfId="0" applyFill="1" applyBorder="1"/>
    <xf numFmtId="0" fontId="0" fillId="22" borderId="44" xfId="0" applyFill="1" applyBorder="1" applyAlignment="1">
      <alignment horizontal="center" vertical="center"/>
    </xf>
    <xf numFmtId="0" fontId="0" fillId="22" borderId="46" xfId="0" applyFill="1" applyBorder="1"/>
    <xf numFmtId="0" fontId="33" fillId="22" borderId="1" xfId="0" applyFont="1" applyFill="1" applyBorder="1" applyAlignment="1">
      <alignment horizontal="left"/>
    </xf>
    <xf numFmtId="0" fontId="33" fillId="22" borderId="1" xfId="0" applyFont="1" applyFill="1" applyBorder="1" applyAlignment="1">
      <alignment horizontal="left" vertical="center"/>
    </xf>
    <xf numFmtId="0" fontId="33" fillId="22" borderId="1" xfId="0" applyFont="1" applyFill="1" applyBorder="1" applyAlignment="1">
      <alignment vertical="center"/>
    </xf>
    <xf numFmtId="0" fontId="0" fillId="22" borderId="46" xfId="0" applyFill="1" applyBorder="1" applyAlignment="1">
      <alignment wrapText="1"/>
    </xf>
    <xf numFmtId="0" fontId="33" fillId="22" borderId="19" xfId="0" applyFont="1" applyFill="1" applyBorder="1" applyAlignment="1">
      <alignment horizontal="center"/>
    </xf>
    <xf numFmtId="0" fontId="0" fillId="22" borderId="66" xfId="0" applyFill="1" applyBorder="1"/>
    <xf numFmtId="0" fontId="0" fillId="22" borderId="66" xfId="0" applyFill="1" applyBorder="1" applyAlignment="1">
      <alignment horizontal="center" vertical="center"/>
    </xf>
    <xf numFmtId="0" fontId="0" fillId="22" borderId="75" xfId="0" applyFill="1" applyBorder="1"/>
    <xf numFmtId="0" fontId="0" fillId="22" borderId="75" xfId="0" applyFill="1" applyBorder="1" applyAlignment="1">
      <alignment horizontal="center" vertical="center"/>
    </xf>
    <xf numFmtId="0" fontId="33" fillId="22" borderId="1" xfId="0" applyFont="1" applyFill="1" applyBorder="1" applyAlignment="1">
      <alignment vertical="center" wrapText="1"/>
    </xf>
    <xf numFmtId="0" fontId="33" fillId="22" borderId="1" xfId="0" applyFont="1" applyFill="1" applyBorder="1" applyAlignment="1">
      <alignment wrapText="1"/>
    </xf>
    <xf numFmtId="0" fontId="0" fillId="22" borderId="12" xfId="0" applyFill="1" applyBorder="1"/>
    <xf numFmtId="0" fontId="0" fillId="22" borderId="12" xfId="0" applyFill="1" applyBorder="1" applyAlignment="1">
      <alignment horizontal="center" vertical="center"/>
    </xf>
    <xf numFmtId="0" fontId="33" fillId="22" borderId="5" xfId="0" applyFont="1" applyFill="1" applyBorder="1" applyAlignment="1">
      <alignment horizontal="left"/>
    </xf>
    <xf numFmtId="0" fontId="33" fillId="22" borderId="75" xfId="0" applyFont="1" applyFill="1" applyBorder="1" applyAlignment="1">
      <alignment horizontal="left"/>
    </xf>
    <xf numFmtId="0" fontId="0" fillId="22" borderId="75" xfId="0" applyFill="1" applyBorder="1" applyAlignment="1">
      <alignment wrapText="1"/>
    </xf>
    <xf numFmtId="0" fontId="1" fillId="22" borderId="0" xfId="0" applyFont="1" applyFill="1" applyAlignment="1">
      <alignment horizontal="center" vertical="center" wrapText="1"/>
    </xf>
    <xf numFmtId="0" fontId="0" fillId="22" borderId="17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35" fillId="17" borderId="47" xfId="0" applyFont="1" applyFill="1" applyBorder="1" applyAlignment="1">
      <alignment horizontal="center" vertical="center"/>
    </xf>
    <xf numFmtId="0" fontId="35" fillId="11" borderId="47" xfId="0" applyFont="1" applyFill="1" applyBorder="1" applyAlignment="1">
      <alignment horizontal="center" vertical="center"/>
    </xf>
    <xf numFmtId="0" fontId="0" fillId="9" borderId="0" xfId="0" applyFill="1"/>
    <xf numFmtId="0" fontId="0" fillId="22" borderId="75" xfId="0" applyFill="1" applyBorder="1" applyAlignment="1">
      <alignment vertical="center"/>
    </xf>
    <xf numFmtId="0" fontId="1" fillId="11" borderId="39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5" fillId="11" borderId="31" xfId="0" applyFont="1" applyFill="1" applyBorder="1" applyAlignment="1">
      <alignment horizontal="center" vertical="center"/>
    </xf>
    <xf numFmtId="0" fontId="35" fillId="11" borderId="33" xfId="0" applyFont="1" applyFill="1" applyBorder="1" applyAlignment="1">
      <alignment horizontal="center" vertical="center"/>
    </xf>
    <xf numFmtId="0" fontId="33" fillId="11" borderId="75" xfId="0" applyFont="1" applyFill="1" applyBorder="1" applyAlignment="1">
      <alignment horizontal="center" vertical="center"/>
    </xf>
    <xf numFmtId="2" fontId="7" fillId="18" borderId="1" xfId="1" applyNumberFormat="1" applyFont="1" applyFill="1" applyBorder="1" applyAlignment="1">
      <alignment horizontal="center" vertical="center" wrapText="1"/>
    </xf>
    <xf numFmtId="0" fontId="35" fillId="11" borderId="45" xfId="0" applyFont="1" applyFill="1" applyBorder="1" applyAlignment="1">
      <alignment horizontal="center" vertical="center"/>
    </xf>
    <xf numFmtId="0" fontId="0" fillId="22" borderId="0" xfId="0" applyFill="1" applyAlignment="1">
      <alignment vertical="center"/>
    </xf>
    <xf numFmtId="0" fontId="16" fillId="12" borderId="1" xfId="0" applyFont="1" applyFill="1" applyBorder="1" applyAlignment="1">
      <alignment horizontal="right" vertical="center" wrapText="1"/>
    </xf>
    <xf numFmtId="3" fontId="16" fillId="0" borderId="14" xfId="1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4" fontId="16" fillId="0" borderId="8" xfId="0" applyNumberFormat="1" applyFont="1" applyBorder="1" applyAlignment="1">
      <alignment horizontal="center" vertical="center" wrapText="1"/>
    </xf>
    <xf numFmtId="4" fontId="16" fillId="0" borderId="8" xfId="0" applyNumberFormat="1" applyFont="1" applyBorder="1" applyAlignment="1">
      <alignment horizontal="center" vertical="center"/>
    </xf>
    <xf numFmtId="3" fontId="16" fillId="0" borderId="12" xfId="1" applyNumberFormat="1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4" fontId="16" fillId="0" borderId="12" xfId="0" applyNumberFormat="1" applyFont="1" applyBorder="1" applyAlignment="1">
      <alignment horizontal="center" vertical="center"/>
    </xf>
    <xf numFmtId="3" fontId="16" fillId="0" borderId="1" xfId="1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" fontId="48" fillId="0" borderId="1" xfId="1" applyNumberFormat="1" applyFont="1" applyBorder="1" applyAlignment="1">
      <alignment horizontal="center" vertical="center" wrapText="1"/>
    </xf>
    <xf numFmtId="4" fontId="48" fillId="0" borderId="19" xfId="1" applyNumberFormat="1" applyFont="1" applyBorder="1" applyAlignment="1">
      <alignment horizontal="center" vertical="center" wrapText="1"/>
    </xf>
    <xf numFmtId="4" fontId="16" fillId="0" borderId="18" xfId="1" applyNumberFormat="1" applyFont="1" applyBorder="1" applyAlignment="1">
      <alignment horizontal="center" vertical="center" wrapText="1"/>
    </xf>
    <xf numFmtId="4" fontId="16" fillId="0" borderId="27" xfId="0" applyNumberFormat="1" applyFont="1" applyBorder="1" applyAlignment="1">
      <alignment horizontal="center" vertical="center"/>
    </xf>
    <xf numFmtId="0" fontId="16" fillId="0" borderId="24" xfId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4" fontId="16" fillId="0" borderId="42" xfId="0" applyNumberFormat="1" applyFont="1" applyBorder="1" applyAlignment="1">
      <alignment horizontal="center" vertical="center"/>
    </xf>
    <xf numFmtId="4" fontId="16" fillId="0" borderId="19" xfId="0" applyNumberFormat="1" applyFont="1" applyBorder="1" applyAlignment="1">
      <alignment horizontal="center" vertical="center"/>
    </xf>
    <xf numFmtId="0" fontId="16" fillId="0" borderId="42" xfId="1" applyFont="1" applyBorder="1" applyAlignment="1">
      <alignment horizontal="center" vertical="center" wrapText="1"/>
    </xf>
    <xf numFmtId="0" fontId="16" fillId="0" borderId="51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4" fontId="49" fillId="0" borderId="9" xfId="1" applyNumberFormat="1" applyFont="1" applyBorder="1" applyAlignment="1">
      <alignment horizontal="center" vertical="center"/>
    </xf>
    <xf numFmtId="4" fontId="49" fillId="0" borderId="15" xfId="0" applyNumberFormat="1" applyFont="1" applyBorder="1" applyAlignment="1">
      <alignment horizontal="center" vertical="center" wrapText="1"/>
    </xf>
    <xf numFmtId="0" fontId="47" fillId="26" borderId="0" xfId="0" applyFont="1" applyFill="1" applyAlignment="1">
      <alignment horizontal="center" vertical="center"/>
    </xf>
    <xf numFmtId="0" fontId="0" fillId="15" borderId="1" xfId="0" applyFill="1" applyBorder="1" applyAlignment="1" applyProtection="1">
      <alignment horizontal="center" vertical="center"/>
      <protection locked="0"/>
    </xf>
    <xf numFmtId="4" fontId="0" fillId="4" borderId="1" xfId="0" applyNumberFormat="1" applyFill="1" applyBorder="1" applyAlignment="1" applyProtection="1">
      <alignment horizontal="center"/>
      <protection locked="0"/>
    </xf>
    <xf numFmtId="4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 vertical="center"/>
    </xf>
    <xf numFmtId="4" fontId="0" fillId="4" borderId="1" xfId="0" applyNumberFormat="1" applyFill="1" applyBorder="1" applyProtection="1">
      <protection locked="0"/>
    </xf>
    <xf numFmtId="4" fontId="0" fillId="4" borderId="5" xfId="0" applyNumberFormat="1" applyFill="1" applyBorder="1" applyProtection="1">
      <protection locked="0"/>
    </xf>
    <xf numFmtId="4" fontId="0" fillId="4" borderId="1" xfId="0" applyNumberFormat="1" applyFill="1" applyBorder="1" applyAlignment="1" applyProtection="1">
      <alignment horizontal="center" vertical="center"/>
      <protection locked="0"/>
    </xf>
    <xf numFmtId="4" fontId="0" fillId="4" borderId="5" xfId="0" applyNumberFormat="1" applyFill="1" applyBorder="1" applyAlignment="1" applyProtection="1">
      <alignment vertical="center"/>
      <protection locked="0"/>
    </xf>
    <xf numFmtId="0" fontId="35" fillId="17" borderId="75" xfId="0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/>
    </xf>
    <xf numFmtId="4" fontId="7" fillId="6" borderId="75" xfId="0" applyNumberFormat="1" applyFont="1" applyFill="1" applyBorder="1" applyAlignment="1">
      <alignment horizontal="center" vertical="center"/>
    </xf>
    <xf numFmtId="4" fontId="7" fillId="0" borderId="75" xfId="0" applyNumberFormat="1" applyFont="1" applyBorder="1" applyAlignment="1">
      <alignment horizontal="center"/>
    </xf>
    <xf numFmtId="0" fontId="7" fillId="6" borderId="75" xfId="0" applyFont="1" applyFill="1" applyBorder="1" applyAlignment="1">
      <alignment horizontal="center" vertical="center"/>
    </xf>
    <xf numFmtId="4" fontId="7" fillId="0" borderId="75" xfId="0" applyNumberFormat="1" applyFont="1" applyBorder="1" applyAlignment="1">
      <alignment horizontal="center" vertical="center"/>
    </xf>
    <xf numFmtId="4" fontId="14" fillId="0" borderId="16" xfId="1" applyNumberFormat="1" applyFont="1" applyBorder="1" applyAlignment="1">
      <alignment horizontal="center" vertical="center" wrapText="1"/>
    </xf>
    <xf numFmtId="4" fontId="7" fillId="6" borderId="1" xfId="1" applyNumberFormat="1" applyFont="1" applyFill="1" applyBorder="1" applyAlignment="1">
      <alignment vertical="center"/>
    </xf>
    <xf numFmtId="4" fontId="14" fillId="0" borderId="83" xfId="1" applyNumberFormat="1" applyFont="1" applyBorder="1" applyAlignment="1">
      <alignment horizontal="center" vertical="center" wrapText="1"/>
    </xf>
    <xf numFmtId="4" fontId="7" fillId="29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4" fontId="7" fillId="2" borderId="8" xfId="0" applyNumberFormat="1" applyFont="1" applyFill="1" applyBorder="1" applyAlignment="1">
      <alignment horizontal="center" vertical="center"/>
    </xf>
    <xf numFmtId="4" fontId="7" fillId="2" borderId="81" xfId="0" applyNumberFormat="1" applyFon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2" fontId="35" fillId="11" borderId="75" xfId="0" applyNumberFormat="1" applyFont="1" applyFill="1" applyBorder="1" applyAlignment="1">
      <alignment horizontal="center" vertical="center"/>
    </xf>
    <xf numFmtId="0" fontId="35" fillId="11" borderId="37" xfId="0" applyFont="1" applyFill="1" applyBorder="1" applyAlignment="1">
      <alignment horizontal="center" vertical="center"/>
    </xf>
    <xf numFmtId="0" fontId="47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7" fillId="22" borderId="1" xfId="0" applyFont="1" applyFill="1" applyBorder="1" applyAlignment="1">
      <alignment vertical="center"/>
    </xf>
    <xf numFmtId="0" fontId="7" fillId="25" borderId="1" xfId="0" applyFont="1" applyFill="1" applyBorder="1" applyAlignment="1">
      <alignment horizontal="center" vertical="center"/>
    </xf>
    <xf numFmtId="3" fontId="7" fillId="22" borderId="1" xfId="0" applyNumberFormat="1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 wrapText="1"/>
    </xf>
    <xf numFmtId="0" fontId="7" fillId="22" borderId="12" xfId="0" applyFont="1" applyFill="1" applyBorder="1" applyAlignment="1">
      <alignment horizontal="center" vertical="center" wrapText="1"/>
    </xf>
    <xf numFmtId="0" fontId="7" fillId="22" borderId="12" xfId="0" applyFont="1" applyFill="1" applyBorder="1" applyAlignment="1">
      <alignment vertical="center"/>
    </xf>
    <xf numFmtId="0" fontId="7" fillId="22" borderId="8" xfId="0" applyFont="1" applyFill="1" applyBorder="1" applyAlignment="1">
      <alignment horizontal="center" vertical="center"/>
    </xf>
    <xf numFmtId="4" fontId="7" fillId="22" borderId="12" xfId="0" applyNumberFormat="1" applyFont="1" applyFill="1" applyBorder="1" applyAlignment="1">
      <alignment horizontal="left"/>
    </xf>
    <xf numFmtId="4" fontId="7" fillId="22" borderId="1" xfId="0" applyNumberFormat="1" applyFont="1" applyFill="1" applyBorder="1" applyAlignment="1">
      <alignment horizontal="left"/>
    </xf>
    <xf numFmtId="4" fontId="7" fillId="22" borderId="12" xfId="0" applyNumberFormat="1" applyFont="1" applyFill="1" applyBorder="1" applyAlignment="1">
      <alignment horizontal="left" wrapText="1"/>
    </xf>
    <xf numFmtId="4" fontId="7" fillId="22" borderId="1" xfId="1" applyNumberFormat="1" applyFont="1" applyFill="1" applyBorder="1" applyAlignment="1">
      <alignment vertical="center" wrapText="1"/>
    </xf>
    <xf numFmtId="0" fontId="7" fillId="22" borderId="80" xfId="0" applyFont="1" applyFill="1" applyBorder="1" applyAlignment="1">
      <alignment horizontal="center" vertical="center"/>
    </xf>
    <xf numFmtId="0" fontId="7" fillId="22" borderId="9" xfId="0" applyFont="1" applyFill="1" applyBorder="1" applyAlignment="1">
      <alignment vertical="center" wrapText="1"/>
    </xf>
    <xf numFmtId="0" fontId="7" fillId="22" borderId="81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vertical="center"/>
    </xf>
    <xf numFmtId="0" fontId="7" fillId="25" borderId="8" xfId="0" applyFont="1" applyFill="1" applyBorder="1" applyAlignment="1">
      <alignment vertical="center"/>
    </xf>
    <xf numFmtId="0" fontId="7" fillId="25" borderId="8" xfId="0" applyFont="1" applyFill="1" applyBorder="1" applyAlignment="1">
      <alignment vertical="center" wrapText="1"/>
    </xf>
    <xf numFmtId="0" fontId="14" fillId="22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/>
    </xf>
    <xf numFmtId="0" fontId="0" fillId="22" borderId="1" xfId="0" applyFill="1" applyBorder="1" applyAlignment="1" applyProtection="1">
      <alignment horizontal="center"/>
      <protection locked="0"/>
    </xf>
    <xf numFmtId="4" fontId="0" fillId="22" borderId="0" xfId="0" applyNumberFormat="1" applyFill="1"/>
    <xf numFmtId="0" fontId="0" fillId="21" borderId="12" xfId="0" applyFill="1" applyBorder="1" applyProtection="1">
      <protection locked="0"/>
    </xf>
    <xf numFmtId="0" fontId="0" fillId="26" borderId="0" xfId="0" applyFill="1" applyAlignment="1">
      <alignment horizontal="center"/>
    </xf>
    <xf numFmtId="0" fontId="47" fillId="26" borderId="0" xfId="0" applyFont="1" applyFill="1" applyAlignment="1">
      <alignment vertical="center"/>
    </xf>
    <xf numFmtId="0" fontId="7" fillId="25" borderId="75" xfId="0" applyFont="1" applyFill="1" applyBorder="1" applyAlignment="1">
      <alignment vertical="center" wrapText="1"/>
    </xf>
    <xf numFmtId="0" fontId="7" fillId="25" borderId="75" xfId="0" applyFont="1" applyFill="1" applyBorder="1" applyAlignment="1">
      <alignment horizontal="center" vertical="center"/>
    </xf>
    <xf numFmtId="3" fontId="7" fillId="25" borderId="75" xfId="0" applyNumberFormat="1" applyFont="1" applyFill="1" applyBorder="1" applyAlignment="1">
      <alignment horizontal="center" vertical="center"/>
    </xf>
    <xf numFmtId="0" fontId="7" fillId="25" borderId="9" xfId="0" applyFont="1" applyFill="1" applyBorder="1" applyAlignment="1">
      <alignment vertical="center" wrapText="1"/>
    </xf>
    <xf numFmtId="0" fontId="7" fillId="25" borderId="9" xfId="0" applyFont="1" applyFill="1" applyBorder="1" applyAlignment="1">
      <alignment horizontal="center" vertical="center"/>
    </xf>
    <xf numFmtId="3" fontId="7" fillId="25" borderId="9" xfId="0" applyNumberFormat="1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4" fontId="7" fillId="25" borderId="8" xfId="0" applyNumberFormat="1" applyFont="1" applyFill="1" applyBorder="1" applyAlignment="1">
      <alignment horizontal="center" vertical="center"/>
    </xf>
    <xf numFmtId="4" fontId="7" fillId="25" borderId="1" xfId="0" applyNumberFormat="1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left" vertical="center"/>
    </xf>
    <xf numFmtId="0" fontId="53" fillId="11" borderId="0" xfId="0" applyFont="1" applyFill="1" applyAlignment="1">
      <alignment horizontal="center" vertical="center"/>
    </xf>
    <xf numFmtId="2" fontId="7" fillId="28" borderId="1" xfId="0" applyNumberFormat="1" applyFont="1" applyFill="1" applyBorder="1" applyAlignment="1">
      <alignment horizontal="center" vertical="center"/>
    </xf>
    <xf numFmtId="4" fontId="7" fillId="14" borderId="75" xfId="0" applyNumberFormat="1" applyFont="1" applyFill="1" applyBorder="1" applyAlignment="1">
      <alignment horizontal="center" vertical="center"/>
    </xf>
    <xf numFmtId="4" fontId="7" fillId="14" borderId="9" xfId="0" applyNumberFormat="1" applyFont="1" applyFill="1" applyBorder="1" applyAlignment="1">
      <alignment horizontal="center" vertical="center"/>
    </xf>
    <xf numFmtId="4" fontId="7" fillId="14" borderId="1" xfId="0" applyNumberFormat="1" applyFont="1" applyFill="1" applyBorder="1" applyAlignment="1">
      <alignment horizontal="center" vertical="center"/>
    </xf>
    <xf numFmtId="4" fontId="0" fillId="10" borderId="75" xfId="0" applyNumberFormat="1" applyFill="1" applyBorder="1" applyAlignment="1">
      <alignment horizontal="center"/>
    </xf>
    <xf numFmtId="4" fontId="14" fillId="25" borderId="8" xfId="0" applyNumberFormat="1" applyFont="1" applyFill="1" applyBorder="1" applyAlignment="1">
      <alignment horizontal="center" vertical="center"/>
    </xf>
    <xf numFmtId="0" fontId="7" fillId="25" borderId="85" xfId="0" applyFont="1" applyFill="1" applyBorder="1" applyAlignment="1">
      <alignment vertical="center"/>
    </xf>
    <xf numFmtId="0" fontId="7" fillId="25" borderId="85" xfId="0" applyFont="1" applyFill="1" applyBorder="1" applyAlignment="1">
      <alignment horizontal="center" vertical="center"/>
    </xf>
    <xf numFmtId="2" fontId="7" fillId="28" borderId="85" xfId="0" applyNumberFormat="1" applyFont="1" applyFill="1" applyBorder="1" applyAlignment="1">
      <alignment horizontal="center" vertical="center"/>
    </xf>
    <xf numFmtId="0" fontId="1" fillId="22" borderId="75" xfId="0" applyFont="1" applyFill="1" applyBorder="1" applyAlignment="1">
      <alignment horizontal="center"/>
    </xf>
    <xf numFmtId="4" fontId="0" fillId="30" borderId="5" xfId="0" applyNumberFormat="1" applyFill="1" applyBorder="1" applyAlignment="1" applyProtection="1">
      <alignment horizontal="center"/>
      <protection locked="0"/>
    </xf>
    <xf numFmtId="4" fontId="7" fillId="28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16" fillId="0" borderId="86" xfId="0" applyFont="1" applyBorder="1" applyAlignment="1">
      <alignment horizontal="center" wrapText="1"/>
    </xf>
    <xf numFmtId="3" fontId="16" fillId="0" borderId="86" xfId="0" applyNumberFormat="1" applyFont="1" applyBorder="1" applyAlignment="1">
      <alignment horizontal="center"/>
    </xf>
    <xf numFmtId="0" fontId="10" fillId="13" borderId="0" xfId="0" applyFont="1" applyFill="1" applyAlignment="1">
      <alignment vertical="center"/>
    </xf>
    <xf numFmtId="0" fontId="10" fillId="13" borderId="0" xfId="0" applyFont="1" applyFill="1"/>
    <xf numFmtId="0" fontId="16" fillId="13" borderId="0" xfId="0" applyFont="1" applyFill="1"/>
    <xf numFmtId="0" fontId="57" fillId="13" borderId="0" xfId="0" applyFont="1" applyFill="1"/>
    <xf numFmtId="0" fontId="10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4" fontId="16" fillId="13" borderId="0" xfId="1" applyNumberFormat="1" applyFont="1" applyFill="1" applyAlignment="1">
      <alignment horizontal="center" vertical="center" wrapText="1"/>
    </xf>
    <xf numFmtId="4" fontId="16" fillId="13" borderId="0" xfId="1" applyNumberFormat="1" applyFont="1" applyFill="1" applyAlignment="1">
      <alignment vertical="center" wrapText="1"/>
    </xf>
    <xf numFmtId="4" fontId="48" fillId="13" borderId="9" xfId="1" applyNumberFormat="1" applyFont="1" applyFill="1" applyBorder="1" applyAlignment="1">
      <alignment horizontal="center" vertical="center" wrapText="1"/>
    </xf>
    <xf numFmtId="0" fontId="16" fillId="13" borderId="0" xfId="1" applyFont="1" applyFill="1" applyAlignment="1">
      <alignment horizontal="center" vertical="center" wrapText="1"/>
    </xf>
    <xf numFmtId="0" fontId="16" fillId="13" borderId="0" xfId="0" applyFont="1" applyFill="1" applyAlignment="1">
      <alignment vertical="center"/>
    </xf>
    <xf numFmtId="0" fontId="16" fillId="13" borderId="0" xfId="0" applyFont="1" applyFill="1" applyAlignment="1">
      <alignment horizontal="center" vertical="center"/>
    </xf>
    <xf numFmtId="4" fontId="48" fillId="13" borderId="12" xfId="0" applyNumberFormat="1" applyFont="1" applyFill="1" applyBorder="1" applyAlignment="1">
      <alignment horizontal="center" vertical="center"/>
    </xf>
    <xf numFmtId="4" fontId="48" fillId="13" borderId="12" xfId="1" applyNumberFormat="1" applyFont="1" applyFill="1" applyBorder="1" applyAlignment="1">
      <alignment horizontal="center" vertical="center" wrapText="1"/>
    </xf>
    <xf numFmtId="4" fontId="48" fillId="13" borderId="1" xfId="1" applyNumberFormat="1" applyFont="1" applyFill="1" applyBorder="1" applyAlignment="1">
      <alignment horizontal="center" vertical="center" wrapText="1"/>
    </xf>
    <xf numFmtId="4" fontId="16" fillId="12" borderId="0" xfId="1" applyNumberFormat="1" applyFont="1" applyFill="1" applyAlignment="1">
      <alignment vertical="center" wrapText="1"/>
    </xf>
    <xf numFmtId="4" fontId="48" fillId="12" borderId="1" xfId="1" applyNumberFormat="1" applyFont="1" applyFill="1" applyBorder="1" applyAlignment="1">
      <alignment horizontal="center" vertical="center" wrapText="1"/>
    </xf>
    <xf numFmtId="0" fontId="0" fillId="13" borderId="0" xfId="0" applyFill="1"/>
    <xf numFmtId="4" fontId="48" fillId="13" borderId="0" xfId="1" applyNumberFormat="1" applyFont="1" applyFill="1" applyAlignment="1">
      <alignment horizontal="right" vertical="center" wrapText="1"/>
    </xf>
    <xf numFmtId="4" fontId="48" fillId="13" borderId="0" xfId="1" applyNumberFormat="1" applyFont="1" applyFill="1" applyAlignment="1">
      <alignment horizontal="center" vertical="center" wrapText="1"/>
    </xf>
    <xf numFmtId="2" fontId="48" fillId="13" borderId="0" xfId="1" applyNumberFormat="1" applyFont="1" applyFill="1" applyAlignment="1">
      <alignment horizontal="right" vertical="center" wrapText="1"/>
    </xf>
    <xf numFmtId="4" fontId="7" fillId="14" borderId="19" xfId="1" applyNumberFormat="1" applyFont="1" applyFill="1" applyBorder="1" applyAlignment="1">
      <alignment horizontal="center" vertical="center" wrapText="1"/>
    </xf>
    <xf numFmtId="4" fontId="7" fillId="14" borderId="1" xfId="1" applyNumberFormat="1" applyFont="1" applyFill="1" applyBorder="1" applyAlignment="1">
      <alignment horizontal="center" vertical="center" wrapText="1"/>
    </xf>
    <xf numFmtId="2" fontId="1" fillId="11" borderId="16" xfId="0" applyNumberFormat="1" applyFont="1" applyFill="1" applyBorder="1" applyAlignment="1">
      <alignment horizontal="center"/>
    </xf>
    <xf numFmtId="0" fontId="53" fillId="17" borderId="0" xfId="0" applyFont="1" applyFill="1" applyAlignment="1">
      <alignment horizontal="center" vertical="center"/>
    </xf>
    <xf numFmtId="0" fontId="1" fillId="17" borderId="0" xfId="0" applyFont="1" applyFill="1" applyAlignment="1">
      <alignment vertical="center"/>
    </xf>
    <xf numFmtId="49" fontId="7" fillId="6" borderId="86" xfId="1" applyNumberFormat="1" applyFont="1" applyFill="1" applyBorder="1" applyAlignment="1">
      <alignment horizontal="center" vertical="center" wrapText="1"/>
    </xf>
    <xf numFmtId="4" fontId="7" fillId="6" borderId="86" xfId="1" applyNumberFormat="1" applyFont="1" applyFill="1" applyBorder="1" applyAlignment="1">
      <alignment vertical="center" wrapText="1"/>
    </xf>
    <xf numFmtId="4" fontId="7" fillId="6" borderId="86" xfId="1" applyNumberFormat="1" applyFont="1" applyFill="1" applyBorder="1" applyAlignment="1">
      <alignment horizontal="center" vertical="center" wrapText="1"/>
    </xf>
    <xf numFmtId="4" fontId="7" fillId="6" borderId="84" xfId="1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0" fontId="7" fillId="0" borderId="75" xfId="0" applyFont="1" applyBorder="1" applyAlignment="1">
      <alignment vertical="center"/>
    </xf>
    <xf numFmtId="0" fontId="7" fillId="0" borderId="75" xfId="0" applyFont="1" applyBorder="1" applyAlignment="1">
      <alignment horizontal="center" vertical="center"/>
    </xf>
    <xf numFmtId="2" fontId="7" fillId="0" borderId="75" xfId="0" applyNumberFormat="1" applyFont="1" applyBorder="1" applyAlignment="1">
      <alignment horizontal="center" vertical="center"/>
    </xf>
    <xf numFmtId="4" fontId="7" fillId="0" borderId="75" xfId="0" applyNumberFormat="1" applyFont="1" applyBorder="1" applyAlignment="1">
      <alignment horizontal="center" vertical="center" wrapText="1"/>
    </xf>
    <xf numFmtId="4" fontId="14" fillId="0" borderId="77" xfId="1" applyNumberFormat="1" applyFont="1" applyBorder="1" applyAlignment="1">
      <alignment horizontal="center" vertical="center" wrapText="1"/>
    </xf>
    <xf numFmtId="4" fontId="14" fillId="31" borderId="19" xfId="1" applyNumberFormat="1" applyFont="1" applyFill="1" applyBorder="1" applyAlignment="1">
      <alignment horizontal="center" vertical="center" wrapText="1"/>
    </xf>
    <xf numFmtId="4" fontId="14" fillId="32" borderId="19" xfId="1" applyNumberFormat="1" applyFont="1" applyFill="1" applyBorder="1" applyAlignment="1">
      <alignment horizontal="center" vertical="center" wrapText="1"/>
    </xf>
    <xf numFmtId="3" fontId="7" fillId="32" borderId="1" xfId="1" applyNumberFormat="1" applyFont="1" applyFill="1" applyBorder="1" applyAlignment="1">
      <alignment horizontal="center" vertical="center" wrapText="1"/>
    </xf>
    <xf numFmtId="3" fontId="37" fillId="32" borderId="1" xfId="1" applyNumberFormat="1" applyFont="1" applyFill="1" applyBorder="1" applyAlignment="1">
      <alignment horizontal="center" vertical="center" wrapText="1"/>
    </xf>
    <xf numFmtId="4" fontId="7" fillId="32" borderId="19" xfId="1" applyNumberFormat="1" applyFont="1" applyFill="1" applyBorder="1" applyAlignment="1">
      <alignment horizontal="center" vertical="center" wrapText="1"/>
    </xf>
    <xf numFmtId="4" fontId="24" fillId="32" borderId="1" xfId="0" applyNumberFormat="1" applyFont="1" applyFill="1" applyBorder="1" applyAlignment="1">
      <alignment horizontal="center" vertical="center"/>
    </xf>
    <xf numFmtId="2" fontId="15" fillId="18" borderId="13" xfId="0" applyNumberFormat="1" applyFont="1" applyFill="1" applyBorder="1" applyAlignment="1">
      <alignment horizontal="center" vertical="center"/>
    </xf>
    <xf numFmtId="3" fontId="7" fillId="10" borderId="19" xfId="1" applyNumberFormat="1" applyFont="1" applyFill="1" applyBorder="1" applyAlignment="1">
      <alignment horizontal="center" vertical="center" wrapText="1"/>
    </xf>
    <xf numFmtId="2" fontId="7" fillId="11" borderId="1" xfId="1" applyNumberFormat="1" applyFont="1" applyFill="1" applyBorder="1" applyAlignment="1">
      <alignment horizontal="center" vertical="center" wrapText="1"/>
    </xf>
    <xf numFmtId="4" fontId="7" fillId="0" borderId="75" xfId="1" applyNumberFormat="1" applyFont="1" applyBorder="1" applyAlignment="1">
      <alignment horizontal="center" vertical="center" wrapText="1"/>
    </xf>
    <xf numFmtId="0" fontId="7" fillId="0" borderId="75" xfId="1" applyFont="1" applyBorder="1" applyAlignment="1">
      <alignment horizontal="center" vertical="center" wrapText="1"/>
    </xf>
    <xf numFmtId="4" fontId="15" fillId="0" borderId="75" xfId="0" applyNumberFormat="1" applyFont="1" applyBorder="1" applyAlignment="1">
      <alignment horizontal="center" vertical="center"/>
    </xf>
    <xf numFmtId="0" fontId="7" fillId="22" borderId="8" xfId="0" applyFont="1" applyFill="1" applyBorder="1" applyAlignment="1">
      <alignment vertical="center" wrapText="1"/>
    </xf>
    <xf numFmtId="4" fontId="7" fillId="22" borderId="1" xfId="0" applyNumberFormat="1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/>
    </xf>
    <xf numFmtId="0" fontId="7" fillId="0" borderId="75" xfId="0" applyFont="1" applyBorder="1" applyAlignment="1">
      <alignment vertical="center" wrapText="1"/>
    </xf>
    <xf numFmtId="1" fontId="7" fillId="0" borderId="12" xfId="0" applyNumberFormat="1" applyFont="1" applyBorder="1" applyAlignment="1">
      <alignment horizontal="center" vertical="center"/>
    </xf>
    <xf numFmtId="4" fontId="7" fillId="0" borderId="12" xfId="0" applyNumberFormat="1" applyFont="1" applyBorder="1" applyAlignment="1">
      <alignment horizontal="center" vertical="center" wrapText="1"/>
    </xf>
    <xf numFmtId="4" fontId="7" fillId="0" borderId="12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/>
    </xf>
    <xf numFmtId="167" fontId="7" fillId="0" borderId="9" xfId="0" applyNumberFormat="1" applyFont="1" applyBorder="1" applyAlignment="1">
      <alignment horizontal="center" vertical="center"/>
    </xf>
    <xf numFmtId="0" fontId="25" fillId="0" borderId="75" xfId="0" applyFont="1" applyBorder="1" applyAlignment="1">
      <alignment vertical="center"/>
    </xf>
    <xf numFmtId="0" fontId="7" fillId="0" borderId="8" xfId="0" applyFont="1" applyBorder="1" applyAlignment="1">
      <alignment horizontal="center"/>
    </xf>
    <xf numFmtId="0" fontId="7" fillId="6" borderId="75" xfId="1" applyFont="1" applyFill="1" applyBorder="1" applyAlignment="1">
      <alignment horizontal="center" vertical="center" wrapText="1"/>
    </xf>
    <xf numFmtId="0" fontId="7" fillId="6" borderId="90" xfId="1" applyFont="1" applyFill="1" applyBorder="1" applyAlignment="1">
      <alignment horizontal="center" vertical="center" wrapText="1"/>
    </xf>
    <xf numFmtId="0" fontId="7" fillId="0" borderId="90" xfId="0" applyFont="1" applyBorder="1" applyAlignment="1">
      <alignment horizontal="left"/>
    </xf>
    <xf numFmtId="0" fontId="16" fillId="0" borderId="90" xfId="0" applyFont="1" applyBorder="1" applyAlignment="1">
      <alignment horizontal="center"/>
    </xf>
    <xf numFmtId="4" fontId="16" fillId="0" borderId="90" xfId="0" applyNumberFormat="1" applyFont="1" applyBorder="1" applyAlignment="1">
      <alignment horizontal="center"/>
    </xf>
    <xf numFmtId="4" fontId="16" fillId="0" borderId="91" xfId="0" applyNumberFormat="1" applyFont="1" applyBorder="1" applyAlignment="1">
      <alignment horizontal="center"/>
    </xf>
    <xf numFmtId="4" fontId="16" fillId="0" borderId="92" xfId="0" applyNumberFormat="1" applyFont="1" applyBorder="1" applyAlignment="1">
      <alignment horizontal="center"/>
    </xf>
    <xf numFmtId="0" fontId="25" fillId="0" borderId="93" xfId="0" applyFont="1" applyBorder="1" applyAlignment="1">
      <alignment vertical="center"/>
    </xf>
    <xf numFmtId="0" fontId="7" fillId="0" borderId="90" xfId="0" applyFont="1" applyBorder="1" applyAlignment="1">
      <alignment horizontal="center" vertical="center"/>
    </xf>
    <xf numFmtId="4" fontId="14" fillId="0" borderId="87" xfId="0" applyNumberFormat="1" applyFont="1" applyBorder="1" applyAlignment="1">
      <alignment horizontal="center" vertical="center"/>
    </xf>
    <xf numFmtId="4" fontId="14" fillId="0" borderId="87" xfId="1" applyNumberFormat="1" applyFont="1" applyBorder="1" applyAlignment="1">
      <alignment horizontal="center" vertical="center" wrapText="1"/>
    </xf>
    <xf numFmtId="0" fontId="7" fillId="0" borderId="75" xfId="0" applyFont="1" applyBorder="1" applyAlignment="1">
      <alignment horizontal="left" wrapText="1"/>
    </xf>
    <xf numFmtId="0" fontId="16" fillId="0" borderId="75" xfId="0" applyFont="1" applyBorder="1" applyAlignment="1">
      <alignment horizontal="center" vertical="center"/>
    </xf>
    <xf numFmtId="4" fontId="16" fillId="0" borderId="75" xfId="0" applyNumberFormat="1" applyFont="1" applyBorder="1" applyAlignment="1">
      <alignment horizontal="center" vertical="center"/>
    </xf>
    <xf numFmtId="4" fontId="7" fillId="22" borderId="8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/>
    </xf>
    <xf numFmtId="49" fontId="7" fillId="6" borderId="75" xfId="1" applyNumberFormat="1" applyFont="1" applyFill="1" applyBorder="1" applyAlignment="1">
      <alignment horizontal="center" vertical="center" wrapText="1"/>
    </xf>
    <xf numFmtId="3" fontId="7" fillId="0" borderId="75" xfId="1" applyNumberFormat="1" applyFont="1" applyBorder="1" applyAlignment="1">
      <alignment horizontal="left" vertical="center" wrapText="1"/>
    </xf>
    <xf numFmtId="4" fontId="7" fillId="11" borderId="19" xfId="1" applyNumberFormat="1" applyFont="1" applyFill="1" applyBorder="1" applyAlignment="1">
      <alignment horizontal="center" vertical="center" wrapText="1"/>
    </xf>
    <xf numFmtId="4" fontId="7" fillId="11" borderId="1" xfId="0" applyNumberFormat="1" applyFont="1" applyFill="1" applyBorder="1" applyAlignment="1">
      <alignment horizontal="center" vertical="center"/>
    </xf>
    <xf numFmtId="4" fontId="7" fillId="18" borderId="1" xfId="1" applyNumberFormat="1" applyFont="1" applyFill="1" applyBorder="1" applyAlignment="1">
      <alignment horizontal="center" vertical="center" wrapText="1"/>
    </xf>
    <xf numFmtId="4" fontId="7" fillId="0" borderId="85" xfId="1" applyNumberFormat="1" applyFont="1" applyBorder="1" applyAlignment="1">
      <alignment horizontal="center" vertical="center" wrapText="1"/>
    </xf>
    <xf numFmtId="4" fontId="7" fillId="6" borderId="75" xfId="1" applyNumberFormat="1" applyFont="1" applyFill="1" applyBorder="1" applyAlignment="1">
      <alignment vertical="center" wrapText="1"/>
    </xf>
    <xf numFmtId="4" fontId="7" fillId="6" borderId="75" xfId="1" applyNumberFormat="1" applyFont="1" applyFill="1" applyBorder="1" applyAlignment="1">
      <alignment horizontal="center" vertical="center" wrapText="1"/>
    </xf>
    <xf numFmtId="4" fontId="7" fillId="6" borderId="85" xfId="1" applyNumberFormat="1" applyFont="1" applyFill="1" applyBorder="1" applyAlignment="1">
      <alignment horizontal="center" vertical="center" wrapText="1"/>
    </xf>
    <xf numFmtId="3" fontId="7" fillId="0" borderId="75" xfId="1" applyNumberFormat="1" applyFont="1" applyBorder="1" applyAlignment="1">
      <alignment horizontal="center" vertical="center" wrapText="1"/>
    </xf>
    <xf numFmtId="2" fontId="7" fillId="0" borderId="75" xfId="1" applyNumberFormat="1" applyFont="1" applyBorder="1" applyAlignment="1">
      <alignment horizontal="center" vertical="center" wrapText="1"/>
    </xf>
    <xf numFmtId="4" fontId="7" fillId="10" borderId="75" xfId="0" applyNumberFormat="1" applyFont="1" applyFill="1" applyBorder="1" applyAlignment="1">
      <alignment horizontal="center" vertical="center"/>
    </xf>
    <xf numFmtId="4" fontId="15" fillId="18" borderId="13" xfId="0" applyNumberFormat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3" fontId="7" fillId="0" borderId="75" xfId="0" applyNumberFormat="1" applyFont="1" applyBorder="1" applyAlignment="1">
      <alignment horizontal="center" vertical="center"/>
    </xf>
    <xf numFmtId="3" fontId="14" fillId="32" borderId="5" xfId="1" applyNumberFormat="1" applyFont="1" applyFill="1" applyBorder="1" applyAlignment="1">
      <alignment horizontal="center" vertical="center" wrapText="1"/>
    </xf>
    <xf numFmtId="3" fontId="7" fillId="32" borderId="53" xfId="1" applyNumberFormat="1" applyFont="1" applyFill="1" applyBorder="1" applyAlignment="1">
      <alignment horizontal="center" vertical="center" wrapText="1"/>
    </xf>
    <xf numFmtId="3" fontId="7" fillId="32" borderId="6" xfId="1" applyNumberFormat="1" applyFont="1" applyFill="1" applyBorder="1" applyAlignment="1">
      <alignment horizontal="center" vertical="center" wrapText="1"/>
    </xf>
    <xf numFmtId="2" fontId="7" fillId="18" borderId="1" xfId="0" applyNumberFormat="1" applyFont="1" applyFill="1" applyBorder="1" applyAlignment="1">
      <alignment horizontal="center" vertical="center"/>
    </xf>
    <xf numFmtId="2" fontId="7" fillId="18" borderId="85" xfId="0" applyNumberFormat="1" applyFont="1" applyFill="1" applyBorder="1" applyAlignment="1">
      <alignment horizontal="center" vertical="center"/>
    </xf>
    <xf numFmtId="3" fontId="7" fillId="6" borderId="75" xfId="1" applyNumberFormat="1" applyFont="1" applyFill="1" applyBorder="1" applyAlignment="1">
      <alignment horizontal="center" vertical="center" wrapText="1"/>
    </xf>
    <xf numFmtId="0" fontId="7" fillId="12" borderId="75" xfId="0" applyFont="1" applyFill="1" applyBorder="1" applyAlignment="1">
      <alignment horizontal="center" vertical="center"/>
    </xf>
    <xf numFmtId="4" fontId="7" fillId="0" borderId="75" xfId="1" applyNumberFormat="1" applyFont="1" applyBorder="1" applyAlignment="1">
      <alignment horizontal="center" vertical="center"/>
    </xf>
    <xf numFmtId="4" fontId="7" fillId="12" borderId="75" xfId="0" applyNumberFormat="1" applyFont="1" applyFill="1" applyBorder="1" applyAlignment="1">
      <alignment horizontal="center" vertical="center"/>
    </xf>
    <xf numFmtId="0" fontId="7" fillId="12" borderId="75" xfId="1" applyFont="1" applyFill="1" applyBorder="1" applyAlignment="1">
      <alignment horizontal="center" vertical="center"/>
    </xf>
    <xf numFmtId="0" fontId="0" fillId="22" borderId="75" xfId="0" applyFill="1" applyBorder="1" applyAlignment="1">
      <alignment horizontal="center"/>
    </xf>
    <xf numFmtId="0" fontId="0" fillId="11" borderId="75" xfId="0" applyFill="1" applyBorder="1" applyAlignment="1">
      <alignment horizontal="center"/>
    </xf>
    <xf numFmtId="2" fontId="15" fillId="0" borderId="75" xfId="0" applyNumberFormat="1" applyFont="1" applyBorder="1" applyAlignment="1">
      <alignment horizontal="center" vertical="center"/>
    </xf>
    <xf numFmtId="4" fontId="15" fillId="0" borderId="75" xfId="0" applyNumberFormat="1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/>
    </xf>
    <xf numFmtId="4" fontId="15" fillId="6" borderId="75" xfId="0" applyNumberFormat="1" applyFont="1" applyFill="1" applyBorder="1" applyAlignment="1">
      <alignment horizontal="center" vertical="center" wrapText="1"/>
    </xf>
    <xf numFmtId="4" fontId="15" fillId="6" borderId="75" xfId="0" applyNumberFormat="1" applyFont="1" applyFill="1" applyBorder="1" applyAlignment="1">
      <alignment horizontal="center" vertical="center"/>
    </xf>
    <xf numFmtId="0" fontId="7" fillId="6" borderId="75" xfId="1" applyFont="1" applyFill="1" applyBorder="1" applyAlignment="1">
      <alignment horizontal="left" vertical="center" wrapText="1"/>
    </xf>
    <xf numFmtId="0" fontId="7" fillId="22" borderId="0" xfId="0" applyFont="1" applyFill="1" applyAlignment="1">
      <alignment horizontal="left" vertical="center"/>
    </xf>
    <xf numFmtId="0" fontId="7" fillId="22" borderId="0" xfId="0" applyFont="1" applyFill="1" applyAlignment="1">
      <alignment horizontal="center"/>
    </xf>
    <xf numFmtId="4" fontId="7" fillId="22" borderId="0" xfId="0" applyNumberFormat="1" applyFont="1" applyFill="1" applyAlignment="1">
      <alignment horizontal="center" vertical="center"/>
    </xf>
    <xf numFmtId="4" fontId="14" fillId="33" borderId="8" xfId="0" applyNumberFormat="1" applyFont="1" applyFill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3" fontId="7" fillId="4" borderId="1" xfId="0" applyNumberFormat="1" applyFont="1" applyFill="1" applyBorder="1" applyAlignment="1">
      <alignment horizontal="center" vertical="center"/>
    </xf>
    <xf numFmtId="4" fontId="7" fillId="2" borderId="97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5" borderId="8" xfId="0" applyFont="1" applyFill="1" applyBorder="1" applyAlignment="1">
      <alignment horizontal="center" vertical="center"/>
    </xf>
    <xf numFmtId="3" fontId="15" fillId="0" borderId="75" xfId="0" applyNumberFormat="1" applyFont="1" applyBorder="1" applyAlignment="1">
      <alignment horizontal="center" vertical="center"/>
    </xf>
    <xf numFmtId="4" fontId="14" fillId="0" borderId="89" xfId="1" applyNumberFormat="1" applyFont="1" applyBorder="1" applyAlignment="1">
      <alignment horizontal="center" vertical="center" wrapText="1"/>
    </xf>
    <xf numFmtId="4" fontId="16" fillId="0" borderId="86" xfId="0" applyNumberFormat="1" applyFont="1" applyBorder="1" applyAlignment="1">
      <alignment horizontal="center" vertical="center"/>
    </xf>
    <xf numFmtId="4" fontId="49" fillId="6" borderId="5" xfId="1" applyNumberFormat="1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4" fontId="16" fillId="6" borderId="5" xfId="1" applyNumberFormat="1" applyFont="1" applyFill="1" applyBorder="1" applyAlignment="1">
      <alignment horizontal="left" vertical="center" wrapText="1"/>
    </xf>
    <xf numFmtId="4" fontId="16" fillId="6" borderId="6" xfId="1" applyNumberFormat="1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4" fontId="16" fillId="0" borderId="5" xfId="1" applyNumberFormat="1" applyFont="1" applyBorder="1" applyAlignment="1">
      <alignment horizontal="center" vertical="center" wrapText="1"/>
    </xf>
    <xf numFmtId="4" fontId="16" fillId="0" borderId="6" xfId="1" applyNumberFormat="1" applyFont="1" applyBorder="1" applyAlignment="1">
      <alignment horizontal="center" vertical="center" wrapText="1"/>
    </xf>
    <xf numFmtId="4" fontId="16" fillId="0" borderId="1" xfId="1" applyNumberFormat="1" applyFont="1" applyBorder="1" applyAlignment="1">
      <alignment horizontal="left" vertical="center" wrapText="1"/>
    </xf>
    <xf numFmtId="4" fontId="48" fillId="0" borderId="1" xfId="1" applyNumberFormat="1" applyFont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4" fontId="48" fillId="0" borderId="0" xfId="0" applyNumberFormat="1" applyFont="1" applyAlignment="1">
      <alignment horizontal="center" vertical="center"/>
    </xf>
    <xf numFmtId="4" fontId="48" fillId="0" borderId="0" xfId="1" applyNumberFormat="1" applyFont="1" applyAlignment="1">
      <alignment horizontal="center" vertical="center" wrapText="1"/>
    </xf>
    <xf numFmtId="0" fontId="16" fillId="12" borderId="86" xfId="1" applyFont="1" applyFill="1" applyBorder="1" applyAlignment="1">
      <alignment horizontal="center" vertical="center" wrapText="1"/>
    </xf>
    <xf numFmtId="0" fontId="16" fillId="12" borderId="86" xfId="0" applyFont="1" applyFill="1" applyBorder="1" applyAlignment="1">
      <alignment horizontal="center" vertical="center"/>
    </xf>
    <xf numFmtId="4" fontId="16" fillId="0" borderId="86" xfId="1" applyNumberFormat="1" applyFont="1" applyBorder="1" applyAlignment="1">
      <alignment horizontal="center" vertical="center" wrapText="1"/>
    </xf>
    <xf numFmtId="0" fontId="16" fillId="12" borderId="86" xfId="1" applyFont="1" applyFill="1" applyBorder="1" applyAlignment="1">
      <alignment horizontal="left" vertical="center" wrapText="1"/>
    </xf>
    <xf numFmtId="4" fontId="16" fillId="12" borderId="86" xfId="1" applyNumberFormat="1" applyFont="1" applyFill="1" applyBorder="1" applyAlignment="1">
      <alignment horizontal="right" vertical="center" wrapText="1"/>
    </xf>
    <xf numFmtId="4" fontId="16" fillId="12" borderId="86" xfId="1" applyNumberFormat="1" applyFont="1" applyFill="1" applyBorder="1" applyAlignment="1">
      <alignment horizontal="center" vertical="center" wrapText="1"/>
    </xf>
    <xf numFmtId="0" fontId="16" fillId="12" borderId="0" xfId="1" applyFont="1" applyFill="1" applyAlignment="1">
      <alignment horizontal="center" vertical="center" wrapText="1"/>
    </xf>
    <xf numFmtId="0" fontId="16" fillId="12" borderId="0" xfId="0" applyFont="1" applyFill="1" applyAlignment="1">
      <alignment vertical="center"/>
    </xf>
    <xf numFmtId="4" fontId="48" fillId="12" borderId="0" xfId="1" applyNumberFormat="1" applyFont="1" applyFill="1" applyAlignment="1">
      <alignment horizontal="right" vertical="center" wrapText="1"/>
    </xf>
    <xf numFmtId="166" fontId="16" fillId="0" borderId="86" xfId="1" applyNumberFormat="1" applyFont="1" applyBorder="1" applyAlignment="1">
      <alignment horizontal="center" vertical="center" wrapText="1"/>
    </xf>
    <xf numFmtId="0" fontId="59" fillId="0" borderId="86" xfId="0" applyFont="1" applyBorder="1" applyAlignment="1">
      <alignment horizontal="center" vertical="center"/>
    </xf>
    <xf numFmtId="4" fontId="48" fillId="0" borderId="0" xfId="1" applyNumberFormat="1" applyFont="1" applyAlignment="1">
      <alignment horizontal="right" vertical="center" wrapText="1"/>
    </xf>
    <xf numFmtId="4" fontId="16" fillId="6" borderId="0" xfId="1" applyNumberFormat="1" applyFont="1" applyFill="1" applyAlignment="1">
      <alignment vertical="center" wrapText="1"/>
    </xf>
    <xf numFmtId="4" fontId="16" fillId="6" borderId="0" xfId="1" applyNumberFormat="1" applyFont="1" applyFill="1" applyAlignment="1">
      <alignment horizontal="center" vertical="center" wrapText="1"/>
    </xf>
    <xf numFmtId="2" fontId="48" fillId="0" borderId="0" xfId="1" applyNumberFormat="1" applyFont="1" applyAlignment="1">
      <alignment horizontal="right" vertical="center" wrapText="1"/>
    </xf>
    <xf numFmtId="4" fontId="48" fillId="6" borderId="0" xfId="1" applyNumberFormat="1" applyFont="1" applyFill="1" applyAlignment="1">
      <alignment horizontal="center" vertical="center" wrapText="1"/>
    </xf>
    <xf numFmtId="0" fontId="16" fillId="0" borderId="75" xfId="0" applyFont="1" applyBorder="1"/>
    <xf numFmtId="4" fontId="16" fillId="6" borderId="75" xfId="1" applyNumberFormat="1" applyFont="1" applyFill="1" applyBorder="1" applyAlignment="1">
      <alignment horizontal="center" vertical="center" wrapText="1"/>
    </xf>
    <xf numFmtId="2" fontId="16" fillId="0" borderId="75" xfId="1" applyNumberFormat="1" applyFont="1" applyBorder="1" applyAlignment="1">
      <alignment horizontal="center" vertical="center" wrapText="1"/>
    </xf>
    <xf numFmtId="4" fontId="16" fillId="0" borderId="75" xfId="1" applyNumberFormat="1" applyFont="1" applyBorder="1" applyAlignment="1">
      <alignment horizontal="center" vertical="center" wrapText="1"/>
    </xf>
    <xf numFmtId="4" fontId="48" fillId="0" borderId="75" xfId="1" applyNumberFormat="1" applyFont="1" applyBorder="1" applyAlignment="1">
      <alignment horizontal="center" vertical="center" wrapText="1"/>
    </xf>
    <xf numFmtId="4" fontId="48" fillId="0" borderId="75" xfId="0" applyNumberFormat="1" applyFont="1" applyBorder="1" applyAlignment="1">
      <alignment horizontal="center" vertical="center"/>
    </xf>
    <xf numFmtId="4" fontId="48" fillId="0" borderId="96" xfId="1" applyNumberFormat="1" applyFont="1" applyBorder="1" applyAlignment="1">
      <alignment horizontal="center" vertical="center" wrapText="1"/>
    </xf>
    <xf numFmtId="4" fontId="48" fillId="0" borderId="96" xfId="1" applyNumberFormat="1" applyFont="1" applyBorder="1" applyAlignment="1">
      <alignment horizontal="center" vertical="center"/>
    </xf>
    <xf numFmtId="4" fontId="48" fillId="0" borderId="96" xfId="0" applyNumberFormat="1" applyFont="1" applyBorder="1" applyAlignment="1">
      <alignment horizontal="center" vertical="center"/>
    </xf>
    <xf numFmtId="4" fontId="14" fillId="0" borderId="96" xfId="1" applyNumberFormat="1" applyFont="1" applyBorder="1" applyAlignment="1">
      <alignment horizontal="center" vertical="center" wrapText="1"/>
    </xf>
    <xf numFmtId="4" fontId="14" fillId="0" borderId="96" xfId="1" applyNumberFormat="1" applyFont="1" applyBorder="1" applyAlignment="1">
      <alignment horizontal="center" vertical="center"/>
    </xf>
    <xf numFmtId="4" fontId="14" fillId="0" borderId="96" xfId="0" applyNumberFormat="1" applyFont="1" applyBorder="1" applyAlignment="1">
      <alignment horizontal="center" vertical="center"/>
    </xf>
    <xf numFmtId="4" fontId="14" fillId="6" borderId="75" xfId="1" applyNumberFormat="1" applyFont="1" applyFill="1" applyBorder="1" applyAlignment="1">
      <alignment horizontal="center" vertical="center" wrapText="1"/>
    </xf>
    <xf numFmtId="4" fontId="14" fillId="0" borderId="75" xfId="1" applyNumberFormat="1" applyFont="1" applyBorder="1" applyAlignment="1">
      <alignment horizontal="center" vertical="center" wrapText="1"/>
    </xf>
    <xf numFmtId="1" fontId="14" fillId="0" borderId="75" xfId="1" applyNumberFormat="1" applyFont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4" fontId="7" fillId="11" borderId="8" xfId="0" applyNumberFormat="1" applyFont="1" applyFill="1" applyBorder="1" applyAlignment="1">
      <alignment horizontal="center" vertical="center"/>
    </xf>
    <xf numFmtId="4" fontId="0" fillId="11" borderId="75" xfId="0" applyNumberFormat="1" applyFill="1" applyBorder="1" applyAlignment="1">
      <alignment horizontal="center"/>
    </xf>
    <xf numFmtId="4" fontId="7" fillId="18" borderId="75" xfId="0" applyNumberFormat="1" applyFont="1" applyFill="1" applyBorder="1" applyAlignment="1">
      <alignment horizontal="center" vertical="center"/>
    </xf>
    <xf numFmtId="4" fontId="7" fillId="18" borderId="9" xfId="0" applyNumberFormat="1" applyFont="1" applyFill="1" applyBorder="1" applyAlignment="1">
      <alignment horizontal="center" vertical="center"/>
    </xf>
    <xf numFmtId="0" fontId="15" fillId="25" borderId="13" xfId="0" applyFont="1" applyFill="1" applyBorder="1" applyAlignment="1">
      <alignment horizontal="center" vertical="center" wrapText="1"/>
    </xf>
    <xf numFmtId="4" fontId="15" fillId="25" borderId="13" xfId="0" applyNumberFormat="1" applyFont="1" applyFill="1" applyBorder="1" applyAlignment="1">
      <alignment horizontal="center" vertical="center"/>
    </xf>
    <xf numFmtId="4" fontId="15" fillId="25" borderId="13" xfId="0" applyNumberFormat="1" applyFont="1" applyFill="1" applyBorder="1" applyAlignment="1">
      <alignment horizontal="center" vertical="center" wrapText="1"/>
    </xf>
    <xf numFmtId="3" fontId="7" fillId="22" borderId="1" xfId="1" applyNumberFormat="1" applyFont="1" applyFill="1" applyBorder="1" applyAlignment="1">
      <alignment horizontal="center" vertical="center" wrapText="1"/>
    </xf>
    <xf numFmtId="4" fontId="7" fillId="25" borderId="19" xfId="1" applyNumberFormat="1" applyFont="1" applyFill="1" applyBorder="1" applyAlignment="1">
      <alignment horizontal="center" vertical="center" wrapText="1"/>
    </xf>
    <xf numFmtId="4" fontId="7" fillId="25" borderId="19" xfId="1" applyNumberFormat="1" applyFont="1" applyFill="1" applyBorder="1" applyAlignment="1">
      <alignment horizontal="left" vertical="center" wrapText="1"/>
    </xf>
    <xf numFmtId="3" fontId="7" fillId="22" borderId="1" xfId="1" applyNumberFormat="1" applyFont="1" applyFill="1" applyBorder="1" applyAlignment="1">
      <alignment horizontal="left" vertical="center" wrapText="1"/>
    </xf>
    <xf numFmtId="0" fontId="7" fillId="22" borderId="1" xfId="1" applyFont="1" applyFill="1" applyBorder="1" applyAlignment="1">
      <alignment horizontal="center" vertical="center" wrapText="1"/>
    </xf>
    <xf numFmtId="1" fontId="7" fillId="22" borderId="1" xfId="1" applyNumberFormat="1" applyFont="1" applyFill="1" applyBorder="1" applyAlignment="1">
      <alignment horizontal="center" vertical="center" wrapText="1"/>
    </xf>
    <xf numFmtId="2" fontId="7" fillId="22" borderId="1" xfId="1" applyNumberFormat="1" applyFont="1" applyFill="1" applyBorder="1" applyAlignment="1">
      <alignment horizontal="center" vertical="center" wrapText="1"/>
    </xf>
    <xf numFmtId="4" fontId="7" fillId="22" borderId="19" xfId="1" applyNumberFormat="1" applyFont="1" applyFill="1" applyBorder="1" applyAlignment="1">
      <alignment horizontal="center" vertical="center" wrapText="1"/>
    </xf>
    <xf numFmtId="0" fontId="36" fillId="22" borderId="0" xfId="0" applyFont="1" applyFill="1" applyAlignment="1">
      <alignment horizontal="center"/>
    </xf>
    <xf numFmtId="4" fontId="14" fillId="31" borderId="15" xfId="1" applyNumberFormat="1" applyFont="1" applyFill="1" applyBorder="1" applyAlignment="1">
      <alignment horizontal="center" vertical="center" wrapText="1"/>
    </xf>
    <xf numFmtId="0" fontId="15" fillId="25" borderId="27" xfId="0" applyFont="1" applyFill="1" applyBorder="1" applyAlignment="1">
      <alignment horizontal="center" vertical="center" wrapText="1"/>
    </xf>
    <xf numFmtId="4" fontId="7" fillId="25" borderId="13" xfId="0" applyNumberFormat="1" applyFont="1" applyFill="1" applyBorder="1" applyAlignment="1">
      <alignment horizontal="center" vertical="center" wrapText="1"/>
    </xf>
    <xf numFmtId="0" fontId="7" fillId="22" borderId="1" xfId="0" applyFont="1" applyFill="1" applyBorder="1" applyAlignment="1">
      <alignment horizontal="left"/>
    </xf>
    <xf numFmtId="4" fontId="37" fillId="22" borderId="1" xfId="0" applyNumberFormat="1" applyFont="1" applyFill="1" applyBorder="1" applyAlignment="1">
      <alignment horizontal="center" vertical="center"/>
    </xf>
    <xf numFmtId="4" fontId="7" fillId="22" borderId="75" xfId="0" applyNumberFormat="1" applyFont="1" applyFill="1" applyBorder="1" applyAlignment="1">
      <alignment horizontal="center" vertical="center"/>
    </xf>
    <xf numFmtId="0" fontId="4" fillId="22" borderId="0" xfId="0" applyFont="1" applyFill="1" applyAlignment="1">
      <alignment horizontal="center"/>
    </xf>
    <xf numFmtId="0" fontId="1" fillId="22" borderId="16" xfId="0" applyFont="1" applyFill="1" applyBorder="1" applyAlignment="1">
      <alignment horizontal="center"/>
    </xf>
    <xf numFmtId="0" fontId="0" fillId="22" borderId="16" xfId="0" applyFill="1" applyBorder="1" applyAlignment="1">
      <alignment horizontal="center"/>
    </xf>
    <xf numFmtId="4" fontId="7" fillId="22" borderId="75" xfId="1" applyNumberFormat="1" applyFont="1" applyFill="1" applyBorder="1" applyAlignment="1">
      <alignment horizontal="center" vertical="center" wrapText="1"/>
    </xf>
    <xf numFmtId="0" fontId="7" fillId="22" borderId="1" xfId="0" applyFont="1" applyFill="1" applyBorder="1" applyAlignment="1">
      <alignment horizontal="left" vertical="center" wrapText="1"/>
    </xf>
    <xf numFmtId="0" fontId="7" fillId="22" borderId="75" xfId="0" applyFont="1" applyFill="1" applyBorder="1" applyAlignment="1">
      <alignment horizontal="left" vertical="center"/>
    </xf>
    <xf numFmtId="0" fontId="7" fillId="22" borderId="75" xfId="0" applyFont="1" applyFill="1" applyBorder="1" applyAlignment="1">
      <alignment horizontal="center"/>
    </xf>
    <xf numFmtId="4" fontId="7" fillId="25" borderId="19" xfId="1" applyNumberFormat="1" applyFont="1" applyFill="1" applyBorder="1" applyAlignment="1">
      <alignment vertical="center" wrapText="1"/>
    </xf>
    <xf numFmtId="4" fontId="17" fillId="22" borderId="1" xfId="0" applyNumberFormat="1" applyFont="1" applyFill="1" applyBorder="1" applyAlignment="1">
      <alignment horizontal="left" vertical="center"/>
    </xf>
    <xf numFmtId="0" fontId="7" fillId="17" borderId="1" xfId="1" applyFont="1" applyFill="1" applyBorder="1" applyAlignment="1">
      <alignment horizontal="center" vertical="center" wrapText="1"/>
    </xf>
    <xf numFmtId="0" fontId="15" fillId="28" borderId="13" xfId="0" applyFont="1" applyFill="1" applyBorder="1" applyAlignment="1">
      <alignment horizontal="center" vertical="center"/>
    </xf>
    <xf numFmtId="2" fontId="50" fillId="17" borderId="15" xfId="0" applyNumberFormat="1" applyFont="1" applyFill="1" applyBorder="1" applyAlignment="1">
      <alignment horizontal="center" vertical="center"/>
    </xf>
    <xf numFmtId="4" fontId="15" fillId="28" borderId="13" xfId="0" applyNumberFormat="1" applyFont="1" applyFill="1" applyBorder="1" applyAlignment="1">
      <alignment horizontal="center" vertical="center" wrapText="1"/>
    </xf>
    <xf numFmtId="2" fontId="14" fillId="28" borderId="13" xfId="0" applyNumberFormat="1" applyFont="1" applyFill="1" applyBorder="1" applyAlignment="1">
      <alignment horizontal="center" vertical="center"/>
    </xf>
    <xf numFmtId="2" fontId="7" fillId="17" borderId="1" xfId="1" applyNumberFormat="1" applyFont="1" applyFill="1" applyBorder="1" applyAlignment="1">
      <alignment horizontal="center" vertical="center" wrapText="1"/>
    </xf>
    <xf numFmtId="0" fontId="7" fillId="12" borderId="13" xfId="1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4" fontId="10" fillId="12" borderId="0" xfId="1" applyNumberFormat="1" applyFont="1" applyFill="1" applyAlignment="1">
      <alignment horizontal="right" vertical="center" wrapText="1"/>
    </xf>
    <xf numFmtId="0" fontId="10" fillId="12" borderId="1" xfId="1" applyFont="1" applyFill="1" applyBorder="1" applyAlignment="1">
      <alignment horizontal="center" vertical="center" wrapText="1"/>
    </xf>
    <xf numFmtId="4" fontId="10" fillId="12" borderId="1" xfId="1" applyNumberFormat="1" applyFont="1" applyFill="1" applyBorder="1" applyAlignment="1">
      <alignment horizontal="center" vertical="center" wrapText="1"/>
    </xf>
    <xf numFmtId="0" fontId="10" fillId="12" borderId="1" xfId="1" applyFont="1" applyFill="1" applyBorder="1" applyAlignment="1">
      <alignment horizontal="center" vertical="center"/>
    </xf>
    <xf numFmtId="3" fontId="10" fillId="12" borderId="1" xfId="1" applyNumberFormat="1" applyFont="1" applyFill="1" applyBorder="1" applyAlignment="1">
      <alignment horizontal="center" vertical="center" wrapText="1"/>
    </xf>
    <xf numFmtId="0" fontId="39" fillId="12" borderId="0" xfId="1" applyFont="1" applyFill="1" applyAlignment="1">
      <alignment horizontal="center" vertical="center"/>
    </xf>
    <xf numFmtId="3" fontId="39" fillId="12" borderId="0" xfId="1" applyNumberFormat="1" applyFont="1" applyFill="1" applyAlignment="1">
      <alignment horizontal="center" vertical="center" wrapText="1"/>
    </xf>
    <xf numFmtId="4" fontId="7" fillId="0" borderId="11" xfId="1" applyNumberFormat="1" applyFont="1" applyBorder="1" applyAlignment="1">
      <alignment vertical="center" wrapText="1"/>
    </xf>
    <xf numFmtId="0" fontId="25" fillId="6" borderId="0" xfId="0" applyFont="1" applyFill="1" applyAlignment="1">
      <alignment vertical="center"/>
    </xf>
    <xf numFmtId="4" fontId="7" fillId="6" borderId="12" xfId="1" applyNumberFormat="1" applyFont="1" applyFill="1" applyBorder="1" applyAlignment="1">
      <alignment horizontal="center" vertical="center" wrapText="1"/>
    </xf>
    <xf numFmtId="16" fontId="0" fillId="0" borderId="0" xfId="0" applyNumberFormat="1"/>
    <xf numFmtId="4" fontId="7" fillId="6" borderId="0" xfId="1" applyNumberFormat="1" applyFont="1" applyFill="1" applyAlignment="1">
      <alignment horizontal="right" vertical="center" wrapText="1"/>
    </xf>
    <xf numFmtId="2" fontId="7" fillId="6" borderId="0" xfId="1" applyNumberFormat="1" applyFont="1" applyFill="1" applyAlignment="1">
      <alignment horizontal="right" vertical="center" wrapText="1"/>
    </xf>
    <xf numFmtId="4" fontId="7" fillId="6" borderId="1" xfId="1" applyNumberFormat="1" applyFont="1" applyFill="1" applyBorder="1" applyAlignment="1">
      <alignment horizontal="right" vertical="center" wrapText="1"/>
    </xf>
    <xf numFmtId="2" fontId="7" fillId="6" borderId="1" xfId="1" applyNumberFormat="1" applyFont="1" applyFill="1" applyBorder="1" applyAlignment="1">
      <alignment horizontal="right" vertical="center" wrapText="1"/>
    </xf>
    <xf numFmtId="1" fontId="7" fillId="0" borderId="1" xfId="1" applyNumberFormat="1" applyFont="1" applyBorder="1" applyAlignment="1">
      <alignment horizontal="center" vertical="center"/>
    </xf>
    <xf numFmtId="0" fontId="60" fillId="0" borderId="1" xfId="0" applyFont="1" applyBorder="1"/>
    <xf numFmtId="1" fontId="0" fillId="0" borderId="1" xfId="0" applyNumberFormat="1" applyBorder="1"/>
    <xf numFmtId="0" fontId="61" fillId="0" borderId="0" xfId="0" applyFont="1"/>
    <xf numFmtId="4" fontId="61" fillId="0" borderId="0" xfId="0" applyNumberFormat="1" applyFont="1" applyAlignment="1">
      <alignment horizontal="center" vertical="center"/>
    </xf>
    <xf numFmtId="1" fontId="44" fillId="0" borderId="0" xfId="0" applyNumberFormat="1" applyFont="1" applyAlignment="1">
      <alignment horizontal="center" vertical="center"/>
    </xf>
    <xf numFmtId="1" fontId="61" fillId="0" borderId="0" xfId="0" applyNumberFormat="1" applyFont="1" applyAlignment="1">
      <alignment horizontal="center" vertical="center"/>
    </xf>
    <xf numFmtId="0" fontId="62" fillId="0" borderId="0" xfId="0" applyFont="1"/>
    <xf numFmtId="1" fontId="62" fillId="0" borderId="0" xfId="0" applyNumberFormat="1" applyFont="1" applyAlignment="1">
      <alignment horizontal="center" vertical="center"/>
    </xf>
    <xf numFmtId="1" fontId="63" fillId="0" borderId="0" xfId="0" applyNumberFormat="1" applyFont="1" applyAlignment="1">
      <alignment horizontal="center" vertical="center"/>
    </xf>
    <xf numFmtId="4" fontId="9" fillId="12" borderId="0" xfId="1" applyNumberFormat="1" applyFont="1" applyFill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4" fontId="7" fillId="6" borderId="0" xfId="0" applyNumberFormat="1" applyFont="1" applyFill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/>
    </xf>
    <xf numFmtId="1" fontId="7" fillId="0" borderId="1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2" fontId="7" fillId="6" borderId="0" xfId="0" applyNumberFormat="1" applyFont="1" applyFill="1" applyAlignment="1">
      <alignment horizontal="center" vertical="center"/>
    </xf>
    <xf numFmtId="4" fontId="9" fillId="12" borderId="0" xfId="1" applyNumberFormat="1" applyFont="1" applyFill="1" applyAlignment="1">
      <alignment vertical="center" wrapText="1"/>
    </xf>
    <xf numFmtId="4" fontId="29" fillId="12" borderId="0" xfId="1" applyNumberFormat="1" applyFont="1" applyFill="1" applyAlignment="1">
      <alignment vertical="center" wrapText="1"/>
    </xf>
    <xf numFmtId="4" fontId="29" fillId="12" borderId="0" xfId="1" applyNumberFormat="1" applyFont="1" applyFill="1" applyAlignment="1">
      <alignment horizontal="right" vertical="center" wrapText="1"/>
    </xf>
    <xf numFmtId="4" fontId="7" fillId="0" borderId="15" xfId="0" applyNumberFormat="1" applyFont="1" applyBorder="1" applyAlignment="1">
      <alignment horizontal="center" vertical="center"/>
    </xf>
    <xf numFmtId="0" fontId="0" fillId="0" borderId="12" xfId="0" applyBorder="1"/>
    <xf numFmtId="0" fontId="0" fillId="16" borderId="0" xfId="0" applyFill="1"/>
    <xf numFmtId="2" fontId="7" fillId="0" borderId="9" xfId="0" applyNumberFormat="1" applyFont="1" applyBorder="1" applyAlignment="1">
      <alignment horizontal="center" vertical="center"/>
    </xf>
    <xf numFmtId="167" fontId="7" fillId="0" borderId="90" xfId="0" applyNumberFormat="1" applyFont="1" applyBorder="1" applyAlignment="1">
      <alignment horizontal="center" vertical="center"/>
    </xf>
    <xf numFmtId="4" fontId="7" fillId="0" borderId="91" xfId="0" applyNumberFormat="1" applyFont="1" applyBorder="1" applyAlignment="1">
      <alignment horizontal="center" vertical="center"/>
    </xf>
    <xf numFmtId="4" fontId="7" fillId="0" borderId="90" xfId="0" applyNumberFormat="1" applyFont="1" applyBorder="1" applyAlignment="1">
      <alignment horizontal="center" vertical="center"/>
    </xf>
    <xf numFmtId="167" fontId="7" fillId="0" borderId="75" xfId="0" applyNumberFormat="1" applyFont="1" applyBorder="1" applyAlignment="1">
      <alignment horizontal="center" vertical="center"/>
    </xf>
    <xf numFmtId="4" fontId="7" fillId="0" borderId="94" xfId="0" applyNumberFormat="1" applyFont="1" applyBorder="1" applyAlignment="1">
      <alignment horizontal="center" vertical="center" wrapText="1"/>
    </xf>
    <xf numFmtId="4" fontId="7" fillId="0" borderId="94" xfId="0" applyNumberFormat="1" applyFont="1" applyBorder="1" applyAlignment="1">
      <alignment horizontal="center" vertical="center"/>
    </xf>
    <xf numFmtId="4" fontId="7" fillId="0" borderId="84" xfId="0" applyNumberFormat="1" applyFont="1" applyBorder="1" applyAlignment="1">
      <alignment horizontal="center" vertical="center"/>
    </xf>
    <xf numFmtId="4" fontId="7" fillId="6" borderId="75" xfId="0" applyNumberFormat="1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right" vertical="center" wrapText="1"/>
    </xf>
    <xf numFmtId="2" fontId="16" fillId="0" borderId="1" xfId="0" applyNumberFormat="1" applyFont="1" applyBorder="1" applyAlignment="1">
      <alignment horizontal="center" vertical="center"/>
    </xf>
    <xf numFmtId="0" fontId="16" fillId="12" borderId="87" xfId="0" applyFont="1" applyFill="1" applyBorder="1" applyAlignment="1">
      <alignment horizontal="center" vertical="center"/>
    </xf>
    <xf numFmtId="0" fontId="48" fillId="12" borderId="68" xfId="0" applyFont="1" applyFill="1" applyBorder="1" applyAlignment="1">
      <alignment horizontal="center" vertical="center"/>
    </xf>
    <xf numFmtId="1" fontId="48" fillId="12" borderId="68" xfId="1" applyNumberFormat="1" applyFont="1" applyFill="1" applyBorder="1" applyAlignment="1">
      <alignment horizontal="center" vertical="center" wrapText="1"/>
    </xf>
    <xf numFmtId="1" fontId="48" fillId="0" borderId="101" xfId="0" applyNumberFormat="1" applyFont="1" applyBorder="1" applyAlignment="1">
      <alignment horizontal="center" vertical="center" wrapText="1"/>
    </xf>
    <xf numFmtId="0" fontId="16" fillId="0" borderId="102" xfId="0" applyFont="1" applyBorder="1" applyAlignment="1">
      <alignment horizontal="center"/>
    </xf>
    <xf numFmtId="1" fontId="48" fillId="0" borderId="103" xfId="0" quotePrefix="1" applyNumberFormat="1" applyFont="1" applyBorder="1" applyAlignment="1">
      <alignment horizontal="center" vertical="center" wrapText="1"/>
    </xf>
    <xf numFmtId="0" fontId="16" fillId="0" borderId="104" xfId="0" applyFont="1" applyBorder="1" applyAlignment="1">
      <alignment horizontal="center" vertical="center"/>
    </xf>
    <xf numFmtId="0" fontId="16" fillId="0" borderId="96" xfId="0" applyFont="1" applyBorder="1" applyAlignment="1">
      <alignment horizontal="center" vertical="center"/>
    </xf>
    <xf numFmtId="0" fontId="16" fillId="0" borderId="100" xfId="0" applyFont="1" applyBorder="1" applyAlignment="1">
      <alignment horizontal="center" vertical="center" wrapText="1"/>
    </xf>
    <xf numFmtId="0" fontId="16" fillId="0" borderId="106" xfId="0" applyFont="1" applyBorder="1" applyAlignment="1">
      <alignment horizontal="center" vertical="center" wrapText="1"/>
    </xf>
    <xf numFmtId="0" fontId="16" fillId="0" borderId="106" xfId="0" applyFont="1" applyBorder="1" applyAlignment="1">
      <alignment horizontal="center" vertical="center"/>
    </xf>
    <xf numFmtId="0" fontId="1" fillId="20" borderId="107" xfId="0" applyFont="1" applyFill="1" applyBorder="1" applyAlignment="1">
      <alignment horizontal="center" vertical="center" wrapText="1"/>
    </xf>
    <xf numFmtId="0" fontId="0" fillId="20" borderId="107" xfId="0" applyFill="1" applyBorder="1" applyAlignment="1">
      <alignment horizontal="right"/>
    </xf>
    <xf numFmtId="0" fontId="0" fillId="20" borderId="107" xfId="0" applyFill="1" applyBorder="1"/>
    <xf numFmtId="0" fontId="7" fillId="6" borderId="98" xfId="0" applyFont="1" applyFill="1" applyBorder="1" applyAlignment="1">
      <alignment horizontal="left" vertical="center" wrapText="1"/>
    </xf>
    <xf numFmtId="0" fontId="7" fillId="6" borderId="99" xfId="0" applyFont="1" applyFill="1" applyBorder="1" applyAlignment="1">
      <alignment horizontal="left" vertical="center" wrapText="1"/>
    </xf>
    <xf numFmtId="0" fontId="7" fillId="12" borderId="105" xfId="0" applyFont="1" applyFill="1" applyBorder="1" applyAlignment="1">
      <alignment horizontal="center" vertical="center"/>
    </xf>
    <xf numFmtId="4" fontId="7" fillId="0" borderId="102" xfId="1" applyNumberFormat="1" applyFont="1" applyBorder="1" applyAlignment="1">
      <alignment horizontal="center" vertical="center"/>
    </xf>
    <xf numFmtId="4" fontId="7" fillId="0" borderId="102" xfId="0" applyNumberFormat="1" applyFont="1" applyBorder="1" applyAlignment="1">
      <alignment horizontal="center" vertical="center" wrapText="1"/>
    </xf>
    <xf numFmtId="4" fontId="7" fillId="12" borderId="102" xfId="0" applyNumberFormat="1" applyFont="1" applyFill="1" applyBorder="1" applyAlignment="1">
      <alignment horizontal="center" vertical="center"/>
    </xf>
    <xf numFmtId="4" fontId="7" fillId="6" borderId="105" xfId="1" applyNumberFormat="1" applyFont="1" applyFill="1" applyBorder="1" applyAlignment="1">
      <alignment horizontal="left" vertical="center" wrapText="1"/>
    </xf>
    <xf numFmtId="0" fontId="7" fillId="12" borderId="102" xfId="1" applyFont="1" applyFill="1" applyBorder="1" applyAlignment="1">
      <alignment horizontal="center" vertical="center"/>
    </xf>
    <xf numFmtId="166" fontId="7" fillId="0" borderId="102" xfId="1" applyNumberFormat="1" applyFont="1" applyBorder="1" applyAlignment="1">
      <alignment horizontal="center" vertical="center"/>
    </xf>
    <xf numFmtId="0" fontId="9" fillId="13" borderId="0" xfId="0" applyFont="1" applyFill="1" applyAlignment="1">
      <alignment horizontal="left"/>
    </xf>
    <xf numFmtId="0" fontId="1" fillId="22" borderId="0" xfId="0" applyFont="1" applyFill="1"/>
    <xf numFmtId="0" fontId="0" fillId="10" borderId="108" xfId="0" applyFill="1" applyBorder="1" applyAlignment="1">
      <alignment horizontal="center"/>
    </xf>
    <xf numFmtId="3" fontId="7" fillId="6" borderId="109" xfId="1" applyNumberFormat="1" applyFont="1" applyFill="1" applyBorder="1" applyAlignment="1">
      <alignment horizontal="center" vertical="center" wrapText="1"/>
    </xf>
    <xf numFmtId="0" fontId="7" fillId="6" borderId="110" xfId="0" applyFont="1" applyFill="1" applyBorder="1" applyAlignment="1">
      <alignment horizontal="left" vertical="center" wrapText="1"/>
    </xf>
    <xf numFmtId="0" fontId="7" fillId="6" borderId="111" xfId="0" applyFont="1" applyFill="1" applyBorder="1" applyAlignment="1">
      <alignment horizontal="left" vertical="center" wrapText="1"/>
    </xf>
    <xf numFmtId="0" fontId="7" fillId="12" borderId="112" xfId="0" applyFont="1" applyFill="1" applyBorder="1" applyAlignment="1">
      <alignment horizontal="center" vertical="center"/>
    </xf>
    <xf numFmtId="4" fontId="7" fillId="0" borderId="113" xfId="1" applyNumberFormat="1" applyFont="1" applyBorder="1" applyAlignment="1">
      <alignment horizontal="center" vertical="center"/>
    </xf>
    <xf numFmtId="4" fontId="7" fillId="0" borderId="113" xfId="0" applyNumberFormat="1" applyFont="1" applyBorder="1" applyAlignment="1">
      <alignment horizontal="center" vertical="center" wrapText="1"/>
    </xf>
    <xf numFmtId="4" fontId="7" fillId="12" borderId="113" xfId="0" applyNumberFormat="1" applyFont="1" applyFill="1" applyBorder="1" applyAlignment="1">
      <alignment horizontal="center" vertical="center"/>
    </xf>
    <xf numFmtId="4" fontId="7" fillId="6" borderId="109" xfId="1" applyNumberFormat="1" applyFont="1" applyFill="1" applyBorder="1" applyAlignment="1">
      <alignment horizontal="left" vertical="center" wrapText="1"/>
    </xf>
    <xf numFmtId="4" fontId="7" fillId="6" borderId="112" xfId="1" applyNumberFormat="1" applyFont="1" applyFill="1" applyBorder="1" applyAlignment="1">
      <alignment horizontal="left" vertical="center" wrapText="1"/>
    </xf>
    <xf numFmtId="0" fontId="7" fillId="12" borderId="113" xfId="1" applyFont="1" applyFill="1" applyBorder="1" applyAlignment="1">
      <alignment horizontal="center" vertical="center"/>
    </xf>
    <xf numFmtId="166" fontId="7" fillId="0" borderId="113" xfId="1" applyNumberFormat="1" applyFont="1" applyBorder="1" applyAlignment="1">
      <alignment horizontal="center" vertical="center"/>
    </xf>
    <xf numFmtId="4" fontId="7" fillId="12" borderId="108" xfId="0" applyNumberFormat="1" applyFont="1" applyFill="1" applyBorder="1" applyAlignment="1">
      <alignment horizontal="center" vertical="center"/>
    </xf>
    <xf numFmtId="4" fontId="7" fillId="12" borderId="114" xfId="0" applyNumberFormat="1" applyFont="1" applyFill="1" applyBorder="1" applyAlignment="1">
      <alignment horizontal="center" vertical="center"/>
    </xf>
    <xf numFmtId="1" fontId="9" fillId="13" borderId="0" xfId="0" applyNumberFormat="1" applyFont="1" applyFill="1" applyAlignment="1">
      <alignment horizontal="center"/>
    </xf>
    <xf numFmtId="0" fontId="1" fillId="11" borderId="68" xfId="0" applyFont="1" applyFill="1" applyBorder="1" applyAlignment="1">
      <alignment horizontal="center"/>
    </xf>
    <xf numFmtId="0" fontId="0" fillId="22" borderId="59" xfId="0" applyFill="1" applyBorder="1" applyAlignment="1">
      <alignment horizontal="center"/>
    </xf>
    <xf numFmtId="0" fontId="0" fillId="22" borderId="110" xfId="0" applyFill="1" applyBorder="1"/>
    <xf numFmtId="0" fontId="0" fillId="22" borderId="108" xfId="0" applyFill="1" applyBorder="1" applyAlignment="1">
      <alignment horizontal="center" vertical="center"/>
    </xf>
    <xf numFmtId="0" fontId="0" fillId="10" borderId="108" xfId="0" applyFill="1" applyBorder="1" applyAlignment="1">
      <alignment horizontal="center" vertical="center"/>
    </xf>
    <xf numFmtId="0" fontId="0" fillId="22" borderId="108" xfId="0" applyFill="1" applyBorder="1"/>
    <xf numFmtId="0" fontId="0" fillId="10" borderId="75" xfId="0" applyFill="1" applyBorder="1" applyAlignment="1">
      <alignment horizontal="center"/>
    </xf>
    <xf numFmtId="0" fontId="0" fillId="22" borderId="115" xfId="0" applyFill="1" applyBorder="1"/>
    <xf numFmtId="0" fontId="0" fillId="11" borderId="115" xfId="0" applyFill="1" applyBorder="1" applyAlignment="1">
      <alignment horizontal="center"/>
    </xf>
    <xf numFmtId="0" fontId="0" fillId="22" borderId="116" xfId="0" applyFill="1" applyBorder="1"/>
    <xf numFmtId="0" fontId="0" fillId="22" borderId="115" xfId="0" applyFill="1" applyBorder="1" applyAlignment="1">
      <alignment horizontal="center" vertical="center"/>
    </xf>
    <xf numFmtId="0" fontId="0" fillId="10" borderId="115" xfId="0" applyFill="1" applyBorder="1" applyAlignment="1">
      <alignment horizontal="center" vertical="center"/>
    </xf>
    <xf numFmtId="0" fontId="0" fillId="10" borderId="115" xfId="0" applyFill="1" applyBorder="1" applyAlignment="1">
      <alignment horizontal="center"/>
    </xf>
    <xf numFmtId="0" fontId="16" fillId="0" borderId="5" xfId="0" applyFont="1" applyBorder="1" applyAlignment="1">
      <alignment horizontal="left" vertical="center"/>
    </xf>
    <xf numFmtId="0" fontId="29" fillId="12" borderId="108" xfId="1" applyFont="1" applyFill="1" applyBorder="1" applyAlignment="1">
      <alignment horizontal="center" vertical="center"/>
    </xf>
    <xf numFmtId="0" fontId="29" fillId="0" borderId="108" xfId="1" applyFont="1" applyBorder="1" applyAlignment="1">
      <alignment horizontal="center" vertical="center"/>
    </xf>
    <xf numFmtId="4" fontId="16" fillId="0" borderId="108" xfId="1" applyNumberFormat="1" applyFont="1" applyBorder="1" applyAlignment="1">
      <alignment horizontal="center" vertical="center"/>
    </xf>
    <xf numFmtId="4" fontId="16" fillId="0" borderId="108" xfId="0" applyNumberFormat="1" applyFont="1" applyBorder="1" applyAlignment="1">
      <alignment horizontal="center" vertical="center" wrapText="1"/>
    </xf>
    <xf numFmtId="4" fontId="16" fillId="0" borderId="108" xfId="0" applyNumberFormat="1" applyFont="1" applyBorder="1" applyAlignment="1">
      <alignment horizontal="center" vertical="center"/>
    </xf>
    <xf numFmtId="4" fontId="49" fillId="0" borderId="108" xfId="1" applyNumberFormat="1" applyFont="1" applyBorder="1" applyAlignment="1">
      <alignment horizontal="center" vertical="center"/>
    </xf>
    <xf numFmtId="3" fontId="16" fillId="0" borderId="113" xfId="1" applyNumberFormat="1" applyFont="1" applyBorder="1" applyAlignment="1">
      <alignment horizontal="center" vertical="center" wrapText="1"/>
    </xf>
    <xf numFmtId="0" fontId="16" fillId="0" borderId="117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 vertical="center"/>
    </xf>
    <xf numFmtId="4" fontId="16" fillId="0" borderId="113" xfId="1" applyNumberFormat="1" applyFont="1" applyBorder="1" applyAlignment="1">
      <alignment horizontal="center" vertical="center"/>
    </xf>
    <xf numFmtId="4" fontId="16" fillId="0" borderId="113" xfId="0" applyNumberFormat="1" applyFont="1" applyBorder="1" applyAlignment="1">
      <alignment horizontal="center" vertical="center" wrapText="1"/>
    </xf>
    <xf numFmtId="4" fontId="16" fillId="0" borderId="113" xfId="0" applyNumberFormat="1" applyFont="1" applyBorder="1" applyAlignment="1">
      <alignment horizontal="center" vertical="center"/>
    </xf>
    <xf numFmtId="0" fontId="16" fillId="6" borderId="113" xfId="1" applyFont="1" applyFill="1" applyBorder="1" applyAlignment="1">
      <alignment horizontal="center" vertical="center"/>
    </xf>
    <xf numFmtId="4" fontId="49" fillId="0" borderId="113" xfId="1" applyNumberFormat="1" applyFont="1" applyBorder="1" applyAlignment="1">
      <alignment horizontal="center" vertical="center"/>
    </xf>
    <xf numFmtId="4" fontId="16" fillId="12" borderId="114" xfId="0" applyNumberFormat="1" applyFont="1" applyFill="1" applyBorder="1" applyAlignment="1">
      <alignment horizontal="center" vertical="center"/>
    </xf>
    <xf numFmtId="3" fontId="16" fillId="0" borderId="108" xfId="1" applyNumberFormat="1" applyFont="1" applyBorder="1" applyAlignment="1">
      <alignment horizontal="center" vertical="center" wrapText="1"/>
    </xf>
    <xf numFmtId="0" fontId="16" fillId="0" borderId="108" xfId="0" applyFont="1" applyBorder="1" applyAlignment="1">
      <alignment horizontal="center" vertical="center" wrapText="1"/>
    </xf>
    <xf numFmtId="0" fontId="16" fillId="0" borderId="108" xfId="0" applyFont="1" applyBorder="1" applyAlignment="1">
      <alignment horizontal="center" vertical="center"/>
    </xf>
    <xf numFmtId="4" fontId="16" fillId="12" borderId="108" xfId="0" applyNumberFormat="1" applyFont="1" applyFill="1" applyBorder="1" applyAlignment="1">
      <alignment horizontal="center" vertical="center"/>
    </xf>
    <xf numFmtId="0" fontId="16" fillId="0" borderId="108" xfId="0" applyFont="1" applyBorder="1" applyAlignment="1">
      <alignment horizontal="right" vertical="center" wrapText="1"/>
    </xf>
    <xf numFmtId="0" fontId="16" fillId="0" borderId="108" xfId="1" applyFont="1" applyBorder="1" applyAlignment="1">
      <alignment horizontal="center" vertical="center"/>
    </xf>
    <xf numFmtId="0" fontId="16" fillId="0" borderId="108" xfId="1" applyFont="1" applyBorder="1" applyAlignment="1">
      <alignment horizontal="center" vertical="center" wrapText="1"/>
    </xf>
    <xf numFmtId="0" fontId="16" fillId="6" borderId="108" xfId="0" applyFont="1" applyFill="1" applyBorder="1" applyAlignment="1">
      <alignment horizontal="center" vertical="center" wrapText="1"/>
    </xf>
    <xf numFmtId="4" fontId="49" fillId="0" borderId="108" xfId="0" applyNumberFormat="1" applyFont="1" applyBorder="1" applyAlignment="1">
      <alignment horizontal="center" vertical="center"/>
    </xf>
    <xf numFmtId="4" fontId="49" fillId="0" borderId="108" xfId="0" applyNumberFormat="1" applyFont="1" applyBorder="1" applyAlignment="1">
      <alignment horizontal="center" vertical="center" wrapText="1"/>
    </xf>
    <xf numFmtId="4" fontId="16" fillId="12" borderId="108" xfId="1" applyNumberFormat="1" applyFont="1" applyFill="1" applyBorder="1" applyAlignment="1">
      <alignment horizontal="center" vertical="center" wrapText="1"/>
    </xf>
    <xf numFmtId="0" fontId="16" fillId="0" borderId="109" xfId="0" applyFont="1" applyBorder="1" applyAlignment="1">
      <alignment horizontal="left" vertical="center" wrapText="1"/>
    </xf>
    <xf numFmtId="0" fontId="16" fillId="12" borderId="108" xfId="1" applyFont="1" applyFill="1" applyBorder="1" applyAlignment="1">
      <alignment horizontal="left" vertical="center" wrapText="1"/>
    </xf>
    <xf numFmtId="0" fontId="16" fillId="12" borderId="110" xfId="1" applyFont="1" applyFill="1" applyBorder="1" applyAlignment="1">
      <alignment horizontal="center" vertical="center" wrapText="1"/>
    </xf>
    <xf numFmtId="0" fontId="16" fillId="12" borderId="111" xfId="1" applyFont="1" applyFill="1" applyBorder="1" applyAlignment="1">
      <alignment horizontal="center" vertical="center" wrapText="1"/>
    </xf>
    <xf numFmtId="0" fontId="16" fillId="12" borderId="108" xfId="0" applyFont="1" applyFill="1" applyBorder="1" applyAlignment="1">
      <alignment horizontal="center" vertical="center"/>
    </xf>
    <xf numFmtId="4" fontId="16" fillId="12" borderId="108" xfId="1" applyNumberFormat="1" applyFont="1" applyFill="1" applyBorder="1" applyAlignment="1">
      <alignment horizontal="right" vertical="center" wrapText="1"/>
    </xf>
    <xf numFmtId="0" fontId="59" fillId="0" borderId="108" xfId="0" applyFont="1" applyBorder="1" applyAlignment="1">
      <alignment horizontal="center" vertical="center"/>
    </xf>
    <xf numFmtId="4" fontId="16" fillId="0" borderId="108" xfId="1" applyNumberFormat="1" applyFont="1" applyBorder="1" applyAlignment="1">
      <alignment horizontal="center" vertical="center" wrapText="1"/>
    </xf>
    <xf numFmtId="0" fontId="0" fillId="34" borderId="0" xfId="0" applyFill="1"/>
    <xf numFmtId="0" fontId="1" fillId="32" borderId="95" xfId="0" applyFont="1" applyFill="1" applyBorder="1" applyAlignment="1">
      <alignment horizontal="center"/>
    </xf>
    <xf numFmtId="0" fontId="1" fillId="32" borderId="59" xfId="0" applyFont="1" applyFill="1" applyBorder="1" applyAlignment="1">
      <alignment horizontal="center"/>
    </xf>
    <xf numFmtId="0" fontId="0" fillId="22" borderId="84" xfId="0" applyFill="1" applyBorder="1" applyAlignment="1">
      <alignment horizontal="left"/>
    </xf>
    <xf numFmtId="0" fontId="0" fillId="22" borderId="89" xfId="0" applyFill="1" applyBorder="1" applyAlignment="1">
      <alignment horizontal="left"/>
    </xf>
    <xf numFmtId="0" fontId="15" fillId="25" borderId="84" xfId="0" applyFont="1" applyFill="1" applyBorder="1" applyAlignment="1">
      <alignment horizontal="left" vertical="center"/>
    </xf>
    <xf numFmtId="0" fontId="15" fillId="25" borderId="89" xfId="0" applyFont="1" applyFill="1" applyBorder="1" applyAlignment="1">
      <alignment horizontal="left" vertical="center"/>
    </xf>
    <xf numFmtId="0" fontId="58" fillId="26" borderId="0" xfId="0" applyFont="1" applyFill="1" applyAlignment="1">
      <alignment horizontal="center"/>
    </xf>
    <xf numFmtId="4" fontId="7" fillId="25" borderId="86" xfId="1" applyNumberFormat="1" applyFont="1" applyFill="1" applyBorder="1" applyAlignment="1">
      <alignment horizontal="center" vertical="center" wrapText="1"/>
    </xf>
    <xf numFmtId="0" fontId="1" fillId="22" borderId="0" xfId="0" applyFont="1" applyFill="1" applyAlignment="1">
      <alignment horizontal="center"/>
    </xf>
    <xf numFmtId="0" fontId="1" fillId="22" borderId="59" xfId="0" applyFont="1" applyFill="1" applyBorder="1" applyAlignment="1">
      <alignment horizontal="center"/>
    </xf>
    <xf numFmtId="0" fontId="0" fillId="10" borderId="0" xfId="0" applyFill="1" applyAlignment="1">
      <alignment horizontal="center" wrapText="1"/>
    </xf>
    <xf numFmtId="0" fontId="0" fillId="10" borderId="59" xfId="0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59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1" fillId="10" borderId="59" xfId="0" applyFont="1" applyFill="1" applyBorder="1" applyAlignment="1">
      <alignment horizontal="center" wrapText="1"/>
    </xf>
    <xf numFmtId="0" fontId="0" fillId="17" borderId="46" xfId="0" applyFill="1" applyBorder="1" applyAlignment="1">
      <alignment horizontal="left"/>
    </xf>
    <xf numFmtId="0" fontId="0" fillId="17" borderId="26" xfId="0" applyFill="1" applyBorder="1" applyAlignment="1">
      <alignment horizontal="left"/>
    </xf>
    <xf numFmtId="0" fontId="0" fillId="9" borderId="28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2" borderId="7" xfId="0" applyFill="1" applyBorder="1" applyAlignment="1">
      <alignment horizontal="left" vertical="center"/>
    </xf>
    <xf numFmtId="0" fontId="0" fillId="22" borderId="12" xfId="0" applyFill="1" applyBorder="1" applyAlignment="1">
      <alignment horizontal="left" vertical="center"/>
    </xf>
    <xf numFmtId="0" fontId="51" fillId="22" borderId="74" xfId="0" applyFont="1" applyFill="1" applyBorder="1" applyAlignment="1">
      <alignment horizontal="center" vertical="center" wrapText="1"/>
    </xf>
    <xf numFmtId="0" fontId="51" fillId="22" borderId="49" xfId="0" applyFont="1" applyFill="1" applyBorder="1" applyAlignment="1">
      <alignment horizontal="center" vertical="center" wrapText="1"/>
    </xf>
    <xf numFmtId="0" fontId="1" fillId="22" borderId="69" xfId="0" applyFont="1" applyFill="1" applyBorder="1" applyAlignment="1">
      <alignment horizontal="center" vertical="center" wrapText="1"/>
    </xf>
    <xf numFmtId="0" fontId="1" fillId="22" borderId="70" xfId="0" applyFont="1" applyFill="1" applyBorder="1" applyAlignment="1">
      <alignment horizontal="center" vertical="center" wrapText="1"/>
    </xf>
    <xf numFmtId="0" fontId="1" fillId="22" borderId="43" xfId="0" applyFont="1" applyFill="1" applyBorder="1" applyAlignment="1">
      <alignment horizontal="center" vertical="center" wrapText="1"/>
    </xf>
    <xf numFmtId="0" fontId="1" fillId="22" borderId="46" xfId="0" applyFont="1" applyFill="1" applyBorder="1" applyAlignment="1">
      <alignment horizontal="center" vertical="center" wrapText="1"/>
    </xf>
    <xf numFmtId="0" fontId="1" fillId="22" borderId="48" xfId="0" applyFont="1" applyFill="1" applyBorder="1" applyAlignment="1">
      <alignment horizontal="center" vertical="center" wrapText="1"/>
    </xf>
    <xf numFmtId="0" fontId="0" fillId="22" borderId="60" xfId="0" applyFill="1" applyBorder="1" applyAlignment="1">
      <alignment horizontal="left" vertical="center"/>
    </xf>
    <xf numFmtId="0" fontId="0" fillId="22" borderId="61" xfId="0" applyFill="1" applyBorder="1" applyAlignment="1">
      <alignment horizontal="left" vertical="center"/>
    </xf>
    <xf numFmtId="0" fontId="1" fillId="0" borderId="6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3" fontId="14" fillId="32" borderId="5" xfId="1" applyNumberFormat="1" applyFont="1" applyFill="1" applyBorder="1" applyAlignment="1">
      <alignment horizontal="center" vertical="center" wrapText="1"/>
    </xf>
    <xf numFmtId="3" fontId="7" fillId="32" borderId="53" xfId="1" applyNumberFormat="1" applyFont="1" applyFill="1" applyBorder="1" applyAlignment="1">
      <alignment horizontal="center" vertical="center" wrapText="1"/>
    </xf>
    <xf numFmtId="3" fontId="7" fillId="32" borderId="6" xfId="1" applyNumberFormat="1" applyFont="1" applyFill="1" applyBorder="1" applyAlignment="1">
      <alignment horizontal="center" vertical="center" wrapText="1"/>
    </xf>
    <xf numFmtId="0" fontId="55" fillId="26" borderId="0" xfId="0" applyFont="1" applyFill="1" applyAlignment="1">
      <alignment horizontal="center"/>
    </xf>
    <xf numFmtId="0" fontId="54" fillId="26" borderId="0" xfId="0" applyFont="1" applyFill="1" applyAlignment="1">
      <alignment horizontal="center" vertical="center"/>
    </xf>
    <xf numFmtId="0" fontId="56" fillId="26" borderId="0" xfId="0" applyFont="1" applyFill="1" applyAlignment="1">
      <alignment horizontal="center" vertical="center"/>
    </xf>
    <xf numFmtId="0" fontId="1" fillId="22" borderId="71" xfId="0" applyFont="1" applyFill="1" applyBorder="1" applyAlignment="1">
      <alignment horizontal="center" vertical="center" wrapText="1"/>
    </xf>
    <xf numFmtId="0" fontId="1" fillId="22" borderId="72" xfId="0" applyFont="1" applyFill="1" applyBorder="1" applyAlignment="1">
      <alignment horizontal="center" vertical="center" wrapText="1"/>
    </xf>
    <xf numFmtId="0" fontId="33" fillId="9" borderId="28" xfId="0" applyFont="1" applyFill="1" applyBorder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0" fontId="47" fillId="26" borderId="0" xfId="0" applyFont="1" applyFill="1" applyAlignment="1">
      <alignment horizontal="center"/>
    </xf>
    <xf numFmtId="0" fontId="7" fillId="25" borderId="1" xfId="0" applyFont="1" applyFill="1" applyBorder="1" applyAlignment="1">
      <alignment horizontal="left" vertical="center" wrapText="1"/>
    </xf>
    <xf numFmtId="4" fontId="14" fillId="0" borderId="1" xfId="1" applyNumberFormat="1" applyFont="1" applyBorder="1" applyAlignment="1">
      <alignment horizontal="center" vertical="center" wrapText="1"/>
    </xf>
    <xf numFmtId="4" fontId="14" fillId="0" borderId="5" xfId="1" applyNumberFormat="1" applyFont="1" applyBorder="1" applyAlignment="1">
      <alignment horizontal="center" vertical="center" wrapText="1"/>
    </xf>
    <xf numFmtId="4" fontId="14" fillId="0" borderId="6" xfId="1" applyNumberFormat="1" applyFont="1" applyBorder="1" applyAlignment="1">
      <alignment horizontal="center" vertical="center" wrapText="1"/>
    </xf>
    <xf numFmtId="4" fontId="14" fillId="0" borderId="60" xfId="0" applyNumberFormat="1" applyFont="1" applyBorder="1" applyAlignment="1">
      <alignment horizontal="center" vertical="center" wrapText="1"/>
    </xf>
    <xf numFmtId="4" fontId="14" fillId="0" borderId="61" xfId="0" applyNumberFormat="1" applyFont="1" applyBorder="1" applyAlignment="1">
      <alignment horizontal="center" vertical="center" wrapText="1"/>
    </xf>
    <xf numFmtId="0" fontId="4" fillId="27" borderId="59" xfId="0" applyFont="1" applyFill="1" applyBorder="1" applyAlignment="1">
      <alignment horizontal="center"/>
    </xf>
    <xf numFmtId="0" fontId="0" fillId="27" borderId="59" xfId="0" applyFill="1" applyBorder="1" applyAlignment="1">
      <alignment horizontal="center"/>
    </xf>
    <xf numFmtId="0" fontId="1" fillId="27" borderId="59" xfId="0" applyFont="1" applyFill="1" applyBorder="1" applyAlignment="1">
      <alignment horizontal="center"/>
    </xf>
    <xf numFmtId="0" fontId="1" fillId="22" borderId="5" xfId="0" applyFont="1" applyFill="1" applyBorder="1" applyAlignment="1">
      <alignment horizontal="center"/>
    </xf>
    <xf numFmtId="0" fontId="1" fillId="22" borderId="53" xfId="0" applyFont="1" applyFill="1" applyBorder="1" applyAlignment="1">
      <alignment horizontal="center"/>
    </xf>
    <xf numFmtId="0" fontId="1" fillId="22" borderId="6" xfId="0" applyFont="1" applyFill="1" applyBorder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10" fillId="6" borderId="0" xfId="1" applyFont="1" applyFill="1" applyAlignment="1">
      <alignment horizontal="right" vertical="center"/>
    </xf>
    <xf numFmtId="0" fontId="10" fillId="6" borderId="0" xfId="0" applyFont="1" applyFill="1" applyAlignment="1">
      <alignment horizontal="left" vertical="center"/>
    </xf>
    <xf numFmtId="4" fontId="10" fillId="6" borderId="0" xfId="0" applyNumberFormat="1" applyFont="1" applyFill="1" applyAlignment="1">
      <alignment horizontal="center" vertical="center"/>
    </xf>
    <xf numFmtId="4" fontId="10" fillId="6" borderId="0" xfId="0" applyNumberFormat="1" applyFont="1" applyFill="1" applyAlignment="1">
      <alignment horizontal="left" vertical="center"/>
    </xf>
    <xf numFmtId="0" fontId="10" fillId="6" borderId="0" xfId="0" applyFont="1" applyFill="1" applyAlignment="1">
      <alignment horizontal="center" vertical="center"/>
    </xf>
    <xf numFmtId="0" fontId="7" fillId="6" borderId="0" xfId="1" applyFont="1" applyFill="1" applyAlignment="1">
      <alignment horizontal="left" vertical="center" wrapText="1"/>
    </xf>
    <xf numFmtId="4" fontId="14" fillId="6" borderId="0" xfId="1" applyNumberFormat="1" applyFont="1" applyFill="1" applyAlignment="1">
      <alignment horizontal="right" vertical="center" wrapText="1"/>
    </xf>
    <xf numFmtId="2" fontId="14" fillId="6" borderId="0" xfId="1" applyNumberFormat="1" applyFont="1" applyFill="1" applyAlignment="1">
      <alignment horizontal="right" vertical="center" wrapText="1"/>
    </xf>
    <xf numFmtId="4" fontId="7" fillId="6" borderId="16" xfId="1" applyNumberFormat="1" applyFont="1" applyFill="1" applyBorder="1" applyAlignment="1">
      <alignment horizontal="left" vertical="center" wrapText="1"/>
    </xf>
    <xf numFmtId="4" fontId="9" fillId="12" borderId="0" xfId="1" applyNumberFormat="1" applyFont="1" applyFill="1" applyAlignment="1">
      <alignment horizontal="left" vertical="center" wrapText="1"/>
    </xf>
    <xf numFmtId="4" fontId="7" fillId="0" borderId="0" xfId="1" applyNumberFormat="1" applyFont="1" applyAlignment="1">
      <alignment horizontal="left" vertical="center" wrapText="1"/>
    </xf>
    <xf numFmtId="4" fontId="14" fillId="0" borderId="11" xfId="1" applyNumberFormat="1" applyFont="1" applyBorder="1" applyAlignment="1">
      <alignment horizontal="right" vertical="center" wrapText="1"/>
    </xf>
    <xf numFmtId="4" fontId="14" fillId="0" borderId="0" xfId="1" applyNumberFormat="1" applyFont="1" applyAlignment="1">
      <alignment horizontal="right" vertical="center" wrapText="1"/>
    </xf>
    <xf numFmtId="2" fontId="14" fillId="0" borderId="0" xfId="1" applyNumberFormat="1" applyFont="1" applyAlignment="1">
      <alignment horizontal="right" vertical="center" wrapText="1"/>
    </xf>
    <xf numFmtId="0" fontId="9" fillId="6" borderId="0" xfId="1" applyFont="1" applyFill="1" applyAlignment="1">
      <alignment horizontal="right" vertical="center"/>
    </xf>
    <xf numFmtId="0" fontId="9" fillId="6" borderId="0" xfId="0" applyFont="1" applyFill="1" applyAlignment="1">
      <alignment horizontal="left" vertical="center"/>
    </xf>
    <xf numFmtId="4" fontId="9" fillId="6" borderId="0" xfId="0" applyNumberFormat="1" applyFont="1" applyFill="1" applyAlignment="1">
      <alignment horizontal="center" vertical="center"/>
    </xf>
    <xf numFmtId="0" fontId="14" fillId="6" borderId="0" xfId="1" applyFont="1" applyFill="1" applyAlignment="1">
      <alignment horizontal="left" vertical="center" wrapText="1"/>
    </xf>
    <xf numFmtId="4" fontId="14" fillId="12" borderId="11" xfId="1" applyNumberFormat="1" applyFont="1" applyFill="1" applyBorder="1" applyAlignment="1">
      <alignment horizontal="right" vertical="center" wrapText="1"/>
    </xf>
    <xf numFmtId="4" fontId="14" fillId="12" borderId="0" xfId="1" applyNumberFormat="1" applyFont="1" applyFill="1" applyAlignment="1">
      <alignment horizontal="right" vertical="center" wrapText="1"/>
    </xf>
    <xf numFmtId="4" fontId="14" fillId="12" borderId="0" xfId="1" applyNumberFormat="1" applyFont="1" applyFill="1" applyAlignment="1">
      <alignment horizontal="left" vertical="center" wrapText="1"/>
    </xf>
    <xf numFmtId="0" fontId="7" fillId="12" borderId="0" xfId="1" applyFont="1" applyFill="1" applyAlignment="1">
      <alignment horizontal="center" vertical="center" wrapText="1"/>
    </xf>
    <xf numFmtId="0" fontId="7" fillId="12" borderId="26" xfId="1" applyFont="1" applyFill="1" applyBorder="1" applyAlignment="1">
      <alignment horizontal="center" vertical="center" wrapText="1"/>
    </xf>
    <xf numFmtId="4" fontId="14" fillId="6" borderId="16" xfId="1" applyNumberFormat="1" applyFont="1" applyFill="1" applyBorder="1" applyAlignment="1">
      <alignment horizontal="left" vertical="center" wrapText="1"/>
    </xf>
    <xf numFmtId="4" fontId="14" fillId="6" borderId="17" xfId="1" applyNumberFormat="1" applyFont="1" applyFill="1" applyBorder="1" applyAlignment="1">
      <alignment horizontal="right" vertical="center" wrapText="1"/>
    </xf>
    <xf numFmtId="4" fontId="14" fillId="6" borderId="18" xfId="1" applyNumberFormat="1" applyFont="1" applyFill="1" applyBorder="1" applyAlignment="1">
      <alignment horizontal="right" vertical="center" wrapText="1"/>
    </xf>
    <xf numFmtId="2" fontId="14" fillId="6" borderId="17" xfId="1" applyNumberFormat="1" applyFont="1" applyFill="1" applyBorder="1" applyAlignment="1">
      <alignment horizontal="center" vertical="center" wrapText="1"/>
    </xf>
    <xf numFmtId="2" fontId="14" fillId="6" borderId="18" xfId="1" applyNumberFormat="1" applyFont="1" applyFill="1" applyBorder="1" applyAlignment="1">
      <alignment horizontal="center" vertical="center" wrapText="1"/>
    </xf>
    <xf numFmtId="4" fontId="14" fillId="0" borderId="1" xfId="1" applyNumberFormat="1" applyFont="1" applyBorder="1" applyAlignment="1">
      <alignment horizontal="center" vertical="center"/>
    </xf>
    <xf numFmtId="4" fontId="14" fillId="0" borderId="19" xfId="0" applyNumberFormat="1" applyFont="1" applyBorder="1" applyAlignment="1">
      <alignment horizontal="center" vertical="center" wrapText="1"/>
    </xf>
    <xf numFmtId="4" fontId="14" fillId="0" borderId="20" xfId="0" applyNumberFormat="1" applyFont="1" applyBorder="1" applyAlignment="1">
      <alignment horizontal="center"/>
    </xf>
    <xf numFmtId="4" fontId="14" fillId="0" borderId="21" xfId="0" applyNumberFormat="1" applyFont="1" applyBorder="1" applyAlignment="1">
      <alignment horizontal="center"/>
    </xf>
    <xf numFmtId="4" fontId="14" fillId="0" borderId="22" xfId="0" applyNumberFormat="1" applyFont="1" applyBorder="1" applyAlignment="1">
      <alignment horizontal="center"/>
    </xf>
    <xf numFmtId="4" fontId="14" fillId="6" borderId="0" xfId="1" applyNumberFormat="1" applyFont="1" applyFill="1" applyAlignment="1">
      <alignment horizontal="left" vertical="center" wrapText="1"/>
    </xf>
    <xf numFmtId="0" fontId="29" fillId="6" borderId="0" xfId="0" applyFont="1" applyFill="1" applyAlignment="1">
      <alignment horizontal="center" vertical="center"/>
    </xf>
    <xf numFmtId="4" fontId="29" fillId="12" borderId="59" xfId="1" applyNumberFormat="1" applyFont="1" applyFill="1" applyBorder="1" applyAlignment="1">
      <alignment horizontal="center" vertical="center" wrapText="1"/>
    </xf>
    <xf numFmtId="4" fontId="14" fillId="6" borderId="11" xfId="1" applyNumberFormat="1" applyFont="1" applyFill="1" applyBorder="1" applyAlignment="1">
      <alignment horizontal="center" vertical="center" wrapText="1"/>
    </xf>
    <xf numFmtId="4" fontId="14" fillId="6" borderId="0" xfId="1" applyNumberFormat="1" applyFont="1" applyFill="1" applyAlignment="1">
      <alignment horizontal="center" vertical="center" wrapText="1"/>
    </xf>
    <xf numFmtId="2" fontId="14" fillId="6" borderId="0" xfId="1" applyNumberFormat="1" applyFont="1" applyFill="1" applyAlignment="1">
      <alignment horizontal="center" vertical="center" wrapText="1"/>
    </xf>
    <xf numFmtId="2" fontId="14" fillId="6" borderId="26" xfId="1" applyNumberFormat="1" applyFont="1" applyFill="1" applyBorder="1" applyAlignment="1">
      <alignment horizontal="center" vertical="center" wrapText="1"/>
    </xf>
    <xf numFmtId="4" fontId="14" fillId="6" borderId="17" xfId="1" applyNumberFormat="1" applyFont="1" applyFill="1" applyBorder="1" applyAlignment="1">
      <alignment horizontal="center" vertical="center" wrapText="1"/>
    </xf>
    <xf numFmtId="4" fontId="14" fillId="6" borderId="18" xfId="1" applyNumberFormat="1" applyFont="1" applyFill="1" applyBorder="1" applyAlignment="1">
      <alignment horizontal="center" vertical="center" wrapText="1"/>
    </xf>
    <xf numFmtId="4" fontId="14" fillId="0" borderId="76" xfId="1" applyNumberFormat="1" applyFont="1" applyBorder="1" applyAlignment="1">
      <alignment horizontal="center" vertical="center" wrapText="1"/>
    </xf>
    <xf numFmtId="4" fontId="14" fillId="0" borderId="88" xfId="1" applyNumberFormat="1" applyFont="1" applyBorder="1" applyAlignment="1">
      <alignment horizontal="center" vertical="center" wrapText="1"/>
    </xf>
    <xf numFmtId="4" fontId="14" fillId="0" borderId="89" xfId="1" applyNumberFormat="1" applyFont="1" applyBorder="1" applyAlignment="1">
      <alignment horizontal="center" vertical="center" wrapText="1"/>
    </xf>
    <xf numFmtId="4" fontId="14" fillId="6" borderId="17" xfId="1" applyNumberFormat="1" applyFont="1" applyFill="1" applyBorder="1" applyAlignment="1">
      <alignment horizontal="center" vertical="center"/>
    </xf>
    <xf numFmtId="4" fontId="14" fillId="6" borderId="18" xfId="1" applyNumberFormat="1" applyFont="1" applyFill="1" applyBorder="1" applyAlignment="1">
      <alignment horizontal="center" vertical="center"/>
    </xf>
    <xf numFmtId="2" fontId="14" fillId="6" borderId="17" xfId="1" applyNumberFormat="1" applyFont="1" applyFill="1" applyBorder="1" applyAlignment="1">
      <alignment horizontal="center" vertical="center"/>
    </xf>
    <xf numFmtId="2" fontId="14" fillId="6" borderId="18" xfId="1" applyNumberFormat="1" applyFont="1" applyFill="1" applyBorder="1" applyAlignment="1">
      <alignment horizontal="center" vertical="center"/>
    </xf>
    <xf numFmtId="4" fontId="14" fillId="0" borderId="65" xfId="0" applyNumberFormat="1" applyFont="1" applyBorder="1" applyAlignment="1">
      <alignment horizontal="center" vertical="center" wrapText="1"/>
    </xf>
    <xf numFmtId="4" fontId="14" fillId="0" borderId="75" xfId="1" applyNumberFormat="1" applyFont="1" applyBorder="1" applyAlignment="1">
      <alignment horizontal="center" vertical="center" wrapText="1"/>
    </xf>
    <xf numFmtId="4" fontId="7" fillId="6" borderId="1" xfId="1" applyNumberFormat="1" applyFont="1" applyFill="1" applyBorder="1" applyAlignment="1">
      <alignment horizontal="left" vertical="center" wrapText="1"/>
    </xf>
    <xf numFmtId="4" fontId="14" fillId="12" borderId="0" xfId="1" applyNumberFormat="1" applyFont="1" applyFill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4" fontId="7" fillId="6" borderId="14" xfId="1" applyNumberFormat="1" applyFont="1" applyFill="1" applyBorder="1" applyAlignment="1">
      <alignment horizontal="left" vertical="center" wrapText="1"/>
    </xf>
    <xf numFmtId="4" fontId="7" fillId="6" borderId="10" xfId="1" applyNumberFormat="1" applyFont="1" applyFill="1" applyBorder="1" applyAlignment="1">
      <alignment horizontal="left" vertical="center" wrapText="1"/>
    </xf>
    <xf numFmtId="0" fontId="7" fillId="6" borderId="6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4" fontId="7" fillId="6" borderId="55" xfId="1" applyNumberFormat="1" applyFont="1" applyFill="1" applyBorder="1" applyAlignment="1">
      <alignment horizontal="left" vertical="center" wrapText="1"/>
    </xf>
    <xf numFmtId="4" fontId="7" fillId="6" borderId="56" xfId="1" applyNumberFormat="1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4" fontId="7" fillId="6" borderId="50" xfId="1" applyNumberFormat="1" applyFont="1" applyFill="1" applyBorder="1" applyAlignment="1">
      <alignment horizontal="left" vertical="center" wrapText="1"/>
    </xf>
    <xf numFmtId="4" fontId="7" fillId="6" borderId="57" xfId="1" applyNumberFormat="1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4" fontId="7" fillId="6" borderId="5" xfId="1" applyNumberFormat="1" applyFont="1" applyFill="1" applyBorder="1" applyAlignment="1">
      <alignment horizontal="left" vertical="center" wrapText="1"/>
    </xf>
    <xf numFmtId="4" fontId="7" fillId="6" borderId="6" xfId="1" applyNumberFormat="1" applyFont="1" applyFill="1" applyBorder="1" applyAlignment="1">
      <alignment horizontal="left" vertical="center" wrapText="1"/>
    </xf>
    <xf numFmtId="4" fontId="14" fillId="12" borderId="11" xfId="1" applyNumberFormat="1" applyFont="1" applyFill="1" applyBorder="1" applyAlignment="1">
      <alignment horizontal="center" vertical="center" wrapText="1"/>
    </xf>
    <xf numFmtId="0" fontId="7" fillId="6" borderId="84" xfId="0" applyFont="1" applyFill="1" applyBorder="1" applyAlignment="1">
      <alignment horizontal="center" vertical="center" wrapText="1"/>
    </xf>
    <xf numFmtId="0" fontId="7" fillId="6" borderId="89" xfId="0" applyFont="1" applyFill="1" applyBorder="1" applyAlignment="1">
      <alignment horizontal="center" vertical="center" wrapText="1"/>
    </xf>
    <xf numFmtId="4" fontId="7" fillId="6" borderId="84" xfId="1" applyNumberFormat="1" applyFont="1" applyFill="1" applyBorder="1" applyAlignment="1">
      <alignment horizontal="left" vertical="center" wrapText="1"/>
    </xf>
    <xf numFmtId="4" fontId="7" fillId="6" borderId="89" xfId="1" applyNumberFormat="1" applyFont="1" applyFill="1" applyBorder="1" applyAlignment="1">
      <alignment horizontal="left" vertical="center" wrapText="1"/>
    </xf>
    <xf numFmtId="4" fontId="29" fillId="12" borderId="0" xfId="1" applyNumberFormat="1" applyFont="1" applyFill="1" applyAlignment="1">
      <alignment horizontal="center" vertical="center"/>
    </xf>
    <xf numFmtId="4" fontId="29" fillId="0" borderId="0" xfId="1" applyNumberFormat="1" applyFont="1" applyAlignment="1">
      <alignment horizontal="center" vertical="center"/>
    </xf>
    <xf numFmtId="0" fontId="13" fillId="12" borderId="1" xfId="1" applyFont="1" applyFill="1" applyBorder="1" applyAlignment="1">
      <alignment horizontal="center" vertical="center" wrapText="1"/>
    </xf>
    <xf numFmtId="0" fontId="13" fillId="12" borderId="1" xfId="1" applyFont="1" applyFill="1" applyBorder="1" applyAlignment="1">
      <alignment horizontal="center" vertical="center"/>
    </xf>
    <xf numFmtId="3" fontId="13" fillId="12" borderId="1" xfId="1" applyNumberFormat="1" applyFont="1" applyFill="1" applyBorder="1" applyAlignment="1">
      <alignment horizontal="center" vertical="center" wrapText="1"/>
    </xf>
    <xf numFmtId="4" fontId="14" fillId="0" borderId="75" xfId="1" applyNumberFormat="1" applyFont="1" applyBorder="1" applyAlignment="1">
      <alignment horizontal="center" vertical="center"/>
    </xf>
    <xf numFmtId="4" fontId="14" fillId="0" borderId="75" xfId="0" applyNumberFormat="1" applyFont="1" applyBorder="1" applyAlignment="1">
      <alignment horizontal="center" vertical="center" wrapText="1"/>
    </xf>
    <xf numFmtId="4" fontId="14" fillId="0" borderId="75" xfId="0" applyNumberFormat="1" applyFont="1" applyBorder="1" applyAlignment="1">
      <alignment horizontal="center"/>
    </xf>
    <xf numFmtId="0" fontId="9" fillId="6" borderId="0" xfId="0" applyFont="1" applyFill="1" applyAlignment="1">
      <alignment horizontal="right" vertical="center"/>
    </xf>
    <xf numFmtId="4" fontId="10" fillId="6" borderId="0" xfId="0" applyNumberFormat="1" applyFont="1" applyFill="1" applyAlignment="1">
      <alignment horizontal="right" vertical="center"/>
    </xf>
    <xf numFmtId="0" fontId="10" fillId="6" borderId="0" xfId="0" applyFont="1" applyFill="1" applyAlignment="1">
      <alignment horizontal="right" vertical="center"/>
    </xf>
    <xf numFmtId="4" fontId="14" fillId="6" borderId="59" xfId="1" applyNumberFormat="1" applyFont="1" applyFill="1" applyBorder="1" applyAlignment="1">
      <alignment horizontal="left" vertical="center" wrapText="1"/>
    </xf>
    <xf numFmtId="4" fontId="48" fillId="0" borderId="75" xfId="1" applyNumberFormat="1" applyFont="1" applyBorder="1" applyAlignment="1">
      <alignment horizontal="center" vertical="center" wrapText="1"/>
    </xf>
    <xf numFmtId="4" fontId="48" fillId="0" borderId="75" xfId="0" applyNumberFormat="1" applyFont="1" applyBorder="1" applyAlignment="1">
      <alignment horizontal="center"/>
    </xf>
    <xf numFmtId="4" fontId="48" fillId="0" borderId="75" xfId="1" applyNumberFormat="1" applyFont="1" applyBorder="1" applyAlignment="1">
      <alignment horizontal="center" vertical="center"/>
    </xf>
    <xf numFmtId="4" fontId="48" fillId="0" borderId="75" xfId="0" applyNumberFormat="1" applyFont="1" applyBorder="1" applyAlignment="1">
      <alignment horizontal="center" vertical="center" wrapText="1"/>
    </xf>
    <xf numFmtId="4" fontId="9" fillId="12" borderId="59" xfId="1" applyNumberFormat="1" applyFont="1" applyFill="1" applyBorder="1" applyAlignment="1">
      <alignment horizontal="left" vertical="center" wrapText="1"/>
    </xf>
    <xf numFmtId="4" fontId="14" fillId="6" borderId="0" xfId="2" applyNumberFormat="1" applyFont="1" applyFill="1" applyAlignment="1">
      <alignment horizontal="center" vertical="center" wrapText="1"/>
    </xf>
    <xf numFmtId="4" fontId="14" fillId="6" borderId="26" xfId="1" applyNumberFormat="1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3" fillId="0" borderId="5" xfId="0" applyFont="1" applyBorder="1" applyAlignment="1">
      <alignment horizontal="left" vertical="center"/>
    </xf>
    <xf numFmtId="0" fontId="33" fillId="0" borderId="6" xfId="0" applyFont="1" applyBorder="1" applyAlignment="1">
      <alignment horizontal="left" vertical="center"/>
    </xf>
    <xf numFmtId="0" fontId="33" fillId="0" borderId="1" xfId="0" applyFont="1" applyBorder="1" applyAlignment="1">
      <alignment horizontal="center"/>
    </xf>
    <xf numFmtId="0" fontId="7" fillId="12" borderId="5" xfId="0" applyFont="1" applyFill="1" applyBorder="1" applyAlignment="1">
      <alignment vertical="center" wrapText="1"/>
    </xf>
    <xf numFmtId="0" fontId="7" fillId="12" borderId="6" xfId="0" applyFont="1" applyFill="1" applyBorder="1" applyAlignment="1">
      <alignment vertical="center" wrapText="1"/>
    </xf>
    <xf numFmtId="0" fontId="7" fillId="12" borderId="5" xfId="0" applyFont="1" applyFill="1" applyBorder="1" applyAlignment="1">
      <alignment horizontal="left" vertical="center"/>
    </xf>
    <xf numFmtId="0" fontId="7" fillId="12" borderId="6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 wrapText="1"/>
    </xf>
    <xf numFmtId="0" fontId="7" fillId="12" borderId="5" xfId="0" applyFont="1" applyFill="1" applyBorder="1" applyAlignment="1">
      <alignment horizontal="left" vertical="center" wrapText="1"/>
    </xf>
    <xf numFmtId="0" fontId="7" fillId="12" borderId="6" xfId="0" applyFont="1" applyFill="1" applyBorder="1" applyAlignment="1">
      <alignment horizontal="left" vertical="center" wrapText="1"/>
    </xf>
    <xf numFmtId="0" fontId="7" fillId="12" borderId="53" xfId="0" applyFont="1" applyFill="1" applyBorder="1" applyAlignment="1">
      <alignment horizontal="left" vertical="center"/>
    </xf>
    <xf numFmtId="0" fontId="7" fillId="12" borderId="40" xfId="0" applyFont="1" applyFill="1" applyBorder="1" applyAlignment="1">
      <alignment horizontal="left" vertical="center" wrapText="1"/>
    </xf>
    <xf numFmtId="0" fontId="7" fillId="12" borderId="18" xfId="0" applyFont="1" applyFill="1" applyBorder="1" applyAlignment="1">
      <alignment horizontal="left" vertical="center" wrapText="1"/>
    </xf>
    <xf numFmtId="4" fontId="7" fillId="12" borderId="5" xfId="1" applyNumberFormat="1" applyFont="1" applyFill="1" applyBorder="1" applyAlignment="1">
      <alignment horizontal="left" vertical="center" wrapText="1"/>
    </xf>
    <xf numFmtId="4" fontId="7" fillId="12" borderId="6" xfId="1" applyNumberFormat="1" applyFont="1" applyFill="1" applyBorder="1" applyAlignment="1">
      <alignment horizontal="left" vertical="center" wrapText="1"/>
    </xf>
    <xf numFmtId="4" fontId="15" fillId="6" borderId="1" xfId="1" applyNumberFormat="1" applyFont="1" applyFill="1" applyBorder="1" applyAlignment="1">
      <alignment horizontal="left" vertical="center" wrapText="1"/>
    </xf>
    <xf numFmtId="4" fontId="14" fillId="6" borderId="5" xfId="1" applyNumberFormat="1" applyFont="1" applyFill="1" applyBorder="1" applyAlignment="1">
      <alignment horizontal="left" vertical="center" wrapText="1"/>
    </xf>
    <xf numFmtId="4" fontId="14" fillId="6" borderId="6" xfId="1" applyNumberFormat="1" applyFont="1" applyFill="1" applyBorder="1" applyAlignment="1">
      <alignment horizontal="left" vertical="center" wrapText="1"/>
    </xf>
    <xf numFmtId="4" fontId="7" fillId="12" borderId="54" xfId="1" applyNumberFormat="1" applyFont="1" applyFill="1" applyBorder="1" applyAlignment="1">
      <alignment horizontal="left" vertical="center" wrapText="1"/>
    </xf>
    <xf numFmtId="4" fontId="7" fillId="12" borderId="7" xfId="1" applyNumberFormat="1" applyFont="1" applyFill="1" applyBorder="1" applyAlignment="1">
      <alignment horizontal="left" vertical="center" wrapText="1"/>
    </xf>
    <xf numFmtId="4" fontId="14" fillId="12" borderId="16" xfId="1" applyNumberFormat="1" applyFont="1" applyFill="1" applyBorder="1" applyAlignment="1">
      <alignment horizontal="left" vertical="center" wrapText="1"/>
    </xf>
    <xf numFmtId="4" fontId="7" fillId="12" borderId="5" xfId="1" applyNumberFormat="1" applyFont="1" applyFill="1" applyBorder="1" applyAlignment="1">
      <alignment horizontal="center" vertical="center" wrapText="1"/>
    </xf>
    <xf numFmtId="4" fontId="7" fillId="12" borderId="6" xfId="1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15" fillId="12" borderId="5" xfId="0" applyFont="1" applyFill="1" applyBorder="1" applyAlignment="1">
      <alignment horizontal="left" vertical="center"/>
    </xf>
    <xf numFmtId="0" fontId="15" fillId="12" borderId="6" xfId="0" applyFont="1" applyFill="1" applyBorder="1" applyAlignment="1">
      <alignment horizontal="left" vertical="center"/>
    </xf>
    <xf numFmtId="4" fontId="15" fillId="6" borderId="14" xfId="1" applyNumberFormat="1" applyFont="1" applyFill="1" applyBorder="1" applyAlignment="1">
      <alignment horizontal="center" vertical="center" wrapText="1"/>
    </xf>
    <xf numFmtId="4" fontId="15" fillId="6" borderId="10" xfId="1" applyNumberFormat="1" applyFont="1" applyFill="1" applyBorder="1" applyAlignment="1">
      <alignment horizontal="center" vertical="center" wrapText="1"/>
    </xf>
    <xf numFmtId="4" fontId="15" fillId="6" borderId="55" xfId="1" applyNumberFormat="1" applyFont="1" applyFill="1" applyBorder="1" applyAlignment="1">
      <alignment horizontal="center" vertical="center" wrapText="1"/>
    </xf>
    <xf numFmtId="4" fontId="15" fillId="6" borderId="56" xfId="1" applyNumberFormat="1" applyFont="1" applyFill="1" applyBorder="1" applyAlignment="1">
      <alignment horizontal="center" vertical="center" wrapText="1"/>
    </xf>
    <xf numFmtId="0" fontId="29" fillId="12" borderId="0" xfId="1" applyFont="1" applyFill="1" applyAlignment="1">
      <alignment horizontal="center" vertical="center"/>
    </xf>
    <xf numFmtId="4" fontId="14" fillId="12" borderId="17" xfId="1" applyNumberFormat="1" applyFont="1" applyFill="1" applyBorder="1" applyAlignment="1">
      <alignment horizontal="center" vertical="center" wrapText="1"/>
    </xf>
    <xf numFmtId="4" fontId="14" fillId="12" borderId="18" xfId="1" applyNumberFormat="1" applyFont="1" applyFill="1" applyBorder="1" applyAlignment="1">
      <alignment horizontal="center" vertical="center" wrapText="1"/>
    </xf>
    <xf numFmtId="4" fontId="14" fillId="12" borderId="17" xfId="1" applyNumberFormat="1" applyFont="1" applyFill="1" applyBorder="1" applyAlignment="1">
      <alignment horizontal="left" vertical="center" wrapText="1"/>
    </xf>
    <xf numFmtId="4" fontId="7" fillId="6" borderId="24" xfId="1" applyNumberFormat="1" applyFont="1" applyFill="1" applyBorder="1" applyAlignment="1">
      <alignment horizontal="center" vertical="center" wrapText="1"/>
    </xf>
    <xf numFmtId="4" fontId="7" fillId="6" borderId="25" xfId="1" applyNumberFormat="1" applyFont="1" applyFill="1" applyBorder="1" applyAlignment="1">
      <alignment horizontal="center" vertical="center" wrapText="1"/>
    </xf>
    <xf numFmtId="0" fontId="7" fillId="6" borderId="52" xfId="0" applyFont="1" applyFill="1" applyBorder="1" applyAlignment="1">
      <alignment horizontal="left" vertical="center" wrapText="1"/>
    </xf>
    <xf numFmtId="4" fontId="7" fillId="6" borderId="55" xfId="1" applyNumberFormat="1" applyFont="1" applyFill="1" applyBorder="1" applyAlignment="1">
      <alignment horizontal="center" vertical="center" wrapText="1"/>
    </xf>
    <xf numFmtId="4" fontId="7" fillId="6" borderId="56" xfId="1" applyNumberFormat="1" applyFont="1" applyFill="1" applyBorder="1" applyAlignment="1">
      <alignment horizontal="center" vertical="center" wrapText="1"/>
    </xf>
    <xf numFmtId="4" fontId="14" fillId="12" borderId="59" xfId="1" applyNumberFormat="1" applyFont="1" applyFill="1" applyBorder="1" applyAlignment="1">
      <alignment horizontal="left" vertical="center" wrapText="1"/>
    </xf>
    <xf numFmtId="4" fontId="14" fillId="12" borderId="59" xfId="1" applyNumberFormat="1" applyFont="1" applyFill="1" applyBorder="1" applyAlignment="1">
      <alignment horizontal="center" vertical="center" wrapText="1"/>
    </xf>
    <xf numFmtId="4" fontId="14" fillId="12" borderId="63" xfId="1" applyNumberFormat="1" applyFont="1" applyFill="1" applyBorder="1" applyAlignment="1">
      <alignment horizontal="center" vertical="center" wrapText="1"/>
    </xf>
    <xf numFmtId="4" fontId="7" fillId="12" borderId="52" xfId="1" applyNumberFormat="1" applyFont="1" applyFill="1" applyBorder="1" applyAlignment="1">
      <alignment horizontal="left" vertical="center" wrapText="1"/>
    </xf>
    <xf numFmtId="0" fontId="31" fillId="6" borderId="5" xfId="0" applyFont="1" applyFill="1" applyBorder="1" applyAlignment="1">
      <alignment horizontal="center" vertical="center" wrapText="1"/>
    </xf>
    <xf numFmtId="0" fontId="31" fillId="6" borderId="6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2" fontId="14" fillId="6" borderId="19" xfId="1" applyNumberFormat="1" applyFont="1" applyFill="1" applyBorder="1" applyAlignment="1">
      <alignment horizontal="center" vertical="center" wrapText="1"/>
    </xf>
    <xf numFmtId="4" fontId="14" fillId="6" borderId="59" xfId="1" applyNumberFormat="1" applyFont="1" applyFill="1" applyBorder="1" applyAlignment="1">
      <alignment horizontal="center" vertical="center" wrapText="1"/>
    </xf>
    <xf numFmtId="4" fontId="7" fillId="6" borderId="5" xfId="1" applyNumberFormat="1" applyFont="1" applyFill="1" applyBorder="1" applyAlignment="1">
      <alignment horizontal="center" vertical="center" wrapText="1"/>
    </xf>
    <xf numFmtId="4" fontId="7" fillId="6" borderId="6" xfId="1" applyNumberFormat="1" applyFont="1" applyFill="1" applyBorder="1" applyAlignment="1">
      <alignment horizontal="center" vertical="center" wrapText="1"/>
    </xf>
    <xf numFmtId="4" fontId="14" fillId="12" borderId="17" xfId="1" applyNumberFormat="1" applyFont="1" applyFill="1" applyBorder="1" applyAlignment="1">
      <alignment horizontal="right" vertical="center" wrapText="1"/>
    </xf>
    <xf numFmtId="4" fontId="14" fillId="12" borderId="18" xfId="1" applyNumberFormat="1" applyFont="1" applyFill="1" applyBorder="1" applyAlignment="1">
      <alignment horizontal="right" vertical="center" wrapText="1"/>
    </xf>
    <xf numFmtId="4" fontId="7" fillId="6" borderId="24" xfId="1" applyNumberFormat="1" applyFont="1" applyFill="1" applyBorder="1" applyAlignment="1">
      <alignment horizontal="left" vertical="center" wrapText="1"/>
    </xf>
    <xf numFmtId="4" fontId="7" fillId="6" borderId="14" xfId="1" applyNumberFormat="1" applyFont="1" applyFill="1" applyBorder="1" applyAlignment="1">
      <alignment horizontal="center" vertical="center" wrapText="1"/>
    </xf>
    <xf numFmtId="4" fontId="7" fillId="6" borderId="10" xfId="1" applyNumberFormat="1" applyFont="1" applyFill="1" applyBorder="1" applyAlignment="1">
      <alignment horizontal="center" vertical="center" wrapText="1"/>
    </xf>
    <xf numFmtId="4" fontId="14" fillId="12" borderId="63" xfId="1" applyNumberFormat="1" applyFont="1" applyFill="1" applyBorder="1" applyAlignment="1">
      <alignment horizontal="right" vertical="center" wrapText="1"/>
    </xf>
    <xf numFmtId="0" fontId="59" fillId="0" borderId="110" xfId="0" applyFont="1" applyBorder="1" applyAlignment="1">
      <alignment horizontal="left" vertical="center"/>
    </xf>
    <xf numFmtId="0" fontId="59" fillId="0" borderId="111" xfId="0" applyFont="1" applyBorder="1" applyAlignment="1">
      <alignment horizontal="left" vertical="center"/>
    </xf>
    <xf numFmtId="0" fontId="16" fillId="0" borderId="110" xfId="0" applyFont="1" applyBorder="1" applyAlignment="1">
      <alignment horizontal="left" vertical="center" wrapText="1"/>
    </xf>
    <xf numFmtId="0" fontId="16" fillId="0" borderId="111" xfId="0" applyFont="1" applyBorder="1" applyAlignment="1">
      <alignment horizontal="left" vertical="center" wrapText="1"/>
    </xf>
    <xf numFmtId="0" fontId="16" fillId="0" borderId="110" xfId="0" applyFont="1" applyBorder="1" applyAlignment="1">
      <alignment horizontal="center" vertical="center" wrapText="1"/>
    </xf>
    <xf numFmtId="0" fontId="16" fillId="0" borderId="111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left"/>
    </xf>
    <xf numFmtId="0" fontId="16" fillId="0" borderId="111" xfId="0" applyFont="1" applyBorder="1" applyAlignment="1">
      <alignment horizontal="left"/>
    </xf>
    <xf numFmtId="0" fontId="16" fillId="0" borderId="110" xfId="0" applyFont="1" applyBorder="1" applyAlignment="1">
      <alignment horizontal="center"/>
    </xf>
    <xf numFmtId="0" fontId="16" fillId="0" borderId="111" xfId="0" applyFont="1" applyBorder="1" applyAlignment="1">
      <alignment horizontal="center"/>
    </xf>
    <xf numFmtId="4" fontId="48" fillId="12" borderId="11" xfId="1" applyNumberFormat="1" applyFont="1" applyFill="1" applyBorder="1" applyAlignment="1">
      <alignment horizontal="center" vertical="center" wrapText="1"/>
    </xf>
    <xf numFmtId="4" fontId="48" fillId="12" borderId="0" xfId="1" applyNumberFormat="1" applyFont="1" applyFill="1" applyAlignment="1">
      <alignment horizontal="center" vertical="center" wrapText="1"/>
    </xf>
    <xf numFmtId="4" fontId="48" fillId="0" borderId="59" xfId="1" applyNumberFormat="1" applyFont="1" applyBorder="1" applyAlignment="1">
      <alignment horizontal="left" vertical="center" wrapText="1"/>
    </xf>
    <xf numFmtId="4" fontId="48" fillId="0" borderId="0" xfId="1" applyNumberFormat="1" applyFont="1" applyAlignment="1">
      <alignment horizontal="left" vertical="center" wrapText="1"/>
    </xf>
    <xf numFmtId="4" fontId="16" fillId="0" borderId="75" xfId="1" applyNumberFormat="1" applyFont="1" applyBorder="1" applyAlignment="1">
      <alignment horizontal="left" vertical="center" wrapText="1"/>
    </xf>
    <xf numFmtId="2" fontId="48" fillId="13" borderId="17" xfId="1" applyNumberFormat="1" applyFont="1" applyFill="1" applyBorder="1" applyAlignment="1">
      <alignment horizontal="center" vertical="center" wrapText="1"/>
    </xf>
    <xf numFmtId="2" fontId="48" fillId="13" borderId="18" xfId="1" applyNumberFormat="1" applyFont="1" applyFill="1" applyBorder="1" applyAlignment="1">
      <alignment horizontal="center" vertical="center" wrapText="1"/>
    </xf>
    <xf numFmtId="4" fontId="48" fillId="13" borderId="17" xfId="1" applyNumberFormat="1" applyFont="1" applyFill="1" applyBorder="1" applyAlignment="1">
      <alignment horizontal="center" vertical="center" wrapText="1"/>
    </xf>
    <xf numFmtId="4" fontId="48" fillId="13" borderId="18" xfId="1" applyNumberFormat="1" applyFont="1" applyFill="1" applyBorder="1" applyAlignment="1">
      <alignment horizontal="center" vertical="center" wrapText="1"/>
    </xf>
    <xf numFmtId="4" fontId="16" fillId="0" borderId="76" xfId="1" applyNumberFormat="1" applyFont="1" applyBorder="1" applyAlignment="1">
      <alignment horizontal="center" vertical="center" wrapText="1"/>
    </xf>
    <xf numFmtId="4" fontId="16" fillId="0" borderId="96" xfId="1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right"/>
    </xf>
    <xf numFmtId="4" fontId="16" fillId="0" borderId="1" xfId="1" applyNumberFormat="1" applyFont="1" applyBorder="1" applyAlignment="1">
      <alignment horizontal="left" vertical="center" wrapText="1"/>
    </xf>
    <xf numFmtId="4" fontId="16" fillId="6" borderId="75" xfId="1" applyNumberFormat="1" applyFont="1" applyFill="1" applyBorder="1" applyAlignment="1">
      <alignment horizontal="left" vertical="center" wrapText="1"/>
    </xf>
    <xf numFmtId="4" fontId="16" fillId="6" borderId="5" xfId="1" applyNumberFormat="1" applyFont="1" applyFill="1" applyBorder="1" applyAlignment="1">
      <alignment horizontal="left" vertical="center" wrapText="1"/>
    </xf>
    <xf numFmtId="4" fontId="16" fillId="6" borderId="6" xfId="1" applyNumberFormat="1" applyFont="1" applyFill="1" applyBorder="1" applyAlignment="1">
      <alignment horizontal="left" vertical="center" wrapText="1"/>
    </xf>
    <xf numFmtId="0" fontId="16" fillId="12" borderId="84" xfId="1" applyFont="1" applyFill="1" applyBorder="1" applyAlignment="1">
      <alignment horizontal="left" vertical="center" wrapText="1"/>
    </xf>
    <xf numFmtId="0" fontId="16" fillId="12" borderId="7" xfId="1" applyFont="1" applyFill="1" applyBorder="1" applyAlignment="1">
      <alignment horizontal="left" vertical="center" wrapText="1"/>
    </xf>
    <xf numFmtId="0" fontId="59" fillId="0" borderId="86" xfId="0" applyFont="1" applyBorder="1" applyAlignment="1">
      <alignment horizontal="left" vertical="center"/>
    </xf>
    <xf numFmtId="0" fontId="16" fillId="12" borderId="84" xfId="1" applyFont="1" applyFill="1" applyBorder="1" applyAlignment="1">
      <alignment horizontal="center" vertical="center" wrapText="1"/>
    </xf>
    <xf numFmtId="0" fontId="16" fillId="12" borderId="89" xfId="1" applyFont="1" applyFill="1" applyBorder="1" applyAlignment="1">
      <alignment horizontal="center" vertical="center" wrapText="1"/>
    </xf>
    <xf numFmtId="4" fontId="16" fillId="6" borderId="86" xfId="1" applyNumberFormat="1" applyFont="1" applyFill="1" applyBorder="1" applyAlignment="1">
      <alignment horizontal="left" vertical="center" wrapText="1"/>
    </xf>
    <xf numFmtId="4" fontId="16" fillId="12" borderId="86" xfId="1" applyNumberFormat="1" applyFont="1" applyFill="1" applyBorder="1" applyAlignment="1">
      <alignment horizontal="left" vertical="center" wrapText="1"/>
    </xf>
    <xf numFmtId="0" fontId="16" fillId="12" borderId="84" xfId="0" applyFont="1" applyFill="1" applyBorder="1" applyAlignment="1">
      <alignment horizontal="center" vertical="center"/>
    </xf>
    <xf numFmtId="0" fontId="16" fillId="12" borderId="89" xfId="0" applyFont="1" applyFill="1" applyBorder="1" applyAlignment="1">
      <alignment horizontal="center" vertical="center"/>
    </xf>
    <xf numFmtId="0" fontId="16" fillId="12" borderId="84" xfId="0" applyFont="1" applyFill="1" applyBorder="1" applyAlignment="1">
      <alignment horizontal="left" vertical="center"/>
    </xf>
    <xf numFmtId="0" fontId="16" fillId="12" borderId="89" xfId="0" applyFont="1" applyFill="1" applyBorder="1" applyAlignment="1">
      <alignment horizontal="left" vertical="center"/>
    </xf>
    <xf numFmtId="0" fontId="59" fillId="0" borderId="84" xfId="0" applyFont="1" applyBorder="1" applyAlignment="1">
      <alignment horizontal="left" vertical="center"/>
    </xf>
    <xf numFmtId="0" fontId="59" fillId="0" borderId="89" xfId="0" applyFont="1" applyBorder="1" applyAlignment="1">
      <alignment horizontal="left" vertical="center"/>
    </xf>
    <xf numFmtId="0" fontId="48" fillId="12" borderId="59" xfId="1" applyFont="1" applyFill="1" applyBorder="1" applyAlignment="1">
      <alignment horizontal="left" vertical="center" wrapText="1"/>
    </xf>
    <xf numFmtId="4" fontId="48" fillId="13" borderId="0" xfId="1" applyNumberFormat="1" applyFont="1" applyFill="1" applyAlignment="1">
      <alignment horizontal="center" vertical="center" wrapText="1"/>
    </xf>
    <xf numFmtId="4" fontId="16" fillId="0" borderId="5" xfId="1" applyNumberFormat="1" applyFont="1" applyBorder="1" applyAlignment="1">
      <alignment horizontal="left" vertical="center" wrapText="1"/>
    </xf>
    <xf numFmtId="4" fontId="16" fillId="0" borderId="6" xfId="1" applyNumberFormat="1" applyFont="1" applyBorder="1" applyAlignment="1">
      <alignment horizontal="left" vertical="center" wrapText="1"/>
    </xf>
    <xf numFmtId="4" fontId="16" fillId="12" borderId="5" xfId="1" applyNumberFormat="1" applyFont="1" applyFill="1" applyBorder="1" applyAlignment="1">
      <alignment horizontal="left" vertical="center" wrapText="1"/>
    </xf>
    <xf numFmtId="4" fontId="16" fillId="12" borderId="6" xfId="1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4" fontId="16" fillId="0" borderId="5" xfId="1" applyNumberFormat="1" applyFont="1" applyBorder="1" applyAlignment="1">
      <alignment horizontal="center" vertical="center" wrapText="1"/>
    </xf>
    <xf numFmtId="4" fontId="16" fillId="0" borderId="6" xfId="1" applyNumberFormat="1" applyFont="1" applyBorder="1" applyAlignment="1">
      <alignment horizontal="center" vertical="center" wrapText="1"/>
    </xf>
    <xf numFmtId="4" fontId="16" fillId="12" borderId="1" xfId="1" applyNumberFormat="1" applyFont="1" applyFill="1" applyBorder="1" applyAlignment="1">
      <alignment horizontal="left" vertical="center" wrapText="1"/>
    </xf>
    <xf numFmtId="4" fontId="16" fillId="6" borderId="1" xfId="1" applyNumberFormat="1" applyFont="1" applyFill="1" applyBorder="1" applyAlignment="1">
      <alignment horizontal="left" vertical="center" wrapText="1"/>
    </xf>
    <xf numFmtId="4" fontId="48" fillId="13" borderId="11" xfId="1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6" fillId="12" borderId="1" xfId="0" applyFont="1" applyFill="1" applyBorder="1" applyAlignment="1">
      <alignment horizontal="left" vertical="center"/>
    </xf>
    <xf numFmtId="0" fontId="49" fillId="6" borderId="1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4" fontId="49" fillId="0" borderId="108" xfId="1" applyNumberFormat="1" applyFont="1" applyBorder="1" applyAlignment="1">
      <alignment horizontal="left" vertical="center" wrapText="1"/>
    </xf>
    <xf numFmtId="4" fontId="48" fillId="0" borderId="40" xfId="1" applyNumberFormat="1" applyFont="1" applyBorder="1" applyAlignment="1">
      <alignment horizontal="left" vertical="center" wrapText="1"/>
    </xf>
    <xf numFmtId="4" fontId="48" fillId="0" borderId="18" xfId="1" applyNumberFormat="1" applyFont="1" applyBorder="1" applyAlignment="1">
      <alignment horizontal="left" vertical="center" wrapText="1"/>
    </xf>
    <xf numFmtId="4" fontId="16" fillId="12" borderId="42" xfId="1" applyNumberFormat="1" applyFont="1" applyFill="1" applyBorder="1" applyAlignment="1">
      <alignment horizontal="left" vertical="center" wrapText="1"/>
    </xf>
    <xf numFmtId="4" fontId="16" fillId="12" borderId="26" xfId="1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4" fontId="16" fillId="6" borderId="109" xfId="1" applyNumberFormat="1" applyFont="1" applyFill="1" applyBorder="1" applyAlignment="1">
      <alignment horizontal="left" vertical="center" wrapText="1"/>
    </xf>
    <xf numFmtId="4" fontId="16" fillId="6" borderId="112" xfId="1" applyNumberFormat="1" applyFont="1" applyFill="1" applyBorder="1" applyAlignment="1">
      <alignment horizontal="left" vertical="center" wrapText="1"/>
    </xf>
    <xf numFmtId="4" fontId="49" fillId="6" borderId="5" xfId="1" applyNumberFormat="1" applyFont="1" applyFill="1" applyBorder="1" applyAlignment="1">
      <alignment horizontal="left" vertical="center" wrapText="1"/>
    </xf>
    <xf numFmtId="4" fontId="49" fillId="6" borderId="6" xfId="1" applyNumberFormat="1" applyFont="1" applyFill="1" applyBorder="1" applyAlignment="1">
      <alignment horizontal="left" vertical="center" wrapText="1"/>
    </xf>
    <xf numFmtId="0" fontId="16" fillId="0" borderId="105" xfId="0" applyFont="1" applyBorder="1" applyAlignment="1">
      <alignment horizontal="left" vertical="center" wrapText="1"/>
    </xf>
    <xf numFmtId="4" fontId="16" fillId="6" borderId="5" xfId="1" applyNumberFormat="1" applyFont="1" applyFill="1" applyBorder="1" applyAlignment="1">
      <alignment horizontal="left" vertical="center"/>
    </xf>
    <xf numFmtId="4" fontId="16" fillId="6" borderId="6" xfId="1" applyNumberFormat="1" applyFont="1" applyFill="1" applyBorder="1" applyAlignment="1">
      <alignment horizontal="left" vertical="center"/>
    </xf>
    <xf numFmtId="4" fontId="48" fillId="12" borderId="0" xfId="1" applyNumberFormat="1" applyFont="1" applyFill="1" applyAlignment="1">
      <alignment horizontal="left" vertical="center" wrapText="1"/>
    </xf>
    <xf numFmtId="4" fontId="16" fillId="0" borderId="78" xfId="1" applyNumberFormat="1" applyFont="1" applyBorder="1" applyAlignment="1">
      <alignment horizontal="left" vertical="center" wrapText="1"/>
    </xf>
    <xf numFmtId="4" fontId="16" fillId="0" borderId="79" xfId="1" applyNumberFormat="1" applyFont="1" applyBorder="1" applyAlignment="1">
      <alignment horizontal="left" vertical="center" wrapText="1"/>
    </xf>
    <xf numFmtId="0" fontId="16" fillId="0" borderId="5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4" fontId="48" fillId="12" borderId="75" xfId="1" applyNumberFormat="1" applyFont="1" applyFill="1" applyBorder="1" applyAlignment="1">
      <alignment horizontal="left" vertical="center" wrapText="1"/>
    </xf>
    <xf numFmtId="0" fontId="16" fillId="0" borderId="41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77" xfId="0" applyFont="1" applyBorder="1" applyAlignment="1">
      <alignment horizontal="left" vertical="center" wrapText="1"/>
    </xf>
    <xf numFmtId="4" fontId="16" fillId="6" borderId="77" xfId="1" applyNumberFormat="1" applyFont="1" applyFill="1" applyBorder="1" applyAlignment="1">
      <alignment horizontal="left" vertical="center" wrapText="1"/>
    </xf>
    <xf numFmtId="4" fontId="49" fillId="6" borderId="1" xfId="1" applyNumberFormat="1" applyFont="1" applyFill="1" applyBorder="1" applyAlignment="1">
      <alignment horizontal="center" vertical="center" wrapText="1"/>
    </xf>
    <xf numFmtId="0" fontId="16" fillId="0" borderId="98" xfId="0" applyFont="1" applyBorder="1" applyAlignment="1">
      <alignment horizontal="center" vertical="center"/>
    </xf>
    <xf numFmtId="0" fontId="16" fillId="0" borderId="99" xfId="0" applyFont="1" applyBorder="1" applyAlignment="1">
      <alignment horizontal="center" vertical="center"/>
    </xf>
    <xf numFmtId="0" fontId="10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/>
    </xf>
    <xf numFmtId="0" fontId="10" fillId="13" borderId="0" xfId="0" applyFont="1" applyFill="1" applyAlignment="1">
      <alignment horizontal="center"/>
    </xf>
    <xf numFmtId="0" fontId="9" fillId="13" borderId="0" xfId="0" applyFont="1" applyFill="1" applyAlignment="1">
      <alignment horizontal="right" vertical="center"/>
    </xf>
    <xf numFmtId="0" fontId="16" fillId="0" borderId="86" xfId="0" applyFont="1" applyBorder="1" applyAlignment="1">
      <alignment horizontal="center" vertical="center" wrapText="1"/>
    </xf>
    <xf numFmtId="4" fontId="16" fillId="0" borderId="86" xfId="0" applyNumberFormat="1" applyFont="1" applyBorder="1" applyAlignment="1">
      <alignment horizontal="center" vertical="center"/>
    </xf>
    <xf numFmtId="0" fontId="16" fillId="0" borderId="86" xfId="0" applyFont="1" applyBorder="1" applyAlignment="1">
      <alignment horizontal="center" vertical="center"/>
    </xf>
    <xf numFmtId="4" fontId="10" fillId="0" borderId="86" xfId="0" applyNumberFormat="1" applyFont="1" applyBorder="1" applyAlignment="1">
      <alignment horizontal="center" wrapText="1"/>
    </xf>
    <xf numFmtId="0" fontId="10" fillId="0" borderId="86" xfId="0" applyFont="1" applyBorder="1" applyAlignment="1">
      <alignment horizontal="center" wrapText="1"/>
    </xf>
    <xf numFmtId="4" fontId="16" fillId="0" borderId="86" xfId="0" applyNumberFormat="1" applyFont="1" applyBorder="1" applyAlignment="1">
      <alignment horizontal="center" vertical="center" wrapText="1"/>
    </xf>
    <xf numFmtId="0" fontId="10" fillId="13" borderId="0" xfId="0" applyFont="1" applyFill="1" applyAlignment="1">
      <alignment horizontal="left"/>
    </xf>
    <xf numFmtId="0" fontId="16" fillId="13" borderId="0" xfId="0" applyFont="1" applyFill="1" applyAlignment="1">
      <alignment horizontal="left"/>
    </xf>
    <xf numFmtId="0" fontId="16" fillId="0" borderId="76" xfId="0" applyFont="1" applyBorder="1" applyAlignment="1">
      <alignment horizontal="center" vertical="center" wrapText="1"/>
    </xf>
    <xf numFmtId="0" fontId="16" fillId="0" borderId="96" xfId="0" applyFont="1" applyBorder="1" applyAlignment="1">
      <alignment horizontal="center" vertical="center" wrapText="1"/>
    </xf>
    <xf numFmtId="0" fontId="16" fillId="0" borderId="75" xfId="0" applyFont="1" applyBorder="1" applyAlignment="1">
      <alignment horizontal="center"/>
    </xf>
    <xf numFmtId="0" fontId="16" fillId="0" borderId="86" xfId="0" applyFont="1" applyBorder="1" applyAlignment="1">
      <alignment horizontal="center"/>
    </xf>
    <xf numFmtId="0" fontId="16" fillId="0" borderId="102" xfId="0" applyFont="1" applyBorder="1" applyAlignment="1">
      <alignment horizontal="center"/>
    </xf>
    <xf numFmtId="0" fontId="16" fillId="13" borderId="0" xfId="0" applyFont="1" applyFill="1" applyAlignment="1">
      <alignment horizontal="center"/>
    </xf>
    <xf numFmtId="0" fontId="57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3" fontId="16" fillId="0" borderId="86" xfId="0" applyNumberFormat="1" applyFont="1" applyBorder="1" applyAlignment="1">
      <alignment horizontal="center"/>
    </xf>
    <xf numFmtId="0" fontId="16" fillId="0" borderId="77" xfId="0" applyFont="1" applyBorder="1" applyAlignment="1">
      <alignment horizontal="left" vertical="center"/>
    </xf>
    <xf numFmtId="4" fontId="49" fillId="6" borderId="5" xfId="1" applyNumberFormat="1" applyFont="1" applyFill="1" applyBorder="1" applyAlignment="1">
      <alignment horizontal="center" vertical="center" wrapText="1"/>
    </xf>
    <xf numFmtId="4" fontId="49" fillId="6" borderId="77" xfId="1" applyNumberFormat="1" applyFont="1" applyFill="1" applyBorder="1" applyAlignment="1">
      <alignment horizontal="center" vertical="center" wrapText="1"/>
    </xf>
    <xf numFmtId="4" fontId="14" fillId="0" borderId="84" xfId="1" applyNumberFormat="1" applyFont="1" applyBorder="1" applyAlignment="1">
      <alignment horizontal="center" vertical="center" wrapText="1"/>
    </xf>
    <xf numFmtId="4" fontId="14" fillId="0" borderId="82" xfId="1" applyNumberFormat="1" applyFont="1" applyBorder="1" applyAlignment="1">
      <alignment horizontal="center" vertical="center" wrapText="1"/>
    </xf>
    <xf numFmtId="4" fontId="14" fillId="0" borderId="83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" fontId="14" fillId="0" borderId="7" xfId="1" applyNumberFormat="1" applyFont="1" applyBorder="1" applyAlignment="1">
      <alignment horizontal="center" vertical="center" wrapText="1"/>
    </xf>
    <xf numFmtId="4" fontId="14" fillId="0" borderId="12" xfId="1" applyNumberFormat="1" applyFont="1" applyBorder="1" applyAlignment="1">
      <alignment horizontal="center" vertical="center" wrapText="1"/>
    </xf>
    <xf numFmtId="4" fontId="14" fillId="0" borderId="0" xfId="1" applyNumberFormat="1" applyFont="1" applyAlignment="1">
      <alignment horizontal="left" vertical="center" wrapText="1"/>
    </xf>
    <xf numFmtId="4" fontId="14" fillId="0" borderId="11" xfId="1" applyNumberFormat="1" applyFont="1" applyBorder="1" applyAlignment="1">
      <alignment horizontal="center" vertical="center" wrapText="1"/>
    </xf>
    <xf numFmtId="4" fontId="14" fillId="0" borderId="0" xfId="1" applyNumberFormat="1" applyFont="1" applyAlignment="1">
      <alignment horizontal="center" vertical="center" wrapText="1"/>
    </xf>
    <xf numFmtId="2" fontId="14" fillId="0" borderId="0" xfId="1" applyNumberFormat="1" applyFont="1" applyAlignment="1">
      <alignment horizontal="center" vertical="center" wrapText="1"/>
    </xf>
    <xf numFmtId="0" fontId="14" fillId="6" borderId="16" xfId="1" applyFont="1" applyFill="1" applyBorder="1" applyAlignment="1">
      <alignment horizontal="left" vertical="center" wrapText="1"/>
    </xf>
    <xf numFmtId="2" fontId="14" fillId="6" borderId="0" xfId="1" applyNumberFormat="1" applyFont="1" applyFill="1" applyAlignment="1">
      <alignment vertical="center" wrapText="1"/>
    </xf>
    <xf numFmtId="4" fontId="14" fillId="6" borderId="26" xfId="1" applyNumberFormat="1" applyFont="1" applyFill="1" applyBorder="1" applyAlignment="1">
      <alignment horizontal="right" vertical="center" wrapText="1"/>
    </xf>
    <xf numFmtId="4" fontId="31" fillId="22" borderId="28" xfId="1" applyNumberFormat="1" applyFont="1" applyFill="1" applyBorder="1" applyAlignment="1">
      <alignment horizontal="center" vertical="center" wrapText="1"/>
    </xf>
    <xf numFmtId="4" fontId="31" fillId="22" borderId="0" xfId="1" applyNumberFormat="1" applyFont="1" applyFill="1" applyAlignment="1">
      <alignment horizontal="center" vertical="center" wrapText="1"/>
    </xf>
    <xf numFmtId="4" fontId="31" fillId="22" borderId="26" xfId="1" applyNumberFormat="1" applyFont="1" applyFill="1" applyBorder="1" applyAlignment="1">
      <alignment horizontal="center" vertical="center" wrapText="1"/>
    </xf>
    <xf numFmtId="0" fontId="47" fillId="26" borderId="43" xfId="0" applyFont="1" applyFill="1" applyBorder="1" applyAlignment="1">
      <alignment horizontal="center"/>
    </xf>
    <xf numFmtId="0" fontId="47" fillId="26" borderId="44" xfId="0" applyFont="1" applyFill="1" applyBorder="1" applyAlignment="1">
      <alignment horizontal="center"/>
    </xf>
    <xf numFmtId="0" fontId="47" fillId="26" borderId="45" xfId="0" applyFont="1" applyFill="1" applyBorder="1" applyAlignment="1">
      <alignment horizontal="center"/>
    </xf>
    <xf numFmtId="0" fontId="47" fillId="26" borderId="48" xfId="0" applyFont="1" applyFill="1" applyBorder="1" applyAlignment="1">
      <alignment horizontal="center"/>
    </xf>
    <xf numFmtId="0" fontId="47" fillId="26" borderId="49" xfId="0" applyFont="1" applyFill="1" applyBorder="1" applyAlignment="1">
      <alignment horizontal="center"/>
    </xf>
    <xf numFmtId="0" fontId="47" fillId="26" borderId="118" xfId="0" applyFont="1" applyFill="1" applyBorder="1" applyAlignment="1">
      <alignment horizontal="center"/>
    </xf>
  </cellXfs>
  <cellStyles count="3">
    <cellStyle name="Normal" xfId="0" builtinId="0"/>
    <cellStyle name="Обычный_Парк-Плейс. Перечень используемых материалов и работ" xfId="1" xr:uid="{072F341B-4B3F-478E-AE4B-3B6088D46675}"/>
    <cellStyle name="Обычный_Парк-Плейс. Перечень используемых материалов и работ 2" xfId="2" xr:uid="{A9325C08-B989-4857-A893-4904F39CFD3F}"/>
  </cellStyles>
  <dxfs count="0"/>
  <tableStyles count="0" defaultTableStyle="TableStyleMedium2" defaultPivotStyle="PivotStyleLight16"/>
  <colors>
    <mruColors>
      <color rgb="FFFFFFCC"/>
      <color rgb="FFFCFC72"/>
      <color rgb="FFFFFF99"/>
      <color rgb="FFCCFFCC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externalLink" Target="externalLinks/externalLink2.xml"/><Relationship Id="rId108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0</xdr:row>
      <xdr:rowOff>129540</xdr:rowOff>
    </xdr:from>
    <xdr:to>
      <xdr:col>6</xdr:col>
      <xdr:colOff>960120</xdr:colOff>
      <xdr:row>2</xdr:row>
      <xdr:rowOff>53340</xdr:rowOff>
    </xdr:to>
    <xdr:sp macro="[1]!Макрос2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6644B63E-9338-443B-B0A1-F5FE6799C4EC}"/>
            </a:ext>
          </a:extLst>
        </xdr:cNvPr>
        <xdr:cNvSpPr/>
      </xdr:nvSpPr>
      <xdr:spPr>
        <a:xfrm>
          <a:off x="4587240" y="129540"/>
          <a:ext cx="914400" cy="342900"/>
        </a:xfrm>
        <a:prstGeom prst="roundRect">
          <a:avLst/>
        </a:prstGeom>
        <a:gradFill flip="none" rotWithShape="1">
          <a:gsLst>
            <a:gs pos="0">
              <a:schemeClr val="accent4">
                <a:lumMod val="89000"/>
              </a:schemeClr>
            </a:gs>
            <a:gs pos="23000">
              <a:schemeClr val="accent4">
                <a:lumMod val="89000"/>
              </a:schemeClr>
            </a:gs>
            <a:gs pos="69000">
              <a:schemeClr val="accent4">
                <a:lumMod val="75000"/>
              </a:schemeClr>
            </a:gs>
            <a:gs pos="97000">
              <a:schemeClr val="accent4">
                <a:lumMod val="70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РАСЧЕТ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12700</xdr:rowOff>
    </xdr:from>
    <xdr:to>
      <xdr:col>4</xdr:col>
      <xdr:colOff>384629</xdr:colOff>
      <xdr:row>41</xdr:row>
      <xdr:rowOff>177800</xdr:rowOff>
    </xdr:to>
    <xdr:sp macro="" textlink="">
      <xdr:nvSpPr>
        <xdr:cNvPr id="2" name="Скругленный прямоугольни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428625" y="53752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41</xdr:row>
      <xdr:rowOff>12700</xdr:rowOff>
    </xdr:from>
    <xdr:to>
      <xdr:col>6</xdr:col>
      <xdr:colOff>1316537</xdr:colOff>
      <xdr:row>41</xdr:row>
      <xdr:rowOff>177800</xdr:rowOff>
    </xdr:to>
    <xdr:sp macro="" textlink="">
      <xdr:nvSpPr>
        <xdr:cNvPr id="3" name="Скругленный прямоугольни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2496004" y="5375275"/>
          <a:ext cx="183043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7C" mc:Ignorable="a14" a14:legacySpreadsheetColorIndex="8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CB" mc:Ignorable="a14" a14:legacySpreadsheetColorIndex="8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1930</a:t>
          </a:r>
        </a:p>
      </xdr:txBody>
    </xdr:sp>
    <xdr:clientData/>
  </xdr:twoCellAnchor>
  <xdr:twoCellAnchor>
    <xdr:from>
      <xdr:col>6</xdr:col>
      <xdr:colOff>1341936</xdr:colOff>
      <xdr:row>41</xdr:row>
      <xdr:rowOff>12700</xdr:rowOff>
    </xdr:from>
    <xdr:to>
      <xdr:col>7</xdr:col>
      <xdr:colOff>596900</xdr:colOff>
      <xdr:row>41</xdr:row>
      <xdr:rowOff>177800</xdr:rowOff>
    </xdr:to>
    <xdr:sp macro="" textlink="">
      <xdr:nvSpPr>
        <xdr:cNvPr id="4" name="Скругленный прямоугольни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4351836" y="5375275"/>
          <a:ext cx="143618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1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1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1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1520</a:t>
          </a:r>
        </a:p>
      </xdr:txBody>
    </xdr:sp>
    <xdr:clientData/>
  </xdr:twoCellAnchor>
  <xdr:twoCellAnchor>
    <xdr:from>
      <xdr:col>2</xdr:col>
      <xdr:colOff>0</xdr:colOff>
      <xdr:row>42</xdr:row>
      <xdr:rowOff>12700</xdr:rowOff>
    </xdr:from>
    <xdr:to>
      <xdr:col>4</xdr:col>
      <xdr:colOff>432707</xdr:colOff>
      <xdr:row>42</xdr:row>
      <xdr:rowOff>177800</xdr:rowOff>
    </xdr:to>
    <xdr:sp macro="" textlink="">
      <xdr:nvSpPr>
        <xdr:cNvPr id="5" name="Скругленный прямоугольни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428625" y="5565775"/>
          <a:ext cx="209005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2200</a:t>
          </a:r>
        </a:p>
      </xdr:txBody>
    </xdr:sp>
    <xdr:clientData/>
  </xdr:twoCellAnchor>
  <xdr:twoCellAnchor>
    <xdr:from>
      <xdr:col>4</xdr:col>
      <xdr:colOff>458107</xdr:colOff>
      <xdr:row>42</xdr:row>
      <xdr:rowOff>12700</xdr:rowOff>
    </xdr:from>
    <xdr:to>
      <xdr:col>6</xdr:col>
      <xdr:colOff>1316536</xdr:colOff>
      <xdr:row>42</xdr:row>
      <xdr:rowOff>177800</xdr:rowOff>
    </xdr:to>
    <xdr:sp macro="" textlink="">
      <xdr:nvSpPr>
        <xdr:cNvPr id="6" name="Скругленный прямоугольни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2544082" y="55657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1341936</xdr:colOff>
      <xdr:row>42</xdr:row>
      <xdr:rowOff>12700</xdr:rowOff>
    </xdr:from>
    <xdr:to>
      <xdr:col>7</xdr:col>
      <xdr:colOff>596900</xdr:colOff>
      <xdr:row>42</xdr:row>
      <xdr:rowOff>177800</xdr:rowOff>
    </xdr:to>
    <xdr:sp macro="" textlink="">
      <xdr:nvSpPr>
        <xdr:cNvPr id="7" name="Скругленный прямоугольни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4351836" y="5565775"/>
          <a:ext cx="143618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1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1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1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1520</a:t>
          </a:r>
        </a:p>
      </xdr:txBody>
    </xdr:sp>
    <xdr:clientData/>
  </xdr:twoCellAnchor>
  <xdr:twoCellAnchor>
    <xdr:from>
      <xdr:col>2</xdr:col>
      <xdr:colOff>0</xdr:colOff>
      <xdr:row>43</xdr:row>
      <xdr:rowOff>12700</xdr:rowOff>
    </xdr:from>
    <xdr:to>
      <xdr:col>4</xdr:col>
      <xdr:colOff>240393</xdr:colOff>
      <xdr:row>43</xdr:row>
      <xdr:rowOff>177800</xdr:rowOff>
    </xdr:to>
    <xdr:sp macro="" textlink="">
      <xdr:nvSpPr>
        <xdr:cNvPr id="8" name="Скругленный прямоугольни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428625" y="5756275"/>
          <a:ext cx="189774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FF" mc:Ignorable="a14" a14:legacySpreadsheetColorIndex="7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FF" mc:Ignorable="a14" a14:legacySpreadsheetColorIndex="7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AA" mc:Ignorable="a14" a14:legacySpreadsheetColorIndex="7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2000</a:t>
          </a:r>
        </a:p>
      </xdr:txBody>
    </xdr:sp>
    <xdr:clientData/>
  </xdr:twoCellAnchor>
  <xdr:twoCellAnchor>
    <xdr:from>
      <xdr:col>4</xdr:col>
      <xdr:colOff>265793</xdr:colOff>
      <xdr:row>43</xdr:row>
      <xdr:rowOff>12700</xdr:rowOff>
    </xdr:from>
    <xdr:to>
      <xdr:col>6</xdr:col>
      <xdr:colOff>1124222</xdr:colOff>
      <xdr:row>43</xdr:row>
      <xdr:rowOff>177800</xdr:rowOff>
    </xdr:to>
    <xdr:sp macro="" textlink="">
      <xdr:nvSpPr>
        <xdr:cNvPr id="9" name="Скругленный прямоугольни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2351768" y="57562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1149622</xdr:colOff>
      <xdr:row>43</xdr:row>
      <xdr:rowOff>12700</xdr:rowOff>
    </xdr:from>
    <xdr:to>
      <xdr:col>7</xdr:col>
      <xdr:colOff>587284</xdr:colOff>
      <xdr:row>43</xdr:row>
      <xdr:rowOff>177800</xdr:rowOff>
    </xdr:to>
    <xdr:sp macro="" textlink="">
      <xdr:nvSpPr>
        <xdr:cNvPr id="10" name="Скругленный прямоугольни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4159522" y="57562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44</xdr:row>
      <xdr:rowOff>12700</xdr:rowOff>
    </xdr:from>
    <xdr:to>
      <xdr:col>4</xdr:col>
      <xdr:colOff>375013</xdr:colOff>
      <xdr:row>44</xdr:row>
      <xdr:rowOff>177800</xdr:rowOff>
    </xdr:to>
    <xdr:sp macro="" textlink="">
      <xdr:nvSpPr>
        <xdr:cNvPr id="11" name="Скругленный прямоугольни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428625" y="5946775"/>
          <a:ext cx="203236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2140</a:t>
          </a:r>
        </a:p>
      </xdr:txBody>
    </xdr:sp>
    <xdr:clientData/>
  </xdr:twoCellAnchor>
  <xdr:twoCellAnchor>
    <xdr:from>
      <xdr:col>4</xdr:col>
      <xdr:colOff>400413</xdr:colOff>
      <xdr:row>44</xdr:row>
      <xdr:rowOff>12700</xdr:rowOff>
    </xdr:from>
    <xdr:to>
      <xdr:col>6</xdr:col>
      <xdr:colOff>1306921</xdr:colOff>
      <xdr:row>44</xdr:row>
      <xdr:rowOff>177800</xdr:rowOff>
    </xdr:to>
    <xdr:sp macro="" textlink="">
      <xdr:nvSpPr>
        <xdr:cNvPr id="12" name="Скругленный прямоугольни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2486388" y="5946775"/>
          <a:ext cx="183043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7C" mc:Ignorable="a14" a14:legacySpreadsheetColorIndex="8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CB" mc:Ignorable="a14" a14:legacySpreadsheetColorIndex="8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1930</a:t>
          </a:r>
        </a:p>
      </xdr:txBody>
    </xdr:sp>
    <xdr:clientData/>
  </xdr:twoCellAnchor>
  <xdr:twoCellAnchor>
    <xdr:from>
      <xdr:col>6</xdr:col>
      <xdr:colOff>1332321</xdr:colOff>
      <xdr:row>44</xdr:row>
      <xdr:rowOff>12700</xdr:rowOff>
    </xdr:from>
    <xdr:to>
      <xdr:col>7</xdr:col>
      <xdr:colOff>587284</xdr:colOff>
      <xdr:row>44</xdr:row>
      <xdr:rowOff>177800</xdr:rowOff>
    </xdr:to>
    <xdr:sp macro="" textlink="">
      <xdr:nvSpPr>
        <xdr:cNvPr id="13" name="Скругленный прямоугольни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4342221" y="5946775"/>
          <a:ext cx="1436188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1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1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1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1520</a:t>
          </a:r>
        </a:p>
      </xdr:txBody>
    </xdr:sp>
    <xdr:clientData/>
  </xdr:twoCellAnchor>
  <xdr:twoCellAnchor>
    <xdr:from>
      <xdr:col>2</xdr:col>
      <xdr:colOff>0</xdr:colOff>
      <xdr:row>45</xdr:row>
      <xdr:rowOff>12700</xdr:rowOff>
    </xdr:from>
    <xdr:to>
      <xdr:col>4</xdr:col>
      <xdr:colOff>384629</xdr:colOff>
      <xdr:row>45</xdr:row>
      <xdr:rowOff>177800</xdr:rowOff>
    </xdr:to>
    <xdr:sp macro="" textlink="">
      <xdr:nvSpPr>
        <xdr:cNvPr id="14" name="Скругленный прямоугольни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428625" y="61372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45</xdr:row>
      <xdr:rowOff>12700</xdr:rowOff>
    </xdr:from>
    <xdr:to>
      <xdr:col>6</xdr:col>
      <xdr:colOff>1268458</xdr:colOff>
      <xdr:row>45</xdr:row>
      <xdr:rowOff>177800</xdr:rowOff>
    </xdr:to>
    <xdr:sp macro="" textlink="">
      <xdr:nvSpPr>
        <xdr:cNvPr id="15" name="Скругленный прямоугольник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2496004" y="61372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1293858</xdr:colOff>
      <xdr:row>45</xdr:row>
      <xdr:rowOff>12700</xdr:rowOff>
    </xdr:from>
    <xdr:to>
      <xdr:col>7</xdr:col>
      <xdr:colOff>587284</xdr:colOff>
      <xdr:row>45</xdr:row>
      <xdr:rowOff>177800</xdr:rowOff>
    </xdr:to>
    <xdr:sp macro="" textlink="">
      <xdr:nvSpPr>
        <xdr:cNvPr id="16" name="Скругленный прямоугольник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4303758" y="6137275"/>
          <a:ext cx="147465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1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1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1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1560</a:t>
          </a:r>
        </a:p>
      </xdr:txBody>
    </xdr:sp>
    <xdr:clientData/>
  </xdr:twoCellAnchor>
  <xdr:twoCellAnchor>
    <xdr:from>
      <xdr:col>2</xdr:col>
      <xdr:colOff>0</xdr:colOff>
      <xdr:row>46</xdr:row>
      <xdr:rowOff>12700</xdr:rowOff>
    </xdr:from>
    <xdr:to>
      <xdr:col>4</xdr:col>
      <xdr:colOff>125004</xdr:colOff>
      <xdr:row>46</xdr:row>
      <xdr:rowOff>177800</xdr:rowOff>
    </xdr:to>
    <xdr:sp macro="" textlink="">
      <xdr:nvSpPr>
        <xdr:cNvPr id="17" name="Скругленный прямоугольник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/>
      </xdr:nvSpPr>
      <xdr:spPr>
        <a:xfrm>
          <a:off x="428625" y="63277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4</xdr:col>
      <xdr:colOff>150404</xdr:colOff>
      <xdr:row>46</xdr:row>
      <xdr:rowOff>12700</xdr:rowOff>
    </xdr:from>
    <xdr:to>
      <xdr:col>6</xdr:col>
      <xdr:colOff>1008833</xdr:colOff>
      <xdr:row>46</xdr:row>
      <xdr:rowOff>177800</xdr:rowOff>
    </xdr:to>
    <xdr:sp macro="" textlink="">
      <xdr:nvSpPr>
        <xdr:cNvPr id="18" name="Скругленный прямоугольник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/>
      </xdr:nvSpPr>
      <xdr:spPr>
        <a:xfrm>
          <a:off x="2236379" y="63277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1034233</xdr:colOff>
      <xdr:row>46</xdr:row>
      <xdr:rowOff>12700</xdr:rowOff>
    </xdr:from>
    <xdr:to>
      <xdr:col>7</xdr:col>
      <xdr:colOff>577669</xdr:colOff>
      <xdr:row>46</xdr:row>
      <xdr:rowOff>177800</xdr:rowOff>
    </xdr:to>
    <xdr:sp macro="" textlink="">
      <xdr:nvSpPr>
        <xdr:cNvPr id="19" name="Скругленный прямоугольник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/>
      </xdr:nvSpPr>
      <xdr:spPr>
        <a:xfrm>
          <a:off x="4044133" y="6327775"/>
          <a:ext cx="172466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2</xdr:col>
      <xdr:colOff>0</xdr:colOff>
      <xdr:row>47</xdr:row>
      <xdr:rowOff>12700</xdr:rowOff>
    </xdr:from>
    <xdr:to>
      <xdr:col>4</xdr:col>
      <xdr:colOff>288471</xdr:colOff>
      <xdr:row>47</xdr:row>
      <xdr:rowOff>177800</xdr:rowOff>
    </xdr:to>
    <xdr:sp macro="" textlink="">
      <xdr:nvSpPr>
        <xdr:cNvPr id="20" name="Скругленный прямоугольник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/>
      </xdr:nvSpPr>
      <xdr:spPr>
        <a:xfrm>
          <a:off x="428625" y="6518275"/>
          <a:ext cx="194582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6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6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6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2050</a:t>
          </a:r>
        </a:p>
      </xdr:txBody>
    </xdr:sp>
    <xdr:clientData/>
  </xdr:twoCellAnchor>
  <xdr:twoCellAnchor>
    <xdr:from>
      <xdr:col>4</xdr:col>
      <xdr:colOff>313871</xdr:colOff>
      <xdr:row>47</xdr:row>
      <xdr:rowOff>12700</xdr:rowOff>
    </xdr:from>
    <xdr:to>
      <xdr:col>6</xdr:col>
      <xdr:colOff>1114606</xdr:colOff>
      <xdr:row>47</xdr:row>
      <xdr:rowOff>177800</xdr:rowOff>
    </xdr:to>
    <xdr:sp macro="" textlink="">
      <xdr:nvSpPr>
        <xdr:cNvPr id="21" name="Скругленный прямоугольник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/>
      </xdr:nvSpPr>
      <xdr:spPr>
        <a:xfrm>
          <a:off x="2399846" y="65182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6</xdr:col>
      <xdr:colOff>1140006</xdr:colOff>
      <xdr:row>47</xdr:row>
      <xdr:rowOff>12700</xdr:rowOff>
    </xdr:from>
    <xdr:to>
      <xdr:col>7</xdr:col>
      <xdr:colOff>577669</xdr:colOff>
      <xdr:row>47</xdr:row>
      <xdr:rowOff>177800</xdr:rowOff>
    </xdr:to>
    <xdr:sp macro="" textlink="">
      <xdr:nvSpPr>
        <xdr:cNvPr id="22" name="Скругленный прямоугольник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/>
      </xdr:nvSpPr>
      <xdr:spPr>
        <a:xfrm>
          <a:off x="4149906" y="6518275"/>
          <a:ext cx="1618888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48</xdr:row>
      <xdr:rowOff>12700</xdr:rowOff>
    </xdr:from>
    <xdr:to>
      <xdr:col>4</xdr:col>
      <xdr:colOff>336550</xdr:colOff>
      <xdr:row>48</xdr:row>
      <xdr:rowOff>177800</xdr:rowOff>
    </xdr:to>
    <xdr:sp macro="" textlink="">
      <xdr:nvSpPr>
        <xdr:cNvPr id="23" name="Скругленный прямоугольник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/>
      </xdr:nvSpPr>
      <xdr:spPr>
        <a:xfrm>
          <a:off x="428625" y="6708775"/>
          <a:ext cx="199390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5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5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5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2100</a:t>
          </a:r>
        </a:p>
      </xdr:txBody>
    </xdr:sp>
    <xdr:clientData/>
  </xdr:twoCellAnchor>
  <xdr:twoCellAnchor>
    <xdr:from>
      <xdr:col>4</xdr:col>
      <xdr:colOff>361950</xdr:colOff>
      <xdr:row>48</xdr:row>
      <xdr:rowOff>12700</xdr:rowOff>
    </xdr:from>
    <xdr:to>
      <xdr:col>6</xdr:col>
      <xdr:colOff>1431925</xdr:colOff>
      <xdr:row>48</xdr:row>
      <xdr:rowOff>177800</xdr:rowOff>
    </xdr:to>
    <xdr:sp macro="" textlink="">
      <xdr:nvSpPr>
        <xdr:cNvPr id="24" name="Скругленный прямоугольник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2447925" y="6708775"/>
          <a:ext cx="199390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5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5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5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2100</a:t>
          </a:r>
        </a:p>
      </xdr:txBody>
    </xdr:sp>
    <xdr:clientData/>
  </xdr:twoCellAnchor>
  <xdr:twoCellAnchor>
    <xdr:from>
      <xdr:col>6</xdr:col>
      <xdr:colOff>1457325</xdr:colOff>
      <xdr:row>48</xdr:row>
      <xdr:rowOff>12700</xdr:rowOff>
    </xdr:from>
    <xdr:to>
      <xdr:col>7</xdr:col>
      <xdr:colOff>577669</xdr:colOff>
      <xdr:row>48</xdr:row>
      <xdr:rowOff>177800</xdr:rowOff>
    </xdr:to>
    <xdr:sp macro="" textlink="">
      <xdr:nvSpPr>
        <xdr:cNvPr id="25" name="Скругленный прямоугольник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/>
      </xdr:nvSpPr>
      <xdr:spPr>
        <a:xfrm>
          <a:off x="4467225" y="67087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2</xdr:col>
      <xdr:colOff>0</xdr:colOff>
      <xdr:row>49</xdr:row>
      <xdr:rowOff>12700</xdr:rowOff>
    </xdr:from>
    <xdr:to>
      <xdr:col>4</xdr:col>
      <xdr:colOff>384629</xdr:colOff>
      <xdr:row>49</xdr:row>
      <xdr:rowOff>177800</xdr:rowOff>
    </xdr:to>
    <xdr:sp macro="" textlink="">
      <xdr:nvSpPr>
        <xdr:cNvPr id="26" name="Скругленный прямоугольник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/>
      </xdr:nvSpPr>
      <xdr:spPr>
        <a:xfrm>
          <a:off x="428625" y="68992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49</xdr:row>
      <xdr:rowOff>12700</xdr:rowOff>
    </xdr:from>
    <xdr:to>
      <xdr:col>6</xdr:col>
      <xdr:colOff>1431925</xdr:colOff>
      <xdr:row>49</xdr:row>
      <xdr:rowOff>177800</xdr:rowOff>
    </xdr:to>
    <xdr:sp macro="" textlink="">
      <xdr:nvSpPr>
        <xdr:cNvPr id="27" name="Скругленный прямоугольник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/>
      </xdr:nvSpPr>
      <xdr:spPr>
        <a:xfrm>
          <a:off x="2496004" y="6899275"/>
          <a:ext cx="194582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6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6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6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2050</a:t>
          </a:r>
        </a:p>
      </xdr:txBody>
    </xdr:sp>
    <xdr:clientData/>
  </xdr:twoCellAnchor>
  <xdr:twoCellAnchor>
    <xdr:from>
      <xdr:col>6</xdr:col>
      <xdr:colOff>1457325</xdr:colOff>
      <xdr:row>49</xdr:row>
      <xdr:rowOff>12700</xdr:rowOff>
    </xdr:from>
    <xdr:to>
      <xdr:col>7</xdr:col>
      <xdr:colOff>577669</xdr:colOff>
      <xdr:row>49</xdr:row>
      <xdr:rowOff>177800</xdr:rowOff>
    </xdr:to>
    <xdr:sp macro="" textlink="">
      <xdr:nvSpPr>
        <xdr:cNvPr id="28" name="Скругленный прямоугольник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4467225" y="68992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2</xdr:col>
      <xdr:colOff>0</xdr:colOff>
      <xdr:row>50</xdr:row>
      <xdr:rowOff>12700</xdr:rowOff>
    </xdr:from>
    <xdr:to>
      <xdr:col>4</xdr:col>
      <xdr:colOff>432707</xdr:colOff>
      <xdr:row>50</xdr:row>
      <xdr:rowOff>177800</xdr:rowOff>
    </xdr:to>
    <xdr:sp macro="" textlink="">
      <xdr:nvSpPr>
        <xdr:cNvPr id="29" name="Скругленный прямоугольник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/>
      </xdr:nvSpPr>
      <xdr:spPr>
        <a:xfrm>
          <a:off x="428625" y="7089775"/>
          <a:ext cx="209005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2200</a:t>
          </a:r>
        </a:p>
      </xdr:txBody>
    </xdr:sp>
    <xdr:clientData/>
  </xdr:twoCellAnchor>
  <xdr:twoCellAnchor>
    <xdr:from>
      <xdr:col>4</xdr:col>
      <xdr:colOff>458107</xdr:colOff>
      <xdr:row>50</xdr:row>
      <xdr:rowOff>12700</xdr:rowOff>
    </xdr:from>
    <xdr:to>
      <xdr:col>6</xdr:col>
      <xdr:colOff>1258842</xdr:colOff>
      <xdr:row>50</xdr:row>
      <xdr:rowOff>177800</xdr:rowOff>
    </xdr:to>
    <xdr:sp macro="" textlink="">
      <xdr:nvSpPr>
        <xdr:cNvPr id="30" name="Скругленный прямоугольник 29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/>
      </xdr:nvSpPr>
      <xdr:spPr>
        <a:xfrm>
          <a:off x="2544082" y="70897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6</xdr:col>
      <xdr:colOff>1284242</xdr:colOff>
      <xdr:row>50</xdr:row>
      <xdr:rowOff>12700</xdr:rowOff>
    </xdr:from>
    <xdr:to>
      <xdr:col>7</xdr:col>
      <xdr:colOff>577669</xdr:colOff>
      <xdr:row>50</xdr:row>
      <xdr:rowOff>177800</xdr:rowOff>
    </xdr:to>
    <xdr:sp macro="" textlink="">
      <xdr:nvSpPr>
        <xdr:cNvPr id="31" name="Скругленный прямоугольник 30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/>
      </xdr:nvSpPr>
      <xdr:spPr>
        <a:xfrm>
          <a:off x="4294142" y="7089775"/>
          <a:ext cx="1474652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1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1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1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1560</a:t>
          </a:r>
        </a:p>
      </xdr:txBody>
    </xdr:sp>
    <xdr:clientData/>
  </xdr:twoCellAnchor>
  <xdr:twoCellAnchor>
    <xdr:from>
      <xdr:col>2</xdr:col>
      <xdr:colOff>0</xdr:colOff>
      <xdr:row>51</xdr:row>
      <xdr:rowOff>12700</xdr:rowOff>
    </xdr:from>
    <xdr:to>
      <xdr:col>4</xdr:col>
      <xdr:colOff>432707</xdr:colOff>
      <xdr:row>51</xdr:row>
      <xdr:rowOff>177800</xdr:rowOff>
    </xdr:to>
    <xdr:sp macro="" textlink="">
      <xdr:nvSpPr>
        <xdr:cNvPr id="32" name="Скругленный прямоугольник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/>
      </xdr:nvSpPr>
      <xdr:spPr>
        <a:xfrm>
          <a:off x="428625" y="7280275"/>
          <a:ext cx="209005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2200</a:t>
          </a:r>
        </a:p>
      </xdr:txBody>
    </xdr:sp>
    <xdr:clientData/>
  </xdr:twoCellAnchor>
  <xdr:twoCellAnchor>
    <xdr:from>
      <xdr:col>4</xdr:col>
      <xdr:colOff>458107</xdr:colOff>
      <xdr:row>51</xdr:row>
      <xdr:rowOff>12700</xdr:rowOff>
    </xdr:from>
    <xdr:to>
      <xdr:col>6</xdr:col>
      <xdr:colOff>1431925</xdr:colOff>
      <xdr:row>51</xdr:row>
      <xdr:rowOff>177800</xdr:rowOff>
    </xdr:to>
    <xdr:sp macro="" textlink="">
      <xdr:nvSpPr>
        <xdr:cNvPr id="33" name="Скругленный прямоугольник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/>
      </xdr:nvSpPr>
      <xdr:spPr>
        <a:xfrm>
          <a:off x="2544082" y="7280275"/>
          <a:ext cx="189774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FF" mc:Ignorable="a14" a14:legacySpreadsheetColorIndex="7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FF" mc:Ignorable="a14" a14:legacySpreadsheetColorIndex="7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AA" mc:Ignorable="a14" a14:legacySpreadsheetColorIndex="7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2000</a:t>
          </a:r>
        </a:p>
      </xdr:txBody>
    </xdr:sp>
    <xdr:clientData/>
  </xdr:twoCellAnchor>
  <xdr:twoCellAnchor>
    <xdr:from>
      <xdr:col>6</xdr:col>
      <xdr:colOff>1457325</xdr:colOff>
      <xdr:row>51</xdr:row>
      <xdr:rowOff>12700</xdr:rowOff>
    </xdr:from>
    <xdr:to>
      <xdr:col>7</xdr:col>
      <xdr:colOff>577669</xdr:colOff>
      <xdr:row>51</xdr:row>
      <xdr:rowOff>177800</xdr:rowOff>
    </xdr:to>
    <xdr:sp macro="" textlink="">
      <xdr:nvSpPr>
        <xdr:cNvPr id="34" name="Скругленный прямоугольник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/>
      </xdr:nvSpPr>
      <xdr:spPr>
        <a:xfrm>
          <a:off x="4467225" y="72802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2</xdr:col>
      <xdr:colOff>0</xdr:colOff>
      <xdr:row>52</xdr:row>
      <xdr:rowOff>12700</xdr:rowOff>
    </xdr:from>
    <xdr:to>
      <xdr:col>4</xdr:col>
      <xdr:colOff>384629</xdr:colOff>
      <xdr:row>52</xdr:row>
      <xdr:rowOff>177800</xdr:rowOff>
    </xdr:to>
    <xdr:sp macro="" textlink="">
      <xdr:nvSpPr>
        <xdr:cNvPr id="35" name="Скругленный прямоугольник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/>
      </xdr:nvSpPr>
      <xdr:spPr>
        <a:xfrm>
          <a:off x="428625" y="74707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52</xdr:row>
      <xdr:rowOff>12700</xdr:rowOff>
    </xdr:from>
    <xdr:to>
      <xdr:col>6</xdr:col>
      <xdr:colOff>1104991</xdr:colOff>
      <xdr:row>52</xdr:row>
      <xdr:rowOff>177800</xdr:rowOff>
    </xdr:to>
    <xdr:sp macro="" textlink="">
      <xdr:nvSpPr>
        <xdr:cNvPr id="36" name="Скругленный прямоугольник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/>
      </xdr:nvSpPr>
      <xdr:spPr>
        <a:xfrm>
          <a:off x="2496004" y="74707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6</xdr:col>
      <xdr:colOff>1130391</xdr:colOff>
      <xdr:row>52</xdr:row>
      <xdr:rowOff>12700</xdr:rowOff>
    </xdr:from>
    <xdr:to>
      <xdr:col>7</xdr:col>
      <xdr:colOff>568053</xdr:colOff>
      <xdr:row>52</xdr:row>
      <xdr:rowOff>177800</xdr:rowOff>
    </xdr:to>
    <xdr:sp macro="" textlink="">
      <xdr:nvSpPr>
        <xdr:cNvPr id="37" name="Скругленный прямоугольник 36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/>
      </xdr:nvSpPr>
      <xdr:spPr>
        <a:xfrm>
          <a:off x="4140291" y="74707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53</xdr:row>
      <xdr:rowOff>12700</xdr:rowOff>
    </xdr:from>
    <xdr:to>
      <xdr:col>4</xdr:col>
      <xdr:colOff>375013</xdr:colOff>
      <xdr:row>53</xdr:row>
      <xdr:rowOff>177800</xdr:rowOff>
    </xdr:to>
    <xdr:sp macro="" textlink="">
      <xdr:nvSpPr>
        <xdr:cNvPr id="38" name="Скругленный прямоугольник 37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/>
      </xdr:nvSpPr>
      <xdr:spPr>
        <a:xfrm>
          <a:off x="428625" y="7661275"/>
          <a:ext cx="203236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2140</a:t>
          </a:r>
        </a:p>
      </xdr:txBody>
    </xdr:sp>
    <xdr:clientData/>
  </xdr:twoCellAnchor>
  <xdr:twoCellAnchor>
    <xdr:from>
      <xdr:col>4</xdr:col>
      <xdr:colOff>400413</xdr:colOff>
      <xdr:row>53</xdr:row>
      <xdr:rowOff>12700</xdr:rowOff>
    </xdr:from>
    <xdr:to>
      <xdr:col>6</xdr:col>
      <xdr:colOff>1095375</xdr:colOff>
      <xdr:row>53</xdr:row>
      <xdr:rowOff>177800</xdr:rowOff>
    </xdr:to>
    <xdr:sp macro="" textlink="">
      <xdr:nvSpPr>
        <xdr:cNvPr id="39" name="Скругленный прямоугольник 38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/>
      </xdr:nvSpPr>
      <xdr:spPr>
        <a:xfrm>
          <a:off x="2486388" y="76612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6</xdr:col>
      <xdr:colOff>1120775</xdr:colOff>
      <xdr:row>53</xdr:row>
      <xdr:rowOff>12700</xdr:rowOff>
    </xdr:from>
    <xdr:to>
      <xdr:col>7</xdr:col>
      <xdr:colOff>558437</xdr:colOff>
      <xdr:row>53</xdr:row>
      <xdr:rowOff>177800</xdr:rowOff>
    </xdr:to>
    <xdr:sp macro="" textlink="">
      <xdr:nvSpPr>
        <xdr:cNvPr id="40" name="Скругленный прямоугольник 39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/>
      </xdr:nvSpPr>
      <xdr:spPr>
        <a:xfrm>
          <a:off x="4130675" y="76612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54</xdr:row>
      <xdr:rowOff>12700</xdr:rowOff>
    </xdr:from>
    <xdr:to>
      <xdr:col>4</xdr:col>
      <xdr:colOff>67310</xdr:colOff>
      <xdr:row>54</xdr:row>
      <xdr:rowOff>177800</xdr:rowOff>
    </xdr:to>
    <xdr:sp macro="" textlink="">
      <xdr:nvSpPr>
        <xdr:cNvPr id="41" name="Скругленный прямоугольник 40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/>
      </xdr:nvSpPr>
      <xdr:spPr>
        <a:xfrm>
          <a:off x="428625" y="78517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4</xdr:col>
      <xdr:colOff>92710</xdr:colOff>
      <xdr:row>54</xdr:row>
      <xdr:rowOff>12700</xdr:rowOff>
    </xdr:from>
    <xdr:to>
      <xdr:col>6</xdr:col>
      <xdr:colOff>893445</xdr:colOff>
      <xdr:row>54</xdr:row>
      <xdr:rowOff>177800</xdr:rowOff>
    </xdr:to>
    <xdr:sp macro="" textlink="">
      <xdr:nvSpPr>
        <xdr:cNvPr id="42" name="Скругленный прямоугольник 41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/>
      </xdr:nvSpPr>
      <xdr:spPr>
        <a:xfrm>
          <a:off x="2178685" y="78517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6</xdr:col>
      <xdr:colOff>918845</xdr:colOff>
      <xdr:row>54</xdr:row>
      <xdr:rowOff>12700</xdr:rowOff>
    </xdr:from>
    <xdr:to>
      <xdr:col>7</xdr:col>
      <xdr:colOff>39189</xdr:colOff>
      <xdr:row>54</xdr:row>
      <xdr:rowOff>177800</xdr:rowOff>
    </xdr:to>
    <xdr:sp macro="" textlink="">
      <xdr:nvSpPr>
        <xdr:cNvPr id="43" name="Скругленный прямоугольник 42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/>
      </xdr:nvSpPr>
      <xdr:spPr>
        <a:xfrm>
          <a:off x="3928745" y="78517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7</xdr:col>
      <xdr:colOff>64589</xdr:colOff>
      <xdr:row>54</xdr:row>
      <xdr:rowOff>12700</xdr:rowOff>
    </xdr:from>
    <xdr:to>
      <xdr:col>7</xdr:col>
      <xdr:colOff>596900</xdr:colOff>
      <xdr:row>54</xdr:row>
      <xdr:rowOff>177800</xdr:rowOff>
    </xdr:to>
    <xdr:sp macro="" textlink="">
      <xdr:nvSpPr>
        <xdr:cNvPr id="44" name="Скругленный прямоугольник 43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/>
      </xdr:nvSpPr>
      <xdr:spPr>
        <a:xfrm>
          <a:off x="5255714" y="7851775"/>
          <a:ext cx="53231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Остаток: 580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P/Desktop/1%20&#1055;&#1054;&#1056;&#1058;&#1040;&#1051;/2%20&#1056;&#1072;&#1089;&#1095;&#1077;&#1090;%20&#1055;&#1077;&#1088;&#1077;&#1082;&#1088;&#1099;&#1090;&#1080;&#1081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P/Desktop/1%20&#1089;&#1095;&#1080;&#1090;&#1072;&#1083;&#1082;&#1080;%20&#1089;&#1072;&#1081;&#1090;%20&#1076;&#1077;&#1088;&#1077;&#1074;&#1086;/&#1092;&#1091;&#1085;&#1076;&#1072;&#1084;&#1077;&#1085;&#1090;&#1099;/&#1056;&#1072;&#1089;&#1095;&#1077;&#1090;%20&#1092;&#1091;&#1085;&#1076;&#1072;&#1084;&#1077;&#1085;&#1090;&#1072;%20&#1089;&#1074;&#1072;&#1081;&#1085;&#1086;-&#1088;&#1086;&#1089;&#1090;&#1074;&#1077;&#1088;&#1082;&#1086;&#1074;&#1099;&#1081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1055;&#1086;&#1088;&#1090;&#1072;&#1083;%20&#1089;&#1090;&#1088;&#1086;&#1080;&#1090;&#1077;&#1083;&#1100;&#1089;&#1090;&#1074;&#1086;/1%20&#1057;&#1084;&#1077;&#1090;&#1099;/&#1051;&#1077;&#1085;&#1090;&#1086;&#1095;&#1085;&#1099;&#1081;%20&#1092;&#1091;&#1085;&#1076;&#1072;&#1084;&#1077;&#1085;&#1090;/&#1060;-%20%20&#1040;&#10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ерекрытия"/>
      <sheetName val="данные"/>
      <sheetName val="Л Расчеты"/>
      <sheetName val="Ст-ть Матер-Работа"/>
      <sheetName val="Данные брус"/>
      <sheetName val="Расчет Брус"/>
      <sheetName val="Данные бревно"/>
      <sheetName val="Расчет бревно"/>
      <sheetName val="См Брус КС 145х45мм"/>
      <sheetName val="См Брус КС 145х95"/>
      <sheetName val="Смета ЕВ 145х190"/>
      <sheetName val="Лист2"/>
      <sheetName val="Лист3"/>
      <sheetName val="2 Расчет Перекрытий"/>
    </sheetNames>
    <definedNames>
      <definedName name="Макрос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анные"/>
      <sheetName val="расчеты"/>
      <sheetName val="Ст-сть Матер-Работ"/>
      <sheetName val="смета договор"/>
      <sheetName val="заказ"/>
      <sheetName val="вариант"/>
    </sheetNames>
    <sheetDataSet>
      <sheetData sheetId="0">
        <row r="13">
          <cell r="D13">
            <v>0</v>
          </cell>
        </row>
        <row r="14">
          <cell r="D14">
            <v>0.2</v>
          </cell>
        </row>
        <row r="15">
          <cell r="D15">
            <v>0.2</v>
          </cell>
        </row>
      </sheetData>
      <sheetData sheetId="1">
        <row r="11">
          <cell r="K11">
            <v>1500</v>
          </cell>
        </row>
        <row r="44">
          <cell r="E44" t="str">
            <v>сечение фундамента в мм. ВхШ</v>
          </cell>
        </row>
        <row r="45">
          <cell r="E45" t="str">
            <v>сечение фундамента с учетом перепада грунта в мм. ВхШ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анные"/>
      <sheetName val="расчеты"/>
      <sheetName val="Ст-сть Матер-Работ"/>
      <sheetName val="смета 600х300"/>
      <sheetName val="смета 700х300"/>
      <sheetName val="смета 800х300"/>
      <sheetName val="смета 900х300"/>
      <sheetName val="смета 1000х300"/>
      <sheetName val="смета 600х400"/>
      <sheetName val="смета 700х400"/>
      <sheetName val="смета 800х400"/>
      <sheetName val="смета 900х400"/>
      <sheetName val="смета 1000х400"/>
      <sheetName val="смета 600х500"/>
      <sheetName val="смета 700х500"/>
      <sheetName val="смета 800х500"/>
      <sheetName val="смета 900х500"/>
      <sheetName val="смета 1000х500"/>
      <sheetName val="смета 700х600"/>
      <sheetName val="смета 800х600"/>
      <sheetName val="смета 900х600"/>
      <sheetName val="смета 1000х600"/>
    </sheetNames>
    <sheetDataSet>
      <sheetData sheetId="0">
        <row r="13">
          <cell r="D13"/>
        </row>
        <row r="14">
          <cell r="D14">
            <v>0.2</v>
          </cell>
        </row>
        <row r="15">
          <cell r="D15">
            <v>0.2</v>
          </cell>
        </row>
      </sheetData>
      <sheetData sheetId="1">
        <row r="11">
          <cell r="K11">
            <v>1500</v>
          </cell>
        </row>
        <row r="34">
          <cell r="B34" t="str">
            <v>сечение фундамента в мм. ВхШ</v>
          </cell>
        </row>
        <row r="35">
          <cell r="B35" t="str">
            <v>сечение фундамента с учетом перепада грунта в мм. ВхШ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B2:J22"/>
  <sheetViews>
    <sheetView workbookViewId="0">
      <selection activeCell="L13" sqref="L13"/>
    </sheetView>
  </sheetViews>
  <sheetFormatPr baseColWidth="10" defaultColWidth="8.83203125" defaultRowHeight="15"/>
  <sheetData>
    <row r="2" spans="2:10" ht="32">
      <c r="B2" s="2" t="s">
        <v>0</v>
      </c>
      <c r="C2" s="2" t="s">
        <v>3</v>
      </c>
      <c r="D2" s="2" t="s">
        <v>24</v>
      </c>
      <c r="E2" s="2" t="s">
        <v>4</v>
      </c>
      <c r="F2" s="2" t="s">
        <v>6</v>
      </c>
      <c r="G2" s="2" t="s">
        <v>5</v>
      </c>
      <c r="H2" s="2" t="s">
        <v>25</v>
      </c>
      <c r="I2" s="2" t="s">
        <v>23</v>
      </c>
      <c r="J2" s="2" t="s">
        <v>9</v>
      </c>
    </row>
    <row r="3" spans="2:10">
      <c r="B3" s="12" t="s">
        <v>32</v>
      </c>
      <c r="C3" s="13" t="s">
        <v>33</v>
      </c>
      <c r="D3" s="13">
        <v>5600</v>
      </c>
      <c r="E3" s="14">
        <v>0</v>
      </c>
      <c r="F3" s="14">
        <v>0</v>
      </c>
      <c r="G3" s="13">
        <v>500</v>
      </c>
      <c r="H3" s="13">
        <v>0</v>
      </c>
      <c r="I3" s="14" t="s">
        <v>8</v>
      </c>
      <c r="J3" s="14">
        <v>3</v>
      </c>
    </row>
    <row r="4" spans="2:10">
      <c r="B4" s="12"/>
      <c r="C4" s="13"/>
      <c r="D4" s="13"/>
      <c r="E4" s="14"/>
      <c r="F4" s="14"/>
      <c r="G4" s="13"/>
      <c r="H4" s="13"/>
      <c r="I4" s="14"/>
      <c r="J4" s="14"/>
    </row>
    <row r="5" spans="2:10">
      <c r="B5" s="12"/>
      <c r="C5" s="13"/>
      <c r="D5" s="13"/>
      <c r="E5" s="14"/>
      <c r="F5" s="14"/>
      <c r="G5" s="13"/>
      <c r="H5" s="13"/>
      <c r="I5" s="14"/>
      <c r="J5" s="14"/>
    </row>
    <row r="6" spans="2:10">
      <c r="B6" s="15"/>
      <c r="C6" s="16"/>
      <c r="D6" s="16"/>
      <c r="E6" s="17"/>
      <c r="F6" s="17"/>
      <c r="G6" s="16"/>
      <c r="H6" s="16"/>
      <c r="I6" s="17"/>
      <c r="J6" s="17"/>
    </row>
    <row r="8" spans="2:10">
      <c r="B8" s="1" t="s">
        <v>11</v>
      </c>
      <c r="C8" s="1"/>
      <c r="G8" s="1" t="s">
        <v>10</v>
      </c>
    </row>
    <row r="9" spans="2:10" ht="16">
      <c r="B9" s="3" t="s">
        <v>0</v>
      </c>
      <c r="C9" s="3" t="s">
        <v>12</v>
      </c>
      <c r="D9" s="3" t="s">
        <v>1</v>
      </c>
      <c r="E9" s="3" t="s">
        <v>2</v>
      </c>
      <c r="G9" s="2" t="s">
        <v>0</v>
      </c>
      <c r="H9" s="2" t="s">
        <v>7</v>
      </c>
      <c r="I9" s="2" t="s">
        <v>2</v>
      </c>
    </row>
    <row r="10" spans="2:10">
      <c r="B10" s="10" t="s">
        <v>32</v>
      </c>
      <c r="C10" s="10" t="s">
        <v>34</v>
      </c>
      <c r="D10" s="7">
        <v>5600</v>
      </c>
      <c r="E10" s="7">
        <v>20</v>
      </c>
      <c r="G10" s="6"/>
      <c r="H10" s="7"/>
      <c r="I10" s="7"/>
    </row>
    <row r="11" spans="2:10">
      <c r="B11" s="11" t="s">
        <v>32</v>
      </c>
      <c r="C11" s="11" t="s">
        <v>35</v>
      </c>
      <c r="D11" s="9">
        <v>2150</v>
      </c>
      <c r="E11" s="9">
        <v>18</v>
      </c>
      <c r="G11" s="8"/>
      <c r="H11" s="9"/>
      <c r="I11" s="9"/>
    </row>
    <row r="12" spans="2:10">
      <c r="B12" s="11" t="s">
        <v>32</v>
      </c>
      <c r="C12" s="11" t="s">
        <v>36</v>
      </c>
      <c r="D12" s="9">
        <v>2140</v>
      </c>
      <c r="E12" s="9">
        <v>16</v>
      </c>
      <c r="G12" s="8"/>
      <c r="H12" s="9"/>
      <c r="I12" s="9"/>
    </row>
    <row r="13" spans="2:10">
      <c r="B13" s="11" t="s">
        <v>32</v>
      </c>
      <c r="C13" s="11" t="s">
        <v>37</v>
      </c>
      <c r="D13" s="9">
        <v>2100</v>
      </c>
      <c r="E13" s="9">
        <v>14</v>
      </c>
      <c r="G13" s="8"/>
      <c r="H13" s="9"/>
      <c r="I13" s="9"/>
    </row>
    <row r="14" spans="2:10">
      <c r="B14" s="11" t="s">
        <v>32</v>
      </c>
      <c r="C14" s="11" t="s">
        <v>38</v>
      </c>
      <c r="D14" s="9">
        <v>2050</v>
      </c>
      <c r="E14" s="9">
        <v>12</v>
      </c>
      <c r="G14" s="8"/>
      <c r="H14" s="9"/>
      <c r="I14" s="9"/>
    </row>
    <row r="15" spans="2:10">
      <c r="B15" s="11" t="s">
        <v>32</v>
      </c>
      <c r="C15" s="11" t="s">
        <v>39</v>
      </c>
      <c r="D15" s="9">
        <v>2000</v>
      </c>
      <c r="E15" s="9">
        <v>10</v>
      </c>
      <c r="G15" s="8"/>
      <c r="H15" s="9"/>
      <c r="I15" s="9"/>
    </row>
    <row r="16" spans="2:10">
      <c r="B16" s="11" t="s">
        <v>32</v>
      </c>
      <c r="C16" s="11" t="s">
        <v>40</v>
      </c>
      <c r="D16" s="9">
        <v>1930</v>
      </c>
      <c r="E16" s="9">
        <v>20</v>
      </c>
      <c r="G16" s="8"/>
      <c r="H16" s="9"/>
      <c r="I16" s="9"/>
    </row>
    <row r="17" spans="2:9">
      <c r="B17" s="11" t="s">
        <v>32</v>
      </c>
      <c r="C17" s="11" t="s">
        <v>41</v>
      </c>
      <c r="D17" s="9">
        <v>1880</v>
      </c>
      <c r="E17" s="9">
        <v>18</v>
      </c>
      <c r="G17" s="8"/>
      <c r="H17" s="9"/>
      <c r="I17" s="9"/>
    </row>
    <row r="18" spans="2:9">
      <c r="B18" s="11" t="s">
        <v>32</v>
      </c>
      <c r="C18" s="11" t="s">
        <v>42</v>
      </c>
      <c r="D18" s="9">
        <v>1820</v>
      </c>
      <c r="E18" s="9">
        <v>18</v>
      </c>
      <c r="G18" s="8"/>
      <c r="H18" s="9"/>
      <c r="I18" s="9"/>
    </row>
    <row r="19" spans="2:9">
      <c r="B19" s="11" t="s">
        <v>32</v>
      </c>
      <c r="C19" s="11" t="s">
        <v>43</v>
      </c>
      <c r="D19" s="9">
        <v>1710</v>
      </c>
      <c r="E19" s="9">
        <v>14</v>
      </c>
      <c r="G19" s="8"/>
      <c r="H19" s="9"/>
      <c r="I19" s="9"/>
    </row>
    <row r="20" spans="2:9">
      <c r="B20" s="11" t="s">
        <v>32</v>
      </c>
      <c r="C20" s="11" t="s">
        <v>44</v>
      </c>
      <c r="D20" s="9">
        <v>1560</v>
      </c>
      <c r="E20" s="9">
        <v>12</v>
      </c>
      <c r="G20" s="8"/>
      <c r="H20" s="9"/>
      <c r="I20" s="9"/>
    </row>
    <row r="21" spans="2:9">
      <c r="B21" s="11" t="s">
        <v>32</v>
      </c>
      <c r="C21" s="11" t="s">
        <v>45</v>
      </c>
      <c r="D21" s="9">
        <v>1520</v>
      </c>
      <c r="E21" s="9">
        <v>25</v>
      </c>
      <c r="G21" s="8"/>
      <c r="H21" s="9"/>
      <c r="I21" s="9"/>
    </row>
    <row r="22" spans="2:9">
      <c r="B22" s="11" t="s">
        <v>32</v>
      </c>
      <c r="C22" s="11" t="s">
        <v>46</v>
      </c>
      <c r="D22" s="9">
        <v>1380</v>
      </c>
      <c r="E22" s="9">
        <v>22</v>
      </c>
      <c r="G22" s="8"/>
      <c r="H22" s="9"/>
      <c r="I22" s="9"/>
    </row>
  </sheetData>
  <dataValidations count="4">
    <dataValidation type="list" allowBlank="1" showInputMessage="1" showErrorMessage="1" sqref="J3:J6" xr:uid="{00000000-0002-0000-0200-000000000000}">
      <formula1>"0,1,2,3"</formula1>
    </dataValidation>
    <dataValidation type="list" allowBlank="1" showInputMessage="1" showErrorMessage="1" sqref="I3:I6" xr:uid="{00000000-0002-0000-0200-000001000000}">
      <formula1>"Нет,Да"</formula1>
    </dataValidation>
    <dataValidation type="whole" operator="greaterThanOrEqual" allowBlank="1" showInputMessage="1" showErrorMessage="1" sqref="D3:H6" xr:uid="{00000000-0002-0000-0200-000002000000}">
      <formula1>0</formula1>
    </dataValidation>
    <dataValidation type="list" allowBlank="1" showInputMessage="1" showErrorMessage="1" sqref="G10:G22 B10:B22" xr:uid="{00000000-0002-0000-0200-000003000000}">
      <formula1>Code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3AE5-3F0A-4031-8FC8-2CDD6D2D1F93}">
  <dimension ref="A2:U116"/>
  <sheetViews>
    <sheetView zoomScale="90" zoomScaleNormal="90" workbookViewId="0">
      <selection activeCell="P7" sqref="P7"/>
    </sheetView>
  </sheetViews>
  <sheetFormatPr baseColWidth="10" defaultColWidth="8.83203125" defaultRowHeight="15"/>
  <cols>
    <col min="2" max="2" width="3.1640625" customWidth="1"/>
    <col min="3" max="3" width="17.33203125" customWidth="1"/>
    <col min="4" max="4" width="14.1640625" customWidth="1"/>
    <col min="5" max="5" width="12.33203125" customWidth="1"/>
    <col min="6" max="6" width="10.5" customWidth="1"/>
    <col min="7" max="7" width="14.5" customWidth="1"/>
    <col min="8" max="8" width="13.5" customWidth="1"/>
    <col min="9" max="9" width="14" customWidth="1"/>
    <col min="10" max="10" width="13.1640625" customWidth="1"/>
    <col min="11" max="11" width="13.6640625" customWidth="1"/>
    <col min="12" max="12" width="13.5" customWidth="1"/>
    <col min="13" max="13" width="14.83203125" customWidth="1"/>
    <col min="14" max="14" width="15.5" customWidth="1"/>
    <col min="15" max="15" width="9.83203125" customWidth="1"/>
  </cols>
  <sheetData>
    <row r="2" spans="1:21" ht="20" thickBot="1">
      <c r="C2" s="228" t="s">
        <v>203</v>
      </c>
      <c r="D2" s="229"/>
      <c r="E2" s="229"/>
      <c r="H2" s="230" t="s">
        <v>204</v>
      </c>
    </row>
    <row r="3" spans="1:21" ht="15" customHeight="1" thickTop="1"/>
    <row r="4" spans="1:21" ht="15.5" customHeight="1" thickBot="1">
      <c r="B4" s="151"/>
      <c r="C4" s="151"/>
      <c r="D4" s="151"/>
      <c r="E4" s="151"/>
      <c r="G4" s="151"/>
      <c r="H4" s="151"/>
      <c r="I4" s="151"/>
      <c r="J4" s="151"/>
      <c r="K4" s="151"/>
      <c r="L4" s="151"/>
      <c r="M4" s="151"/>
      <c r="N4" s="151"/>
    </row>
    <row r="5" spans="1:21" ht="29.5" customHeight="1" thickBot="1">
      <c r="B5" s="151"/>
      <c r="C5" s="231" t="s">
        <v>205</v>
      </c>
      <c r="D5" s="232" t="s">
        <v>78</v>
      </c>
      <c r="E5" s="151"/>
      <c r="G5" s="151"/>
      <c r="H5" s="233" t="s">
        <v>79</v>
      </c>
      <c r="I5" s="233" t="s">
        <v>206</v>
      </c>
      <c r="J5" s="233" t="s">
        <v>207</v>
      </c>
      <c r="K5" s="233" t="s">
        <v>208</v>
      </c>
      <c r="L5" s="233" t="s">
        <v>209</v>
      </c>
      <c r="M5" s="233" t="s">
        <v>210</v>
      </c>
      <c r="N5" s="151"/>
    </row>
    <row r="6" spans="1:21" ht="16.25" customHeight="1">
      <c r="B6" s="151"/>
      <c r="C6" s="234" t="s">
        <v>73</v>
      </c>
      <c r="D6" s="235">
        <v>50</v>
      </c>
      <c r="E6" s="236" t="s">
        <v>61</v>
      </c>
      <c r="G6" s="151"/>
      <c r="H6" s="237">
        <v>1</v>
      </c>
      <c r="I6" s="238">
        <f>SUMIF($H$14:$H$114,H6,$I$14:$I$114)</f>
        <v>32</v>
      </c>
      <c r="J6" s="239">
        <f>SUMIF($H$14:$H$114,$H6,$J$14:$J$114)</f>
        <v>1.2080000000000002</v>
      </c>
      <c r="K6" s="239">
        <f>SUMIF($H$14:$H$114,$H6,$L$14:$L$114)</f>
        <v>1.92</v>
      </c>
      <c r="L6" s="240">
        <f>K6-J6</f>
        <v>0.71199999999999974</v>
      </c>
      <c r="M6" s="241">
        <f>IFERROR(L6/K$11,0)</f>
        <v>0.26370370370370366</v>
      </c>
      <c r="N6" s="151"/>
    </row>
    <row r="7" spans="1:21" ht="16.25" customHeight="1">
      <c r="B7" s="151"/>
      <c r="C7" s="242" t="s">
        <v>74</v>
      </c>
      <c r="D7" s="243">
        <v>200</v>
      </c>
      <c r="E7" s="236" t="s">
        <v>61</v>
      </c>
      <c r="G7" s="151"/>
      <c r="H7" s="237">
        <v>2</v>
      </c>
      <c r="I7" s="238">
        <f>SUMIF($H$14:$H$114,H7,$I$14:$I$114)</f>
        <v>27</v>
      </c>
      <c r="J7" s="239">
        <f>SUMIF($H$14:$H$114,$H7,$J$14:$J$114)</f>
        <v>0.65200000000000002</v>
      </c>
      <c r="K7" s="239">
        <f>SUMIF($H$14:$H$114,$H7,$L$14:$L$114)</f>
        <v>0.77999999999999992</v>
      </c>
      <c r="L7" s="240">
        <f t="shared" ref="L7:L9" si="0">K7-J7</f>
        <v>0.12799999999999989</v>
      </c>
      <c r="M7" s="241">
        <f t="shared" ref="M7:M11" si="1">IFERROR(L7/K$11,0)</f>
        <v>4.740740740740737E-2</v>
      </c>
      <c r="N7" s="151"/>
    </row>
    <row r="8" spans="1:21" ht="16.25" customHeight="1" thickBot="1">
      <c r="B8" s="151"/>
      <c r="C8" s="244" t="s">
        <v>1</v>
      </c>
      <c r="D8" s="245">
        <v>6000</v>
      </c>
      <c r="E8" s="236" t="s">
        <v>61</v>
      </c>
      <c r="G8" s="151"/>
      <c r="H8" s="237">
        <v>3</v>
      </c>
      <c r="I8" s="238">
        <f>SUMIF($H$14:$H$114,H8,$I$14:$I$114)</f>
        <v>0</v>
      </c>
      <c r="J8" s="239">
        <f>SUMIF($H$14:$H$114,$H8,$J$14:$J$114)</f>
        <v>0</v>
      </c>
      <c r="K8" s="239">
        <f>SUMIF($H$14:$H$114,$H8,$L$14:$L$114)</f>
        <v>0</v>
      </c>
      <c r="L8" s="240">
        <f t="shared" si="0"/>
        <v>0</v>
      </c>
      <c r="M8" s="241">
        <f t="shared" si="1"/>
        <v>0</v>
      </c>
      <c r="N8" s="151"/>
    </row>
    <row r="9" spans="1:21" ht="16.25" customHeight="1" thickBot="1">
      <c r="B9" s="151"/>
      <c r="C9" s="246" t="s">
        <v>211</v>
      </c>
      <c r="D9" s="247">
        <f>D6*D7*D8/1000000000</f>
        <v>0.06</v>
      </c>
      <c r="E9" s="236" t="s">
        <v>63</v>
      </c>
      <c r="G9" s="151"/>
      <c r="H9" s="237" t="s">
        <v>311</v>
      </c>
      <c r="I9" s="238">
        <f>SUMIF($H$14:$H$114,H9,$I$14:$I$114)</f>
        <v>0</v>
      </c>
      <c r="J9" s="239">
        <f>SUMIF($H$14:$H$114,$H9,$J$14:$J$114)</f>
        <v>0</v>
      </c>
      <c r="K9" s="239">
        <f>SUMIF($H$14:$H$114,$H9,$L$14:$L$114)</f>
        <v>0</v>
      </c>
      <c r="L9" s="240">
        <f t="shared" si="0"/>
        <v>0</v>
      </c>
      <c r="M9" s="241">
        <f t="shared" si="1"/>
        <v>0</v>
      </c>
      <c r="N9" s="151"/>
    </row>
    <row r="10" spans="1:21" ht="16.25" customHeight="1">
      <c r="B10" s="151"/>
      <c r="C10" s="246" t="s">
        <v>212</v>
      </c>
      <c r="D10" s="248">
        <f>S115</f>
        <v>45</v>
      </c>
      <c r="E10" s="236" t="s">
        <v>62</v>
      </c>
      <c r="G10" s="151"/>
      <c r="H10" s="237"/>
      <c r="I10" s="238"/>
      <c r="J10" s="240"/>
      <c r="K10" s="240"/>
      <c r="L10" s="240"/>
      <c r="M10" s="249"/>
      <c r="N10" s="151"/>
    </row>
    <row r="11" spans="1:21" ht="16.25" customHeight="1" thickBot="1">
      <c r="A11" s="405">
        <f>ROW(C114)</f>
        <v>114</v>
      </c>
      <c r="B11" s="151"/>
      <c r="C11" s="250" t="s">
        <v>213</v>
      </c>
      <c r="D11" s="251">
        <f>D9*D10</f>
        <v>2.6999999999999997</v>
      </c>
      <c r="E11" s="236" t="s">
        <v>63</v>
      </c>
      <c r="G11" s="151"/>
      <c r="H11" s="252" t="s">
        <v>80</v>
      </c>
      <c r="I11" s="253">
        <f>SUM(I6:I10)</f>
        <v>59</v>
      </c>
      <c r="J11" s="254">
        <f>SUM(J6:J10)</f>
        <v>1.8600000000000003</v>
      </c>
      <c r="K11" s="254">
        <f>SUM(K6:K10)</f>
        <v>2.6999999999999997</v>
      </c>
      <c r="L11" s="254">
        <f>SUM(L6:L10)</f>
        <v>0.83999999999999964</v>
      </c>
      <c r="M11" s="255">
        <f t="shared" si="1"/>
        <v>0.31111111111111101</v>
      </c>
      <c r="N11" s="151"/>
    </row>
    <row r="12" spans="1:21">
      <c r="B12" s="151"/>
      <c r="C12" s="151"/>
      <c r="D12" s="151"/>
      <c r="E12" s="151"/>
      <c r="G12" s="151"/>
      <c r="H12" s="151"/>
      <c r="I12" s="151"/>
      <c r="J12" s="151"/>
      <c r="K12" s="151"/>
      <c r="L12" s="151"/>
      <c r="M12" s="151"/>
      <c r="N12" s="151"/>
    </row>
    <row r="13" spans="1:21" ht="9" customHeight="1"/>
    <row r="14" spans="1:21" s="256" customFormat="1" ht="51.5" customHeight="1">
      <c r="B14" s="257"/>
      <c r="C14" s="233" t="s">
        <v>214</v>
      </c>
      <c r="D14" s="233" t="s">
        <v>215</v>
      </c>
      <c r="E14" s="233" t="s">
        <v>76</v>
      </c>
      <c r="F14" s="233" t="s">
        <v>216</v>
      </c>
      <c r="G14" s="233" t="s">
        <v>75</v>
      </c>
      <c r="H14" s="233" t="s">
        <v>79</v>
      </c>
      <c r="I14" s="233" t="s">
        <v>77</v>
      </c>
      <c r="J14" s="233" t="s">
        <v>207</v>
      </c>
      <c r="K14" s="233" t="s">
        <v>217</v>
      </c>
      <c r="L14" s="233" t="s">
        <v>208</v>
      </c>
      <c r="M14" s="233" t="s">
        <v>209</v>
      </c>
      <c r="N14" s="233" t="s">
        <v>210</v>
      </c>
      <c r="O14"/>
      <c r="P14" s="1081" t="s">
        <v>76</v>
      </c>
      <c r="Q14" s="258" t="s">
        <v>218</v>
      </c>
      <c r="R14" s="259" t="s">
        <v>77</v>
      </c>
      <c r="S14" s="259" t="s">
        <v>219</v>
      </c>
      <c r="T14" s="259" t="s">
        <v>220</v>
      </c>
      <c r="U14" s="259" t="s">
        <v>221</v>
      </c>
    </row>
    <row r="15" spans="1:21">
      <c r="B15">
        <v>1</v>
      </c>
      <c r="C15" s="260" t="s">
        <v>222</v>
      </c>
      <c r="D15" s="33" t="s">
        <v>64</v>
      </c>
      <c r="E15" s="406">
        <v>3400</v>
      </c>
      <c r="F15" s="406">
        <v>2500</v>
      </c>
      <c r="G15" s="406">
        <v>630</v>
      </c>
      <c r="H15" s="406">
        <v>1</v>
      </c>
      <c r="I15" s="261">
        <f>IFERROR(ROUNDUP(F15/G15,0)+1,0)</f>
        <v>5</v>
      </c>
      <c r="J15" s="261">
        <f>D$6*D$7*E15/1000000000*I15</f>
        <v>0.17</v>
      </c>
      <c r="K15" s="261">
        <f t="shared" ref="K15:K78" si="2">IFERROR(ROUNDDOWN(D$8/E15,0),0)</f>
        <v>1</v>
      </c>
      <c r="L15" s="262">
        <f t="shared" ref="L15:L78" si="3">SUMIF($P$14:$P$115,E15,$U$14:$U$115)*I15</f>
        <v>0.3</v>
      </c>
      <c r="M15" s="263">
        <f t="shared" ref="M15:M78" si="4">(L15-J15)</f>
        <v>0.12999999999999998</v>
      </c>
      <c r="N15" s="264">
        <f t="shared" ref="N15:N78" si="5">IFERROR((L15-J15)/L$115,0)</f>
        <v>4.8148148148148141E-2</v>
      </c>
      <c r="P15" s="1082">
        <v>3400</v>
      </c>
      <c r="Q15" s="265">
        <f t="shared" ref="Q15:Q114" si="6">IFERROR(ROUNDDOWN(D$8/P15,0),0)</f>
        <v>1</v>
      </c>
      <c r="R15" s="261">
        <f t="shared" ref="R15:R78" si="7">SUMIFS($I$14:$I$114,$E$14:$E$114,P15)</f>
        <v>20</v>
      </c>
      <c r="S15" s="266">
        <f>IFERROR(ROUNDUP(R15/Q15,0),0)</f>
        <v>20</v>
      </c>
      <c r="T15" s="266">
        <f t="shared" ref="T15:T114" si="8">S15*D$9</f>
        <v>1.2</v>
      </c>
      <c r="U15" s="266">
        <f>IFERROR(T15/R15,0)</f>
        <v>0.06</v>
      </c>
    </row>
    <row r="16" spans="1:21">
      <c r="B16">
        <v>2</v>
      </c>
      <c r="C16" s="260" t="s">
        <v>222</v>
      </c>
      <c r="D16" s="33" t="s">
        <v>65</v>
      </c>
      <c r="E16" s="406">
        <v>3400</v>
      </c>
      <c r="F16" s="406">
        <v>4300</v>
      </c>
      <c r="G16" s="406">
        <v>630</v>
      </c>
      <c r="H16" s="406">
        <v>1</v>
      </c>
      <c r="I16" s="261">
        <f t="shared" ref="I16:I114" si="9">IFERROR(ROUNDUP(F16/G16,0)+1,0)</f>
        <v>8</v>
      </c>
      <c r="J16" s="261">
        <f t="shared" ref="J16:J79" si="10">D$6*D$7*E16/1000000000*I16</f>
        <v>0.27200000000000002</v>
      </c>
      <c r="K16" s="261">
        <f t="shared" si="2"/>
        <v>1</v>
      </c>
      <c r="L16" s="262">
        <f t="shared" si="3"/>
        <v>0.48</v>
      </c>
      <c r="M16" s="263">
        <f t="shared" si="4"/>
        <v>0.20799999999999996</v>
      </c>
      <c r="N16" s="264">
        <f t="shared" si="5"/>
        <v>7.7037037037037029E-2</v>
      </c>
      <c r="P16" s="1083">
        <v>4400</v>
      </c>
      <c r="Q16" s="265">
        <f t="shared" si="6"/>
        <v>1</v>
      </c>
      <c r="R16" s="261">
        <f t="shared" si="7"/>
        <v>12</v>
      </c>
      <c r="S16" s="266">
        <f>IFERROR(ROUNDUP(R16/Q16,0),0)</f>
        <v>12</v>
      </c>
      <c r="T16" s="266">
        <f t="shared" si="8"/>
        <v>0.72</v>
      </c>
      <c r="U16" s="266">
        <f t="shared" ref="U16:U79" si="11">IFERROR(T16/R16,0)</f>
        <v>0.06</v>
      </c>
    </row>
    <row r="17" spans="2:21">
      <c r="B17">
        <v>3</v>
      </c>
      <c r="C17" s="260" t="s">
        <v>222</v>
      </c>
      <c r="D17" s="33" t="s">
        <v>66</v>
      </c>
      <c r="E17" s="406">
        <v>4400</v>
      </c>
      <c r="F17" s="406">
        <v>6800</v>
      </c>
      <c r="G17" s="406">
        <v>630</v>
      </c>
      <c r="H17" s="406">
        <v>1</v>
      </c>
      <c r="I17" s="261">
        <f t="shared" si="9"/>
        <v>12</v>
      </c>
      <c r="J17" s="261">
        <f t="shared" si="10"/>
        <v>0.52800000000000002</v>
      </c>
      <c r="K17" s="261">
        <f t="shared" si="2"/>
        <v>1</v>
      </c>
      <c r="L17" s="262">
        <f t="shared" si="3"/>
        <v>0.72</v>
      </c>
      <c r="M17" s="263">
        <f t="shared" si="4"/>
        <v>0.19199999999999995</v>
      </c>
      <c r="N17" s="264">
        <f t="shared" si="5"/>
        <v>7.1111111111111097E-2</v>
      </c>
      <c r="P17" s="1083">
        <v>2600</v>
      </c>
      <c r="Q17" s="265">
        <f t="shared" si="6"/>
        <v>2</v>
      </c>
      <c r="R17" s="261">
        <f t="shared" si="7"/>
        <v>22</v>
      </c>
      <c r="S17" s="266">
        <f t="shared" ref="S17:S80" si="12">IFERROR(ROUNDUP(R17/Q17,0),0)</f>
        <v>11</v>
      </c>
      <c r="T17" s="266">
        <f t="shared" si="8"/>
        <v>0.65999999999999992</v>
      </c>
      <c r="U17" s="266">
        <f t="shared" si="11"/>
        <v>2.9999999999999995E-2</v>
      </c>
    </row>
    <row r="18" spans="2:21">
      <c r="B18">
        <v>4</v>
      </c>
      <c r="C18" s="260" t="s">
        <v>222</v>
      </c>
      <c r="D18" s="33" t="s">
        <v>67</v>
      </c>
      <c r="E18" s="406">
        <v>3400</v>
      </c>
      <c r="F18" s="406">
        <v>3400</v>
      </c>
      <c r="G18" s="406">
        <v>630</v>
      </c>
      <c r="H18" s="406">
        <v>1</v>
      </c>
      <c r="I18" s="261">
        <f t="shared" si="9"/>
        <v>7</v>
      </c>
      <c r="J18" s="261">
        <f t="shared" si="10"/>
        <v>0.23800000000000002</v>
      </c>
      <c r="K18" s="261">
        <f t="shared" si="2"/>
        <v>1</v>
      </c>
      <c r="L18" s="262">
        <f t="shared" si="3"/>
        <v>0.42</v>
      </c>
      <c r="M18" s="263">
        <f t="shared" si="4"/>
        <v>0.18199999999999997</v>
      </c>
      <c r="N18" s="264">
        <f t="shared" si="5"/>
        <v>6.7407407407407402E-2</v>
      </c>
      <c r="P18" s="1083">
        <v>1600</v>
      </c>
      <c r="Q18" s="265">
        <f t="shared" si="6"/>
        <v>3</v>
      </c>
      <c r="R18" s="261">
        <f t="shared" si="7"/>
        <v>5</v>
      </c>
      <c r="S18" s="266">
        <f t="shared" si="12"/>
        <v>2</v>
      </c>
      <c r="T18" s="266">
        <f t="shared" si="8"/>
        <v>0.12</v>
      </c>
      <c r="U18" s="266">
        <f t="shared" si="11"/>
        <v>2.4E-2</v>
      </c>
    </row>
    <row r="19" spans="2:21">
      <c r="B19">
        <v>5</v>
      </c>
      <c r="C19" s="260" t="s">
        <v>222</v>
      </c>
      <c r="D19" s="33" t="s">
        <v>68</v>
      </c>
      <c r="E19" s="406">
        <v>2600</v>
      </c>
      <c r="F19" s="406">
        <v>3000</v>
      </c>
      <c r="G19" s="406">
        <v>630</v>
      </c>
      <c r="H19" s="406">
        <v>2</v>
      </c>
      <c r="I19" s="261">
        <f t="shared" si="9"/>
        <v>6</v>
      </c>
      <c r="J19" s="261">
        <f t="shared" si="10"/>
        <v>0.156</v>
      </c>
      <c r="K19" s="261">
        <f t="shared" si="2"/>
        <v>2</v>
      </c>
      <c r="L19" s="262">
        <f t="shared" si="3"/>
        <v>0.17999999999999997</v>
      </c>
      <c r="M19" s="263">
        <f t="shared" si="4"/>
        <v>2.3999999999999966E-2</v>
      </c>
      <c r="N19" s="264">
        <f t="shared" si="5"/>
        <v>8.8888888888888767E-3</v>
      </c>
      <c r="P19" s="1083"/>
      <c r="Q19" s="265">
        <f t="shared" si="6"/>
        <v>0</v>
      </c>
      <c r="R19" s="261">
        <f t="shared" si="7"/>
        <v>0</v>
      </c>
      <c r="S19" s="266">
        <f t="shared" si="12"/>
        <v>0</v>
      </c>
      <c r="T19" s="266">
        <f t="shared" si="8"/>
        <v>0</v>
      </c>
      <c r="U19" s="266">
        <f t="shared" si="11"/>
        <v>0</v>
      </c>
    </row>
    <row r="20" spans="2:21">
      <c r="B20">
        <v>6</v>
      </c>
      <c r="C20" s="260" t="s">
        <v>222</v>
      </c>
      <c r="D20" s="33" t="s">
        <v>69</v>
      </c>
      <c r="E20" s="406">
        <v>2600</v>
      </c>
      <c r="F20" s="406">
        <v>4000</v>
      </c>
      <c r="G20" s="406">
        <v>630</v>
      </c>
      <c r="H20" s="406">
        <v>2</v>
      </c>
      <c r="I20" s="261">
        <f t="shared" si="9"/>
        <v>8</v>
      </c>
      <c r="J20" s="261">
        <f t="shared" si="10"/>
        <v>0.20799999999999999</v>
      </c>
      <c r="K20" s="261">
        <f t="shared" si="2"/>
        <v>2</v>
      </c>
      <c r="L20" s="262">
        <f t="shared" si="3"/>
        <v>0.23999999999999996</v>
      </c>
      <c r="M20" s="263">
        <f t="shared" si="4"/>
        <v>3.1999999999999973E-2</v>
      </c>
      <c r="N20" s="264">
        <f t="shared" si="5"/>
        <v>1.1851851851851843E-2</v>
      </c>
      <c r="P20" s="1083"/>
      <c r="Q20" s="265">
        <f t="shared" si="6"/>
        <v>0</v>
      </c>
      <c r="R20" s="261">
        <f t="shared" si="7"/>
        <v>0</v>
      </c>
      <c r="S20" s="266">
        <f t="shared" si="12"/>
        <v>0</v>
      </c>
      <c r="T20" s="266">
        <f t="shared" si="8"/>
        <v>0</v>
      </c>
      <c r="U20" s="266">
        <f t="shared" si="11"/>
        <v>0</v>
      </c>
    </row>
    <row r="21" spans="2:21">
      <c r="B21">
        <v>7</v>
      </c>
      <c r="C21" s="260" t="s">
        <v>222</v>
      </c>
      <c r="D21" s="33" t="s">
        <v>70</v>
      </c>
      <c r="E21" s="406">
        <v>1600</v>
      </c>
      <c r="F21" s="406">
        <v>2500</v>
      </c>
      <c r="G21" s="406">
        <v>630</v>
      </c>
      <c r="H21" s="406">
        <v>2</v>
      </c>
      <c r="I21" s="261">
        <f t="shared" si="9"/>
        <v>5</v>
      </c>
      <c r="J21" s="261">
        <f t="shared" si="10"/>
        <v>0.08</v>
      </c>
      <c r="K21" s="261">
        <f t="shared" si="2"/>
        <v>3</v>
      </c>
      <c r="L21" s="262">
        <f t="shared" si="3"/>
        <v>0.12</v>
      </c>
      <c r="M21" s="263">
        <f t="shared" si="4"/>
        <v>3.9999999999999994E-2</v>
      </c>
      <c r="N21" s="264">
        <f t="shared" si="5"/>
        <v>1.4814814814814814E-2</v>
      </c>
      <c r="P21" s="1083"/>
      <c r="Q21" s="265">
        <f t="shared" si="6"/>
        <v>0</v>
      </c>
      <c r="R21" s="261">
        <f t="shared" si="7"/>
        <v>0</v>
      </c>
      <c r="S21" s="266">
        <f t="shared" si="12"/>
        <v>0</v>
      </c>
      <c r="T21" s="266">
        <f t="shared" si="8"/>
        <v>0</v>
      </c>
      <c r="U21" s="266">
        <f t="shared" si="11"/>
        <v>0</v>
      </c>
    </row>
    <row r="22" spans="2:21">
      <c r="B22">
        <v>8</v>
      </c>
      <c r="C22" s="260" t="s">
        <v>222</v>
      </c>
      <c r="D22" s="33" t="s">
        <v>71</v>
      </c>
      <c r="E22" s="406">
        <v>2600</v>
      </c>
      <c r="F22" s="406">
        <v>4300</v>
      </c>
      <c r="G22" s="406">
        <v>630</v>
      </c>
      <c r="H22" s="406">
        <v>2</v>
      </c>
      <c r="I22" s="261">
        <f t="shared" si="9"/>
        <v>8</v>
      </c>
      <c r="J22" s="261">
        <f t="shared" si="10"/>
        <v>0.20799999999999999</v>
      </c>
      <c r="K22" s="261">
        <f t="shared" si="2"/>
        <v>2</v>
      </c>
      <c r="L22" s="262">
        <f t="shared" si="3"/>
        <v>0.23999999999999996</v>
      </c>
      <c r="M22" s="263">
        <f t="shared" si="4"/>
        <v>3.1999999999999973E-2</v>
      </c>
      <c r="N22" s="264">
        <f t="shared" si="5"/>
        <v>1.1851851851851843E-2</v>
      </c>
      <c r="P22" s="1083"/>
      <c r="Q22" s="265">
        <f t="shared" si="6"/>
        <v>0</v>
      </c>
      <c r="R22" s="261">
        <f t="shared" si="7"/>
        <v>0</v>
      </c>
      <c r="S22" s="266">
        <f t="shared" si="12"/>
        <v>0</v>
      </c>
      <c r="T22" s="266">
        <f t="shared" si="8"/>
        <v>0</v>
      </c>
      <c r="U22" s="266">
        <f t="shared" si="11"/>
        <v>0</v>
      </c>
    </row>
    <row r="23" spans="2:21">
      <c r="B23">
        <v>9</v>
      </c>
      <c r="C23" s="260" t="s">
        <v>222</v>
      </c>
      <c r="D23" s="33" t="s">
        <v>72</v>
      </c>
      <c r="E23" s="406"/>
      <c r="F23" s="406"/>
      <c r="G23" s="406"/>
      <c r="H23" s="406"/>
      <c r="I23" s="261">
        <f t="shared" si="9"/>
        <v>0</v>
      </c>
      <c r="J23" s="261">
        <f t="shared" si="10"/>
        <v>0</v>
      </c>
      <c r="K23" s="261">
        <f t="shared" si="2"/>
        <v>0</v>
      </c>
      <c r="L23" s="262">
        <f t="shared" si="3"/>
        <v>0</v>
      </c>
      <c r="M23" s="263">
        <f t="shared" si="4"/>
        <v>0</v>
      </c>
      <c r="N23" s="264">
        <f t="shared" si="5"/>
        <v>0</v>
      </c>
      <c r="P23" s="1083"/>
      <c r="Q23" s="265">
        <f t="shared" si="6"/>
        <v>0</v>
      </c>
      <c r="R23" s="261">
        <f t="shared" si="7"/>
        <v>0</v>
      </c>
      <c r="S23" s="266">
        <f t="shared" si="12"/>
        <v>0</v>
      </c>
      <c r="T23" s="266">
        <f t="shared" si="8"/>
        <v>0</v>
      </c>
      <c r="U23" s="266">
        <f t="shared" si="11"/>
        <v>0</v>
      </c>
    </row>
    <row r="24" spans="2:21">
      <c r="B24">
        <v>10</v>
      </c>
      <c r="C24" s="260" t="s">
        <v>222</v>
      </c>
      <c r="D24" s="33" t="s">
        <v>81</v>
      </c>
      <c r="E24" s="406"/>
      <c r="F24" s="406"/>
      <c r="G24" s="406"/>
      <c r="H24" s="406"/>
      <c r="I24" s="261">
        <f t="shared" si="9"/>
        <v>0</v>
      </c>
      <c r="J24" s="261">
        <f t="shared" si="10"/>
        <v>0</v>
      </c>
      <c r="K24" s="261">
        <f t="shared" si="2"/>
        <v>0</v>
      </c>
      <c r="L24" s="262">
        <f t="shared" si="3"/>
        <v>0</v>
      </c>
      <c r="M24" s="263">
        <f t="shared" si="4"/>
        <v>0</v>
      </c>
      <c r="N24" s="264">
        <f t="shared" si="5"/>
        <v>0</v>
      </c>
      <c r="P24" s="1083"/>
      <c r="Q24" s="265">
        <f t="shared" si="6"/>
        <v>0</v>
      </c>
      <c r="R24" s="261">
        <f t="shared" si="7"/>
        <v>0</v>
      </c>
      <c r="S24" s="266">
        <f t="shared" si="12"/>
        <v>0</v>
      </c>
      <c r="T24" s="266">
        <f t="shared" si="8"/>
        <v>0</v>
      </c>
      <c r="U24" s="266">
        <f t="shared" si="11"/>
        <v>0</v>
      </c>
    </row>
    <row r="25" spans="2:21">
      <c r="B25">
        <v>11</v>
      </c>
      <c r="C25" s="260" t="s">
        <v>222</v>
      </c>
      <c r="D25" s="33" t="s">
        <v>82</v>
      </c>
      <c r="E25" s="406"/>
      <c r="F25" s="406"/>
      <c r="G25" s="406"/>
      <c r="H25" s="406"/>
      <c r="I25" s="261">
        <f t="shared" si="9"/>
        <v>0</v>
      </c>
      <c r="J25" s="261">
        <f t="shared" si="10"/>
        <v>0</v>
      </c>
      <c r="K25" s="261">
        <f t="shared" si="2"/>
        <v>0</v>
      </c>
      <c r="L25" s="262">
        <f t="shared" si="3"/>
        <v>0</v>
      </c>
      <c r="M25" s="263">
        <f t="shared" si="4"/>
        <v>0</v>
      </c>
      <c r="N25" s="264">
        <f t="shared" si="5"/>
        <v>0</v>
      </c>
      <c r="P25" s="1083"/>
      <c r="Q25" s="265">
        <f t="shared" si="6"/>
        <v>0</v>
      </c>
      <c r="R25" s="261">
        <f t="shared" si="7"/>
        <v>0</v>
      </c>
      <c r="S25" s="266">
        <f t="shared" si="12"/>
        <v>0</v>
      </c>
      <c r="T25" s="266">
        <f t="shared" si="8"/>
        <v>0</v>
      </c>
      <c r="U25" s="266">
        <f t="shared" si="11"/>
        <v>0</v>
      </c>
    </row>
    <row r="26" spans="2:21">
      <c r="B26">
        <v>12</v>
      </c>
      <c r="C26" s="260" t="s">
        <v>222</v>
      </c>
      <c r="D26" s="33" t="s">
        <v>83</v>
      </c>
      <c r="E26" s="406"/>
      <c r="F26" s="406"/>
      <c r="G26" s="406"/>
      <c r="H26" s="406"/>
      <c r="I26" s="261">
        <f t="shared" si="9"/>
        <v>0</v>
      </c>
      <c r="J26" s="261">
        <f t="shared" si="10"/>
        <v>0</v>
      </c>
      <c r="K26" s="261">
        <f t="shared" si="2"/>
        <v>0</v>
      </c>
      <c r="L26" s="262">
        <f t="shared" si="3"/>
        <v>0</v>
      </c>
      <c r="M26" s="263">
        <f t="shared" si="4"/>
        <v>0</v>
      </c>
      <c r="N26" s="264">
        <f t="shared" si="5"/>
        <v>0</v>
      </c>
      <c r="P26" s="1083"/>
      <c r="Q26" s="265">
        <f t="shared" si="6"/>
        <v>0</v>
      </c>
      <c r="R26" s="261">
        <f t="shared" si="7"/>
        <v>0</v>
      </c>
      <c r="S26" s="266">
        <f t="shared" si="12"/>
        <v>0</v>
      </c>
      <c r="T26" s="266">
        <f t="shared" si="8"/>
        <v>0</v>
      </c>
      <c r="U26" s="266">
        <f t="shared" si="11"/>
        <v>0</v>
      </c>
    </row>
    <row r="27" spans="2:21">
      <c r="B27">
        <v>13</v>
      </c>
      <c r="C27" s="260" t="s">
        <v>222</v>
      </c>
      <c r="D27" s="33" t="s">
        <v>84</v>
      </c>
      <c r="E27" s="406"/>
      <c r="F27" s="406"/>
      <c r="G27" s="406"/>
      <c r="H27" s="406"/>
      <c r="I27" s="261">
        <f t="shared" si="9"/>
        <v>0</v>
      </c>
      <c r="J27" s="261">
        <f t="shared" si="10"/>
        <v>0</v>
      </c>
      <c r="K27" s="261">
        <f t="shared" si="2"/>
        <v>0</v>
      </c>
      <c r="L27" s="262">
        <f t="shared" si="3"/>
        <v>0</v>
      </c>
      <c r="M27" s="263">
        <f t="shared" si="4"/>
        <v>0</v>
      </c>
      <c r="N27" s="264">
        <f t="shared" si="5"/>
        <v>0</v>
      </c>
      <c r="P27" s="1083"/>
      <c r="Q27" s="265">
        <f t="shared" si="6"/>
        <v>0</v>
      </c>
      <c r="R27" s="261">
        <f t="shared" si="7"/>
        <v>0</v>
      </c>
      <c r="S27" s="266">
        <f t="shared" si="12"/>
        <v>0</v>
      </c>
      <c r="T27" s="266">
        <f t="shared" si="8"/>
        <v>0</v>
      </c>
      <c r="U27" s="266">
        <f t="shared" si="11"/>
        <v>0</v>
      </c>
    </row>
    <row r="28" spans="2:21">
      <c r="B28">
        <v>14</v>
      </c>
      <c r="C28" s="260" t="s">
        <v>222</v>
      </c>
      <c r="D28" s="33" t="s">
        <v>223</v>
      </c>
      <c r="E28" s="406"/>
      <c r="F28" s="406"/>
      <c r="G28" s="406"/>
      <c r="H28" s="406"/>
      <c r="I28" s="261">
        <f t="shared" si="9"/>
        <v>0</v>
      </c>
      <c r="J28" s="261">
        <f t="shared" si="10"/>
        <v>0</v>
      </c>
      <c r="K28" s="261">
        <f t="shared" si="2"/>
        <v>0</v>
      </c>
      <c r="L28" s="262">
        <f t="shared" si="3"/>
        <v>0</v>
      </c>
      <c r="M28" s="263">
        <f t="shared" si="4"/>
        <v>0</v>
      </c>
      <c r="N28" s="264">
        <f t="shared" si="5"/>
        <v>0</v>
      </c>
      <c r="P28" s="1083"/>
      <c r="Q28" s="265">
        <f t="shared" si="6"/>
        <v>0</v>
      </c>
      <c r="R28" s="261">
        <f t="shared" si="7"/>
        <v>0</v>
      </c>
      <c r="S28" s="266">
        <f t="shared" si="12"/>
        <v>0</v>
      </c>
      <c r="T28" s="266">
        <f t="shared" si="8"/>
        <v>0</v>
      </c>
      <c r="U28" s="266">
        <f t="shared" si="11"/>
        <v>0</v>
      </c>
    </row>
    <row r="29" spans="2:21">
      <c r="B29">
        <v>15</v>
      </c>
      <c r="C29" s="260" t="s">
        <v>222</v>
      </c>
      <c r="D29" s="33" t="s">
        <v>224</v>
      </c>
      <c r="E29" s="406"/>
      <c r="F29" s="406"/>
      <c r="G29" s="406"/>
      <c r="H29" s="406"/>
      <c r="I29" s="261">
        <f t="shared" si="9"/>
        <v>0</v>
      </c>
      <c r="J29" s="261">
        <f t="shared" si="10"/>
        <v>0</v>
      </c>
      <c r="K29" s="261">
        <f t="shared" si="2"/>
        <v>0</v>
      </c>
      <c r="L29" s="262">
        <f t="shared" si="3"/>
        <v>0</v>
      </c>
      <c r="M29" s="263">
        <f t="shared" si="4"/>
        <v>0</v>
      </c>
      <c r="N29" s="264">
        <f t="shared" si="5"/>
        <v>0</v>
      </c>
      <c r="P29" s="1083"/>
      <c r="Q29" s="265">
        <f t="shared" si="6"/>
        <v>0</v>
      </c>
      <c r="R29" s="261">
        <f t="shared" si="7"/>
        <v>0</v>
      </c>
      <c r="S29" s="266">
        <f t="shared" si="12"/>
        <v>0</v>
      </c>
      <c r="T29" s="266">
        <f t="shared" si="8"/>
        <v>0</v>
      </c>
      <c r="U29" s="266">
        <f t="shared" si="11"/>
        <v>0</v>
      </c>
    </row>
    <row r="30" spans="2:21">
      <c r="B30">
        <v>16</v>
      </c>
      <c r="C30" s="260" t="s">
        <v>222</v>
      </c>
      <c r="D30" s="33" t="s">
        <v>225</v>
      </c>
      <c r="E30" s="406"/>
      <c r="F30" s="406"/>
      <c r="G30" s="406"/>
      <c r="H30" s="406"/>
      <c r="I30" s="261">
        <f t="shared" si="9"/>
        <v>0</v>
      </c>
      <c r="J30" s="261">
        <f t="shared" si="10"/>
        <v>0</v>
      </c>
      <c r="K30" s="261">
        <f t="shared" si="2"/>
        <v>0</v>
      </c>
      <c r="L30" s="262">
        <f t="shared" si="3"/>
        <v>0</v>
      </c>
      <c r="M30" s="263">
        <f t="shared" si="4"/>
        <v>0</v>
      </c>
      <c r="N30" s="264">
        <f t="shared" si="5"/>
        <v>0</v>
      </c>
      <c r="P30" s="1083"/>
      <c r="Q30" s="265">
        <f t="shared" si="6"/>
        <v>0</v>
      </c>
      <c r="R30" s="261">
        <f t="shared" si="7"/>
        <v>0</v>
      </c>
      <c r="S30" s="266">
        <f t="shared" si="12"/>
        <v>0</v>
      </c>
      <c r="T30" s="266">
        <f t="shared" si="8"/>
        <v>0</v>
      </c>
      <c r="U30" s="266">
        <f t="shared" si="11"/>
        <v>0</v>
      </c>
    </row>
    <row r="31" spans="2:21">
      <c r="B31">
        <v>17</v>
      </c>
      <c r="C31" s="260" t="s">
        <v>222</v>
      </c>
      <c r="D31" s="33" t="s">
        <v>226</v>
      </c>
      <c r="E31" s="406"/>
      <c r="F31" s="406"/>
      <c r="G31" s="406"/>
      <c r="H31" s="406"/>
      <c r="I31" s="261">
        <f t="shared" si="9"/>
        <v>0</v>
      </c>
      <c r="J31" s="261">
        <f t="shared" si="10"/>
        <v>0</v>
      </c>
      <c r="K31" s="261">
        <f t="shared" si="2"/>
        <v>0</v>
      </c>
      <c r="L31" s="262">
        <f t="shared" si="3"/>
        <v>0</v>
      </c>
      <c r="M31" s="263">
        <f t="shared" si="4"/>
        <v>0</v>
      </c>
      <c r="N31" s="264">
        <f t="shared" si="5"/>
        <v>0</v>
      </c>
      <c r="P31" s="1083"/>
      <c r="Q31" s="265">
        <f t="shared" si="6"/>
        <v>0</v>
      </c>
      <c r="R31" s="261">
        <f t="shared" si="7"/>
        <v>0</v>
      </c>
      <c r="S31" s="266">
        <f t="shared" si="12"/>
        <v>0</v>
      </c>
      <c r="T31" s="266">
        <f t="shared" si="8"/>
        <v>0</v>
      </c>
      <c r="U31" s="266">
        <f t="shared" si="11"/>
        <v>0</v>
      </c>
    </row>
    <row r="32" spans="2:21">
      <c r="B32">
        <v>18</v>
      </c>
      <c r="C32" s="260" t="s">
        <v>222</v>
      </c>
      <c r="D32" s="33" t="s">
        <v>227</v>
      </c>
      <c r="E32" s="406"/>
      <c r="F32" s="406"/>
      <c r="G32" s="406"/>
      <c r="H32" s="406"/>
      <c r="I32" s="261">
        <f t="shared" si="9"/>
        <v>0</v>
      </c>
      <c r="J32" s="261">
        <f t="shared" si="10"/>
        <v>0</v>
      </c>
      <c r="K32" s="261">
        <f t="shared" si="2"/>
        <v>0</v>
      </c>
      <c r="L32" s="262">
        <f t="shared" si="3"/>
        <v>0</v>
      </c>
      <c r="M32" s="263">
        <f t="shared" si="4"/>
        <v>0</v>
      </c>
      <c r="N32" s="264">
        <f t="shared" si="5"/>
        <v>0</v>
      </c>
      <c r="P32" s="1083"/>
      <c r="Q32" s="265">
        <f t="shared" si="6"/>
        <v>0</v>
      </c>
      <c r="R32" s="261">
        <f t="shared" si="7"/>
        <v>0</v>
      </c>
      <c r="S32" s="266">
        <f t="shared" si="12"/>
        <v>0</v>
      </c>
      <c r="T32" s="266">
        <f t="shared" si="8"/>
        <v>0</v>
      </c>
      <c r="U32" s="266">
        <f t="shared" si="11"/>
        <v>0</v>
      </c>
    </row>
    <row r="33" spans="2:21">
      <c r="B33">
        <v>19</v>
      </c>
      <c r="C33" s="260" t="s">
        <v>222</v>
      </c>
      <c r="D33" s="33" t="s">
        <v>228</v>
      </c>
      <c r="E33" s="406"/>
      <c r="F33" s="406"/>
      <c r="G33" s="406"/>
      <c r="H33" s="406"/>
      <c r="I33" s="261">
        <f t="shared" si="9"/>
        <v>0</v>
      </c>
      <c r="J33" s="261">
        <f t="shared" si="10"/>
        <v>0</v>
      </c>
      <c r="K33" s="261">
        <f t="shared" si="2"/>
        <v>0</v>
      </c>
      <c r="L33" s="262">
        <f t="shared" si="3"/>
        <v>0</v>
      </c>
      <c r="M33" s="263">
        <f t="shared" si="4"/>
        <v>0</v>
      </c>
      <c r="N33" s="264">
        <f t="shared" si="5"/>
        <v>0</v>
      </c>
      <c r="P33" s="1083"/>
      <c r="Q33" s="265">
        <f t="shared" si="6"/>
        <v>0</v>
      </c>
      <c r="R33" s="261">
        <f t="shared" si="7"/>
        <v>0</v>
      </c>
      <c r="S33" s="266">
        <f t="shared" si="12"/>
        <v>0</v>
      </c>
      <c r="T33" s="266">
        <f t="shared" si="8"/>
        <v>0</v>
      </c>
      <c r="U33" s="266">
        <f t="shared" si="11"/>
        <v>0</v>
      </c>
    </row>
    <row r="34" spans="2:21">
      <c r="B34">
        <v>20</v>
      </c>
      <c r="C34" s="260" t="s">
        <v>222</v>
      </c>
      <c r="D34" s="33" t="s">
        <v>229</v>
      </c>
      <c r="E34" s="406"/>
      <c r="F34" s="406"/>
      <c r="G34" s="406"/>
      <c r="H34" s="406"/>
      <c r="I34" s="261">
        <f t="shared" si="9"/>
        <v>0</v>
      </c>
      <c r="J34" s="261">
        <f t="shared" si="10"/>
        <v>0</v>
      </c>
      <c r="K34" s="261">
        <f t="shared" si="2"/>
        <v>0</v>
      </c>
      <c r="L34" s="262">
        <f t="shared" si="3"/>
        <v>0</v>
      </c>
      <c r="M34" s="263">
        <f t="shared" si="4"/>
        <v>0</v>
      </c>
      <c r="N34" s="264">
        <f t="shared" si="5"/>
        <v>0</v>
      </c>
      <c r="P34" s="1083"/>
      <c r="Q34" s="265">
        <f t="shared" si="6"/>
        <v>0</v>
      </c>
      <c r="R34" s="261">
        <f t="shared" si="7"/>
        <v>0</v>
      </c>
      <c r="S34" s="266">
        <f t="shared" si="12"/>
        <v>0</v>
      </c>
      <c r="T34" s="266">
        <f t="shared" si="8"/>
        <v>0</v>
      </c>
      <c r="U34" s="266">
        <f t="shared" si="11"/>
        <v>0</v>
      </c>
    </row>
    <row r="35" spans="2:21">
      <c r="B35">
        <v>21</v>
      </c>
      <c r="C35" s="260" t="s">
        <v>222</v>
      </c>
      <c r="D35" s="33" t="s">
        <v>230</v>
      </c>
      <c r="E35" s="406"/>
      <c r="F35" s="406"/>
      <c r="G35" s="406"/>
      <c r="H35" s="406"/>
      <c r="I35" s="261">
        <f t="shared" si="9"/>
        <v>0</v>
      </c>
      <c r="J35" s="261">
        <f t="shared" si="10"/>
        <v>0</v>
      </c>
      <c r="K35" s="261">
        <f t="shared" si="2"/>
        <v>0</v>
      </c>
      <c r="L35" s="262">
        <f t="shared" si="3"/>
        <v>0</v>
      </c>
      <c r="M35" s="263">
        <f t="shared" si="4"/>
        <v>0</v>
      </c>
      <c r="N35" s="264">
        <f t="shared" si="5"/>
        <v>0</v>
      </c>
      <c r="P35" s="1083"/>
      <c r="Q35" s="265">
        <f t="shared" si="6"/>
        <v>0</v>
      </c>
      <c r="R35" s="261">
        <f t="shared" si="7"/>
        <v>0</v>
      </c>
      <c r="S35" s="266">
        <f t="shared" si="12"/>
        <v>0</v>
      </c>
      <c r="T35" s="266">
        <f t="shared" si="8"/>
        <v>0</v>
      </c>
      <c r="U35" s="266">
        <f t="shared" si="11"/>
        <v>0</v>
      </c>
    </row>
    <row r="36" spans="2:21">
      <c r="B36">
        <v>22</v>
      </c>
      <c r="C36" s="260" t="s">
        <v>222</v>
      </c>
      <c r="D36" s="33" t="s">
        <v>231</v>
      </c>
      <c r="E36" s="406"/>
      <c r="F36" s="406"/>
      <c r="G36" s="406"/>
      <c r="H36" s="406"/>
      <c r="I36" s="261">
        <f t="shared" si="9"/>
        <v>0</v>
      </c>
      <c r="J36" s="261">
        <f t="shared" si="10"/>
        <v>0</v>
      </c>
      <c r="K36" s="261">
        <f t="shared" si="2"/>
        <v>0</v>
      </c>
      <c r="L36" s="262">
        <f t="shared" si="3"/>
        <v>0</v>
      </c>
      <c r="M36" s="263">
        <f t="shared" si="4"/>
        <v>0</v>
      </c>
      <c r="N36" s="264">
        <f t="shared" si="5"/>
        <v>0</v>
      </c>
      <c r="P36" s="1083"/>
      <c r="Q36" s="265">
        <f t="shared" si="6"/>
        <v>0</v>
      </c>
      <c r="R36" s="261">
        <f t="shared" si="7"/>
        <v>0</v>
      </c>
      <c r="S36" s="266">
        <f t="shared" si="12"/>
        <v>0</v>
      </c>
      <c r="T36" s="266">
        <f t="shared" si="8"/>
        <v>0</v>
      </c>
      <c r="U36" s="266">
        <f t="shared" si="11"/>
        <v>0</v>
      </c>
    </row>
    <row r="37" spans="2:21">
      <c r="B37">
        <v>23</v>
      </c>
      <c r="C37" s="260" t="s">
        <v>222</v>
      </c>
      <c r="D37" s="33" t="s">
        <v>232</v>
      </c>
      <c r="E37" s="406"/>
      <c r="F37" s="406"/>
      <c r="G37" s="406"/>
      <c r="H37" s="406"/>
      <c r="I37" s="261">
        <f t="shared" si="9"/>
        <v>0</v>
      </c>
      <c r="J37" s="261">
        <f t="shared" si="10"/>
        <v>0</v>
      </c>
      <c r="K37" s="261">
        <f t="shared" si="2"/>
        <v>0</v>
      </c>
      <c r="L37" s="262">
        <f t="shared" si="3"/>
        <v>0</v>
      </c>
      <c r="M37" s="263">
        <f t="shared" si="4"/>
        <v>0</v>
      </c>
      <c r="N37" s="264">
        <f t="shared" si="5"/>
        <v>0</v>
      </c>
      <c r="P37" s="1083"/>
      <c r="Q37" s="265">
        <f t="shared" si="6"/>
        <v>0</v>
      </c>
      <c r="R37" s="261">
        <f t="shared" si="7"/>
        <v>0</v>
      </c>
      <c r="S37" s="266">
        <f t="shared" si="12"/>
        <v>0</v>
      </c>
      <c r="T37" s="266">
        <f t="shared" si="8"/>
        <v>0</v>
      </c>
      <c r="U37" s="266">
        <f t="shared" si="11"/>
        <v>0</v>
      </c>
    </row>
    <row r="38" spans="2:21">
      <c r="B38">
        <v>24</v>
      </c>
      <c r="C38" s="260" t="s">
        <v>222</v>
      </c>
      <c r="D38" s="33" t="s">
        <v>233</v>
      </c>
      <c r="E38" s="406"/>
      <c r="F38" s="406"/>
      <c r="G38" s="406"/>
      <c r="H38" s="406"/>
      <c r="I38" s="261">
        <f t="shared" si="9"/>
        <v>0</v>
      </c>
      <c r="J38" s="261">
        <f t="shared" si="10"/>
        <v>0</v>
      </c>
      <c r="K38" s="261">
        <f t="shared" si="2"/>
        <v>0</v>
      </c>
      <c r="L38" s="262">
        <f t="shared" si="3"/>
        <v>0</v>
      </c>
      <c r="M38" s="263">
        <f t="shared" si="4"/>
        <v>0</v>
      </c>
      <c r="N38" s="264">
        <f t="shared" si="5"/>
        <v>0</v>
      </c>
      <c r="P38" s="1083"/>
      <c r="Q38" s="265">
        <f t="shared" si="6"/>
        <v>0</v>
      </c>
      <c r="R38" s="261">
        <f t="shared" si="7"/>
        <v>0</v>
      </c>
      <c r="S38" s="266">
        <f t="shared" si="12"/>
        <v>0</v>
      </c>
      <c r="T38" s="266">
        <f t="shared" si="8"/>
        <v>0</v>
      </c>
      <c r="U38" s="266">
        <f t="shared" si="11"/>
        <v>0</v>
      </c>
    </row>
    <row r="39" spans="2:21">
      <c r="B39">
        <v>25</v>
      </c>
      <c r="C39" s="260" t="s">
        <v>222</v>
      </c>
      <c r="D39" s="33" t="s">
        <v>234</v>
      </c>
      <c r="E39" s="406"/>
      <c r="F39" s="406"/>
      <c r="G39" s="406"/>
      <c r="H39" s="406"/>
      <c r="I39" s="261">
        <f t="shared" si="9"/>
        <v>0</v>
      </c>
      <c r="J39" s="261">
        <f t="shared" si="10"/>
        <v>0</v>
      </c>
      <c r="K39" s="261">
        <f t="shared" si="2"/>
        <v>0</v>
      </c>
      <c r="L39" s="262">
        <f t="shared" si="3"/>
        <v>0</v>
      </c>
      <c r="M39" s="263">
        <f t="shared" si="4"/>
        <v>0</v>
      </c>
      <c r="N39" s="264">
        <f t="shared" si="5"/>
        <v>0</v>
      </c>
      <c r="P39" s="1083"/>
      <c r="Q39" s="265">
        <f t="shared" si="6"/>
        <v>0</v>
      </c>
      <c r="R39" s="261">
        <f t="shared" si="7"/>
        <v>0</v>
      </c>
      <c r="S39" s="266">
        <f t="shared" si="12"/>
        <v>0</v>
      </c>
      <c r="T39" s="266">
        <f t="shared" si="8"/>
        <v>0</v>
      </c>
      <c r="U39" s="266">
        <f t="shared" si="11"/>
        <v>0</v>
      </c>
    </row>
    <row r="40" spans="2:21">
      <c r="B40">
        <v>26</v>
      </c>
      <c r="C40" s="260" t="s">
        <v>222</v>
      </c>
      <c r="D40" s="33" t="s">
        <v>235</v>
      </c>
      <c r="E40" s="406"/>
      <c r="F40" s="406"/>
      <c r="G40" s="406"/>
      <c r="H40" s="406"/>
      <c r="I40" s="261">
        <f t="shared" si="9"/>
        <v>0</v>
      </c>
      <c r="J40" s="261">
        <f t="shared" si="10"/>
        <v>0</v>
      </c>
      <c r="K40" s="261">
        <f t="shared" si="2"/>
        <v>0</v>
      </c>
      <c r="L40" s="262">
        <f t="shared" si="3"/>
        <v>0</v>
      </c>
      <c r="M40" s="263">
        <f t="shared" si="4"/>
        <v>0</v>
      </c>
      <c r="N40" s="264">
        <f t="shared" si="5"/>
        <v>0</v>
      </c>
      <c r="P40" s="1083"/>
      <c r="Q40" s="265">
        <f t="shared" si="6"/>
        <v>0</v>
      </c>
      <c r="R40" s="261">
        <f t="shared" si="7"/>
        <v>0</v>
      </c>
      <c r="S40" s="266">
        <f t="shared" si="12"/>
        <v>0</v>
      </c>
      <c r="T40" s="266">
        <f t="shared" si="8"/>
        <v>0</v>
      </c>
      <c r="U40" s="266">
        <f t="shared" si="11"/>
        <v>0</v>
      </c>
    </row>
    <row r="41" spans="2:21">
      <c r="B41">
        <v>27</v>
      </c>
      <c r="C41" s="260" t="s">
        <v>222</v>
      </c>
      <c r="D41" s="33" t="s">
        <v>236</v>
      </c>
      <c r="E41" s="406"/>
      <c r="F41" s="406"/>
      <c r="G41" s="406"/>
      <c r="H41" s="406"/>
      <c r="I41" s="261">
        <f t="shared" si="9"/>
        <v>0</v>
      </c>
      <c r="J41" s="261">
        <f t="shared" si="10"/>
        <v>0</v>
      </c>
      <c r="K41" s="261">
        <f t="shared" si="2"/>
        <v>0</v>
      </c>
      <c r="L41" s="262">
        <f t="shared" si="3"/>
        <v>0</v>
      </c>
      <c r="M41" s="263">
        <f t="shared" si="4"/>
        <v>0</v>
      </c>
      <c r="N41" s="264">
        <f t="shared" si="5"/>
        <v>0</v>
      </c>
      <c r="P41" s="1083"/>
      <c r="Q41" s="265">
        <f t="shared" si="6"/>
        <v>0</v>
      </c>
      <c r="R41" s="261">
        <f t="shared" si="7"/>
        <v>0</v>
      </c>
      <c r="S41" s="266">
        <f t="shared" si="12"/>
        <v>0</v>
      </c>
      <c r="T41" s="266">
        <f t="shared" si="8"/>
        <v>0</v>
      </c>
      <c r="U41" s="266">
        <f t="shared" si="11"/>
        <v>0</v>
      </c>
    </row>
    <row r="42" spans="2:21">
      <c r="B42">
        <v>28</v>
      </c>
      <c r="C42" s="260" t="s">
        <v>222</v>
      </c>
      <c r="D42" s="33" t="s">
        <v>237</v>
      </c>
      <c r="E42" s="406"/>
      <c r="F42" s="406"/>
      <c r="G42" s="406"/>
      <c r="H42" s="406"/>
      <c r="I42" s="261">
        <f t="shared" si="9"/>
        <v>0</v>
      </c>
      <c r="J42" s="261">
        <f t="shared" si="10"/>
        <v>0</v>
      </c>
      <c r="K42" s="261">
        <f t="shared" si="2"/>
        <v>0</v>
      </c>
      <c r="L42" s="262">
        <f t="shared" si="3"/>
        <v>0</v>
      </c>
      <c r="M42" s="263">
        <f t="shared" si="4"/>
        <v>0</v>
      </c>
      <c r="N42" s="264">
        <f t="shared" si="5"/>
        <v>0</v>
      </c>
      <c r="P42" s="1083"/>
      <c r="Q42" s="265">
        <f t="shared" si="6"/>
        <v>0</v>
      </c>
      <c r="R42" s="261">
        <f t="shared" si="7"/>
        <v>0</v>
      </c>
      <c r="S42" s="266">
        <f t="shared" si="12"/>
        <v>0</v>
      </c>
      <c r="T42" s="266">
        <f t="shared" si="8"/>
        <v>0</v>
      </c>
      <c r="U42" s="266">
        <f t="shared" si="11"/>
        <v>0</v>
      </c>
    </row>
    <row r="43" spans="2:21">
      <c r="B43">
        <v>29</v>
      </c>
      <c r="C43" s="260" t="s">
        <v>222</v>
      </c>
      <c r="D43" s="33" t="s">
        <v>238</v>
      </c>
      <c r="E43" s="406"/>
      <c r="F43" s="406"/>
      <c r="G43" s="406"/>
      <c r="H43" s="406"/>
      <c r="I43" s="261">
        <f t="shared" si="9"/>
        <v>0</v>
      </c>
      <c r="J43" s="261">
        <f t="shared" si="10"/>
        <v>0</v>
      </c>
      <c r="K43" s="261">
        <f t="shared" si="2"/>
        <v>0</v>
      </c>
      <c r="L43" s="262">
        <f t="shared" si="3"/>
        <v>0</v>
      </c>
      <c r="M43" s="263">
        <f t="shared" si="4"/>
        <v>0</v>
      </c>
      <c r="N43" s="264">
        <f t="shared" si="5"/>
        <v>0</v>
      </c>
      <c r="P43" s="1083"/>
      <c r="Q43" s="265">
        <f t="shared" si="6"/>
        <v>0</v>
      </c>
      <c r="R43" s="261">
        <f t="shared" si="7"/>
        <v>0</v>
      </c>
      <c r="S43" s="266">
        <f t="shared" si="12"/>
        <v>0</v>
      </c>
      <c r="T43" s="266">
        <f t="shared" si="8"/>
        <v>0</v>
      </c>
      <c r="U43" s="266">
        <f t="shared" si="11"/>
        <v>0</v>
      </c>
    </row>
    <row r="44" spans="2:21">
      <c r="B44">
        <v>30</v>
      </c>
      <c r="C44" s="260" t="s">
        <v>222</v>
      </c>
      <c r="D44" s="33" t="s">
        <v>239</v>
      </c>
      <c r="E44" s="406"/>
      <c r="F44" s="406"/>
      <c r="G44" s="406"/>
      <c r="H44" s="406"/>
      <c r="I44" s="261">
        <f t="shared" si="9"/>
        <v>0</v>
      </c>
      <c r="J44" s="261">
        <f t="shared" si="10"/>
        <v>0</v>
      </c>
      <c r="K44" s="261">
        <f t="shared" si="2"/>
        <v>0</v>
      </c>
      <c r="L44" s="262">
        <f t="shared" si="3"/>
        <v>0</v>
      </c>
      <c r="M44" s="263">
        <f t="shared" si="4"/>
        <v>0</v>
      </c>
      <c r="N44" s="264">
        <f t="shared" si="5"/>
        <v>0</v>
      </c>
      <c r="P44" s="1083"/>
      <c r="Q44" s="265">
        <f t="shared" si="6"/>
        <v>0</v>
      </c>
      <c r="R44" s="261">
        <f t="shared" si="7"/>
        <v>0</v>
      </c>
      <c r="S44" s="266">
        <f t="shared" si="12"/>
        <v>0</v>
      </c>
      <c r="T44" s="266">
        <f t="shared" si="8"/>
        <v>0</v>
      </c>
      <c r="U44" s="266">
        <f t="shared" si="11"/>
        <v>0</v>
      </c>
    </row>
    <row r="45" spans="2:21">
      <c r="B45">
        <v>31</v>
      </c>
      <c r="C45" s="260" t="s">
        <v>222</v>
      </c>
      <c r="D45" s="33" t="s">
        <v>240</v>
      </c>
      <c r="E45" s="406"/>
      <c r="F45" s="406"/>
      <c r="G45" s="406"/>
      <c r="H45" s="406"/>
      <c r="I45" s="261">
        <f t="shared" si="9"/>
        <v>0</v>
      </c>
      <c r="J45" s="261">
        <f t="shared" si="10"/>
        <v>0</v>
      </c>
      <c r="K45" s="261">
        <f t="shared" si="2"/>
        <v>0</v>
      </c>
      <c r="L45" s="262">
        <f t="shared" si="3"/>
        <v>0</v>
      </c>
      <c r="M45" s="263">
        <f t="shared" si="4"/>
        <v>0</v>
      </c>
      <c r="N45" s="264">
        <f t="shared" si="5"/>
        <v>0</v>
      </c>
      <c r="P45" s="1083"/>
      <c r="Q45" s="265">
        <f t="shared" si="6"/>
        <v>0</v>
      </c>
      <c r="R45" s="261">
        <f t="shared" si="7"/>
        <v>0</v>
      </c>
      <c r="S45" s="266">
        <f t="shared" si="12"/>
        <v>0</v>
      </c>
      <c r="T45" s="266">
        <f t="shared" si="8"/>
        <v>0</v>
      </c>
      <c r="U45" s="266">
        <f t="shared" si="11"/>
        <v>0</v>
      </c>
    </row>
    <row r="46" spans="2:21">
      <c r="B46">
        <v>32</v>
      </c>
      <c r="C46" s="260" t="s">
        <v>222</v>
      </c>
      <c r="D46" s="33" t="s">
        <v>241</v>
      </c>
      <c r="E46" s="406"/>
      <c r="F46" s="406"/>
      <c r="G46" s="406"/>
      <c r="H46" s="406"/>
      <c r="I46" s="261">
        <f t="shared" si="9"/>
        <v>0</v>
      </c>
      <c r="J46" s="261">
        <f t="shared" si="10"/>
        <v>0</v>
      </c>
      <c r="K46" s="261">
        <f t="shared" si="2"/>
        <v>0</v>
      </c>
      <c r="L46" s="262">
        <f t="shared" si="3"/>
        <v>0</v>
      </c>
      <c r="M46" s="263">
        <f t="shared" si="4"/>
        <v>0</v>
      </c>
      <c r="N46" s="264">
        <f t="shared" si="5"/>
        <v>0</v>
      </c>
      <c r="P46" s="1083"/>
      <c r="Q46" s="265">
        <f t="shared" si="6"/>
        <v>0</v>
      </c>
      <c r="R46" s="261">
        <f t="shared" si="7"/>
        <v>0</v>
      </c>
      <c r="S46" s="266">
        <f t="shared" si="12"/>
        <v>0</v>
      </c>
      <c r="T46" s="266">
        <f t="shared" si="8"/>
        <v>0</v>
      </c>
      <c r="U46" s="266">
        <f t="shared" si="11"/>
        <v>0</v>
      </c>
    </row>
    <row r="47" spans="2:21">
      <c r="B47">
        <v>33</v>
      </c>
      <c r="C47" s="260" t="s">
        <v>222</v>
      </c>
      <c r="D47" s="33" t="s">
        <v>242</v>
      </c>
      <c r="E47" s="406"/>
      <c r="F47" s="406"/>
      <c r="G47" s="406"/>
      <c r="H47" s="406"/>
      <c r="I47" s="261">
        <f t="shared" si="9"/>
        <v>0</v>
      </c>
      <c r="J47" s="261">
        <f t="shared" si="10"/>
        <v>0</v>
      </c>
      <c r="K47" s="261">
        <f t="shared" si="2"/>
        <v>0</v>
      </c>
      <c r="L47" s="262">
        <f t="shared" si="3"/>
        <v>0</v>
      </c>
      <c r="M47" s="263">
        <f t="shared" si="4"/>
        <v>0</v>
      </c>
      <c r="N47" s="264">
        <f t="shared" si="5"/>
        <v>0</v>
      </c>
      <c r="P47" s="1083"/>
      <c r="Q47" s="265">
        <f t="shared" si="6"/>
        <v>0</v>
      </c>
      <c r="R47" s="261">
        <f t="shared" si="7"/>
        <v>0</v>
      </c>
      <c r="S47" s="266">
        <f t="shared" si="12"/>
        <v>0</v>
      </c>
      <c r="T47" s="266">
        <f t="shared" si="8"/>
        <v>0</v>
      </c>
      <c r="U47" s="266">
        <f t="shared" si="11"/>
        <v>0</v>
      </c>
    </row>
    <row r="48" spans="2:21">
      <c r="B48">
        <v>34</v>
      </c>
      <c r="C48" s="260" t="s">
        <v>222</v>
      </c>
      <c r="D48" s="33" t="s">
        <v>243</v>
      </c>
      <c r="E48" s="406"/>
      <c r="F48" s="406"/>
      <c r="G48" s="406"/>
      <c r="H48" s="406"/>
      <c r="I48" s="261">
        <f t="shared" si="9"/>
        <v>0</v>
      </c>
      <c r="J48" s="261">
        <f t="shared" si="10"/>
        <v>0</v>
      </c>
      <c r="K48" s="261">
        <f t="shared" si="2"/>
        <v>0</v>
      </c>
      <c r="L48" s="262">
        <f t="shared" si="3"/>
        <v>0</v>
      </c>
      <c r="M48" s="263">
        <f t="shared" si="4"/>
        <v>0</v>
      </c>
      <c r="N48" s="264">
        <f t="shared" si="5"/>
        <v>0</v>
      </c>
      <c r="P48" s="1083"/>
      <c r="Q48" s="265">
        <f t="shared" si="6"/>
        <v>0</v>
      </c>
      <c r="R48" s="261">
        <f t="shared" si="7"/>
        <v>0</v>
      </c>
      <c r="S48" s="266">
        <f t="shared" si="12"/>
        <v>0</v>
      </c>
      <c r="T48" s="266">
        <f t="shared" si="8"/>
        <v>0</v>
      </c>
      <c r="U48" s="266">
        <f t="shared" si="11"/>
        <v>0</v>
      </c>
    </row>
    <row r="49" spans="2:21">
      <c r="B49">
        <v>35</v>
      </c>
      <c r="C49" s="260" t="s">
        <v>222</v>
      </c>
      <c r="D49" s="33" t="s">
        <v>244</v>
      </c>
      <c r="E49" s="406"/>
      <c r="F49" s="406"/>
      <c r="G49" s="406"/>
      <c r="H49" s="406"/>
      <c r="I49" s="261">
        <f t="shared" si="9"/>
        <v>0</v>
      </c>
      <c r="J49" s="261">
        <f t="shared" si="10"/>
        <v>0</v>
      </c>
      <c r="K49" s="261">
        <f t="shared" si="2"/>
        <v>0</v>
      </c>
      <c r="L49" s="262">
        <f t="shared" si="3"/>
        <v>0</v>
      </c>
      <c r="M49" s="263">
        <f t="shared" si="4"/>
        <v>0</v>
      </c>
      <c r="N49" s="264">
        <f t="shared" si="5"/>
        <v>0</v>
      </c>
      <c r="P49" s="1083"/>
      <c r="Q49" s="265">
        <f t="shared" si="6"/>
        <v>0</v>
      </c>
      <c r="R49" s="261">
        <f t="shared" si="7"/>
        <v>0</v>
      </c>
      <c r="S49" s="266">
        <f t="shared" si="12"/>
        <v>0</v>
      </c>
      <c r="T49" s="266">
        <f t="shared" si="8"/>
        <v>0</v>
      </c>
      <c r="U49" s="266">
        <f t="shared" si="11"/>
        <v>0</v>
      </c>
    </row>
    <row r="50" spans="2:21">
      <c r="B50">
        <v>36</v>
      </c>
      <c r="C50" s="260" t="s">
        <v>222</v>
      </c>
      <c r="D50" s="33" t="s">
        <v>245</v>
      </c>
      <c r="E50" s="406"/>
      <c r="F50" s="406"/>
      <c r="G50" s="406"/>
      <c r="H50" s="406"/>
      <c r="I50" s="261">
        <f t="shared" si="9"/>
        <v>0</v>
      </c>
      <c r="J50" s="261">
        <f t="shared" si="10"/>
        <v>0</v>
      </c>
      <c r="K50" s="261">
        <f t="shared" si="2"/>
        <v>0</v>
      </c>
      <c r="L50" s="262">
        <f t="shared" si="3"/>
        <v>0</v>
      </c>
      <c r="M50" s="263">
        <f t="shared" si="4"/>
        <v>0</v>
      </c>
      <c r="N50" s="264">
        <f t="shared" si="5"/>
        <v>0</v>
      </c>
      <c r="P50" s="1083"/>
      <c r="Q50" s="265">
        <f t="shared" si="6"/>
        <v>0</v>
      </c>
      <c r="R50" s="261">
        <f t="shared" si="7"/>
        <v>0</v>
      </c>
      <c r="S50" s="266">
        <f t="shared" si="12"/>
        <v>0</v>
      </c>
      <c r="T50" s="266">
        <f t="shared" si="8"/>
        <v>0</v>
      </c>
      <c r="U50" s="266">
        <f t="shared" si="11"/>
        <v>0</v>
      </c>
    </row>
    <row r="51" spans="2:21">
      <c r="B51">
        <v>37</v>
      </c>
      <c r="C51" s="260" t="s">
        <v>222</v>
      </c>
      <c r="D51" s="33" t="s">
        <v>246</v>
      </c>
      <c r="E51" s="406"/>
      <c r="F51" s="406"/>
      <c r="G51" s="406"/>
      <c r="H51" s="406"/>
      <c r="I51" s="261">
        <f t="shared" si="9"/>
        <v>0</v>
      </c>
      <c r="J51" s="261">
        <f t="shared" si="10"/>
        <v>0</v>
      </c>
      <c r="K51" s="261">
        <f t="shared" si="2"/>
        <v>0</v>
      </c>
      <c r="L51" s="262">
        <f t="shared" si="3"/>
        <v>0</v>
      </c>
      <c r="M51" s="263">
        <f t="shared" si="4"/>
        <v>0</v>
      </c>
      <c r="N51" s="264">
        <f t="shared" si="5"/>
        <v>0</v>
      </c>
      <c r="P51" s="1083"/>
      <c r="Q51" s="265">
        <f t="shared" si="6"/>
        <v>0</v>
      </c>
      <c r="R51" s="261">
        <f t="shared" si="7"/>
        <v>0</v>
      </c>
      <c r="S51" s="266">
        <f t="shared" si="12"/>
        <v>0</v>
      </c>
      <c r="T51" s="266">
        <f t="shared" si="8"/>
        <v>0</v>
      </c>
      <c r="U51" s="266">
        <f t="shared" si="11"/>
        <v>0</v>
      </c>
    </row>
    <row r="52" spans="2:21">
      <c r="B52">
        <v>38</v>
      </c>
      <c r="C52" s="260" t="s">
        <v>222</v>
      </c>
      <c r="D52" s="33" t="s">
        <v>247</v>
      </c>
      <c r="E52" s="406"/>
      <c r="F52" s="406"/>
      <c r="G52" s="406"/>
      <c r="H52" s="406"/>
      <c r="I52" s="261">
        <f t="shared" si="9"/>
        <v>0</v>
      </c>
      <c r="J52" s="261">
        <f t="shared" si="10"/>
        <v>0</v>
      </c>
      <c r="K52" s="261">
        <f t="shared" si="2"/>
        <v>0</v>
      </c>
      <c r="L52" s="262">
        <f t="shared" si="3"/>
        <v>0</v>
      </c>
      <c r="M52" s="263">
        <f t="shared" si="4"/>
        <v>0</v>
      </c>
      <c r="N52" s="264">
        <f t="shared" si="5"/>
        <v>0</v>
      </c>
      <c r="P52" s="1083"/>
      <c r="Q52" s="265">
        <f t="shared" si="6"/>
        <v>0</v>
      </c>
      <c r="R52" s="261">
        <f t="shared" si="7"/>
        <v>0</v>
      </c>
      <c r="S52" s="266">
        <f t="shared" si="12"/>
        <v>0</v>
      </c>
      <c r="T52" s="266">
        <f t="shared" si="8"/>
        <v>0</v>
      </c>
      <c r="U52" s="266">
        <f t="shared" si="11"/>
        <v>0</v>
      </c>
    </row>
    <row r="53" spans="2:21">
      <c r="B53">
        <v>39</v>
      </c>
      <c r="C53" s="260" t="s">
        <v>222</v>
      </c>
      <c r="D53" s="33" t="s">
        <v>248</v>
      </c>
      <c r="E53" s="406"/>
      <c r="F53" s="406"/>
      <c r="G53" s="406"/>
      <c r="H53" s="406"/>
      <c r="I53" s="261">
        <f t="shared" si="9"/>
        <v>0</v>
      </c>
      <c r="J53" s="261">
        <f t="shared" si="10"/>
        <v>0</v>
      </c>
      <c r="K53" s="261">
        <f t="shared" si="2"/>
        <v>0</v>
      </c>
      <c r="L53" s="262">
        <f t="shared" si="3"/>
        <v>0</v>
      </c>
      <c r="M53" s="263">
        <f t="shared" si="4"/>
        <v>0</v>
      </c>
      <c r="N53" s="264">
        <f t="shared" si="5"/>
        <v>0</v>
      </c>
      <c r="P53" s="1083"/>
      <c r="Q53" s="265">
        <f t="shared" si="6"/>
        <v>0</v>
      </c>
      <c r="R53" s="261">
        <f t="shared" si="7"/>
        <v>0</v>
      </c>
      <c r="S53" s="266">
        <f t="shared" si="12"/>
        <v>0</v>
      </c>
      <c r="T53" s="266">
        <f t="shared" si="8"/>
        <v>0</v>
      </c>
      <c r="U53" s="266">
        <f t="shared" si="11"/>
        <v>0</v>
      </c>
    </row>
    <row r="54" spans="2:21">
      <c r="B54">
        <v>40</v>
      </c>
      <c r="C54" s="260" t="s">
        <v>222</v>
      </c>
      <c r="D54" s="33" t="s">
        <v>249</v>
      </c>
      <c r="E54" s="406"/>
      <c r="F54" s="406"/>
      <c r="G54" s="406"/>
      <c r="H54" s="406"/>
      <c r="I54" s="261">
        <f t="shared" si="9"/>
        <v>0</v>
      </c>
      <c r="J54" s="261">
        <f t="shared" si="10"/>
        <v>0</v>
      </c>
      <c r="K54" s="261">
        <f t="shared" si="2"/>
        <v>0</v>
      </c>
      <c r="L54" s="262">
        <f t="shared" si="3"/>
        <v>0</v>
      </c>
      <c r="M54" s="263">
        <f t="shared" si="4"/>
        <v>0</v>
      </c>
      <c r="N54" s="264">
        <f t="shared" si="5"/>
        <v>0</v>
      </c>
      <c r="P54" s="1083"/>
      <c r="Q54" s="265">
        <f t="shared" si="6"/>
        <v>0</v>
      </c>
      <c r="R54" s="261">
        <f t="shared" si="7"/>
        <v>0</v>
      </c>
      <c r="S54" s="266">
        <f t="shared" si="12"/>
        <v>0</v>
      </c>
      <c r="T54" s="266">
        <f t="shared" si="8"/>
        <v>0</v>
      </c>
      <c r="U54" s="266">
        <f t="shared" si="11"/>
        <v>0</v>
      </c>
    </row>
    <row r="55" spans="2:21">
      <c r="B55">
        <v>41</v>
      </c>
      <c r="C55" s="260" t="s">
        <v>222</v>
      </c>
      <c r="D55" s="33" t="s">
        <v>250</v>
      </c>
      <c r="E55" s="406"/>
      <c r="F55" s="406"/>
      <c r="G55" s="406"/>
      <c r="H55" s="406"/>
      <c r="I55" s="261">
        <f t="shared" si="9"/>
        <v>0</v>
      </c>
      <c r="J55" s="261">
        <f t="shared" si="10"/>
        <v>0</v>
      </c>
      <c r="K55" s="261">
        <f t="shared" si="2"/>
        <v>0</v>
      </c>
      <c r="L55" s="262">
        <f t="shared" si="3"/>
        <v>0</v>
      </c>
      <c r="M55" s="263">
        <f t="shared" si="4"/>
        <v>0</v>
      </c>
      <c r="N55" s="264">
        <f t="shared" si="5"/>
        <v>0</v>
      </c>
      <c r="P55" s="1083"/>
      <c r="Q55" s="265">
        <f t="shared" si="6"/>
        <v>0</v>
      </c>
      <c r="R55" s="261">
        <f t="shared" si="7"/>
        <v>0</v>
      </c>
      <c r="S55" s="266">
        <f t="shared" si="12"/>
        <v>0</v>
      </c>
      <c r="T55" s="266">
        <f t="shared" si="8"/>
        <v>0</v>
      </c>
      <c r="U55" s="266">
        <f t="shared" si="11"/>
        <v>0</v>
      </c>
    </row>
    <row r="56" spans="2:21">
      <c r="B56">
        <v>42</v>
      </c>
      <c r="C56" s="260" t="s">
        <v>222</v>
      </c>
      <c r="D56" s="33" t="s">
        <v>251</v>
      </c>
      <c r="E56" s="406"/>
      <c r="F56" s="406"/>
      <c r="G56" s="406"/>
      <c r="H56" s="406"/>
      <c r="I56" s="261">
        <f t="shared" si="9"/>
        <v>0</v>
      </c>
      <c r="J56" s="261">
        <f t="shared" si="10"/>
        <v>0</v>
      </c>
      <c r="K56" s="261">
        <f t="shared" si="2"/>
        <v>0</v>
      </c>
      <c r="L56" s="262">
        <f t="shared" si="3"/>
        <v>0</v>
      </c>
      <c r="M56" s="263">
        <f t="shared" si="4"/>
        <v>0</v>
      </c>
      <c r="N56" s="264">
        <f t="shared" si="5"/>
        <v>0</v>
      </c>
      <c r="P56" s="1083"/>
      <c r="Q56" s="265">
        <f t="shared" si="6"/>
        <v>0</v>
      </c>
      <c r="R56" s="261">
        <f t="shared" si="7"/>
        <v>0</v>
      </c>
      <c r="S56" s="266">
        <f t="shared" si="12"/>
        <v>0</v>
      </c>
      <c r="T56" s="266">
        <f t="shared" si="8"/>
        <v>0</v>
      </c>
      <c r="U56" s="266">
        <f t="shared" si="11"/>
        <v>0</v>
      </c>
    </row>
    <row r="57" spans="2:21">
      <c r="B57">
        <v>43</v>
      </c>
      <c r="C57" s="260" t="s">
        <v>222</v>
      </c>
      <c r="D57" s="33" t="s">
        <v>252</v>
      </c>
      <c r="E57" s="406"/>
      <c r="F57" s="406"/>
      <c r="G57" s="406"/>
      <c r="H57" s="406"/>
      <c r="I57" s="261">
        <f t="shared" si="9"/>
        <v>0</v>
      </c>
      <c r="J57" s="261">
        <f t="shared" si="10"/>
        <v>0</v>
      </c>
      <c r="K57" s="261">
        <f t="shared" si="2"/>
        <v>0</v>
      </c>
      <c r="L57" s="262">
        <f t="shared" si="3"/>
        <v>0</v>
      </c>
      <c r="M57" s="263">
        <f t="shared" si="4"/>
        <v>0</v>
      </c>
      <c r="N57" s="264">
        <f t="shared" si="5"/>
        <v>0</v>
      </c>
      <c r="P57" s="1083"/>
      <c r="Q57" s="265">
        <f t="shared" si="6"/>
        <v>0</v>
      </c>
      <c r="R57" s="261">
        <f t="shared" si="7"/>
        <v>0</v>
      </c>
      <c r="S57" s="266">
        <f t="shared" si="12"/>
        <v>0</v>
      </c>
      <c r="T57" s="266">
        <f t="shared" si="8"/>
        <v>0</v>
      </c>
      <c r="U57" s="266">
        <f t="shared" si="11"/>
        <v>0</v>
      </c>
    </row>
    <row r="58" spans="2:21">
      <c r="B58">
        <v>44</v>
      </c>
      <c r="C58" s="260" t="s">
        <v>222</v>
      </c>
      <c r="D58" s="33" t="s">
        <v>253</v>
      </c>
      <c r="E58" s="406"/>
      <c r="F58" s="406"/>
      <c r="G58" s="406"/>
      <c r="H58" s="406"/>
      <c r="I58" s="261">
        <f t="shared" si="9"/>
        <v>0</v>
      </c>
      <c r="J58" s="261">
        <f t="shared" si="10"/>
        <v>0</v>
      </c>
      <c r="K58" s="261">
        <f t="shared" si="2"/>
        <v>0</v>
      </c>
      <c r="L58" s="262">
        <f t="shared" si="3"/>
        <v>0</v>
      </c>
      <c r="M58" s="263">
        <f t="shared" si="4"/>
        <v>0</v>
      </c>
      <c r="N58" s="264">
        <f t="shared" si="5"/>
        <v>0</v>
      </c>
      <c r="P58" s="1083"/>
      <c r="Q58" s="265">
        <f t="shared" si="6"/>
        <v>0</v>
      </c>
      <c r="R58" s="261">
        <f t="shared" si="7"/>
        <v>0</v>
      </c>
      <c r="S58" s="266">
        <f t="shared" si="12"/>
        <v>0</v>
      </c>
      <c r="T58" s="266">
        <f t="shared" si="8"/>
        <v>0</v>
      </c>
      <c r="U58" s="266">
        <f t="shared" si="11"/>
        <v>0</v>
      </c>
    </row>
    <row r="59" spans="2:21">
      <c r="B59">
        <v>45</v>
      </c>
      <c r="C59" s="260" t="s">
        <v>222</v>
      </c>
      <c r="D59" s="33" t="s">
        <v>254</v>
      </c>
      <c r="E59" s="406"/>
      <c r="F59" s="406"/>
      <c r="G59" s="406"/>
      <c r="H59" s="406"/>
      <c r="I59" s="261">
        <f t="shared" si="9"/>
        <v>0</v>
      </c>
      <c r="J59" s="261">
        <f t="shared" si="10"/>
        <v>0</v>
      </c>
      <c r="K59" s="261">
        <f t="shared" si="2"/>
        <v>0</v>
      </c>
      <c r="L59" s="262">
        <f t="shared" si="3"/>
        <v>0</v>
      </c>
      <c r="M59" s="263">
        <f t="shared" si="4"/>
        <v>0</v>
      </c>
      <c r="N59" s="264">
        <f t="shared" si="5"/>
        <v>0</v>
      </c>
      <c r="P59" s="1083"/>
      <c r="Q59" s="265">
        <f t="shared" si="6"/>
        <v>0</v>
      </c>
      <c r="R59" s="261">
        <f t="shared" si="7"/>
        <v>0</v>
      </c>
      <c r="S59" s="266">
        <f t="shared" si="12"/>
        <v>0</v>
      </c>
      <c r="T59" s="266">
        <f t="shared" si="8"/>
        <v>0</v>
      </c>
      <c r="U59" s="266">
        <f t="shared" si="11"/>
        <v>0</v>
      </c>
    </row>
    <row r="60" spans="2:21">
      <c r="B60">
        <v>46</v>
      </c>
      <c r="C60" s="260" t="s">
        <v>222</v>
      </c>
      <c r="D60" s="33" t="s">
        <v>255</v>
      </c>
      <c r="E60" s="406"/>
      <c r="F60" s="406"/>
      <c r="G60" s="406"/>
      <c r="H60" s="406"/>
      <c r="I60" s="261">
        <f t="shared" si="9"/>
        <v>0</v>
      </c>
      <c r="J60" s="261">
        <f t="shared" si="10"/>
        <v>0</v>
      </c>
      <c r="K60" s="261">
        <f t="shared" si="2"/>
        <v>0</v>
      </c>
      <c r="L60" s="262">
        <f t="shared" si="3"/>
        <v>0</v>
      </c>
      <c r="M60" s="263">
        <f t="shared" si="4"/>
        <v>0</v>
      </c>
      <c r="N60" s="264">
        <f t="shared" si="5"/>
        <v>0</v>
      </c>
      <c r="P60" s="1083"/>
      <c r="Q60" s="265">
        <f t="shared" si="6"/>
        <v>0</v>
      </c>
      <c r="R60" s="261">
        <f t="shared" si="7"/>
        <v>0</v>
      </c>
      <c r="S60" s="266">
        <f t="shared" si="12"/>
        <v>0</v>
      </c>
      <c r="T60" s="266">
        <f t="shared" si="8"/>
        <v>0</v>
      </c>
      <c r="U60" s="266">
        <f t="shared" si="11"/>
        <v>0</v>
      </c>
    </row>
    <row r="61" spans="2:21">
      <c r="B61">
        <v>47</v>
      </c>
      <c r="C61" s="260" t="s">
        <v>222</v>
      </c>
      <c r="D61" s="33" t="s">
        <v>256</v>
      </c>
      <c r="E61" s="406"/>
      <c r="F61" s="406"/>
      <c r="G61" s="406"/>
      <c r="H61" s="406"/>
      <c r="I61" s="261">
        <f t="shared" si="9"/>
        <v>0</v>
      </c>
      <c r="J61" s="261">
        <f t="shared" si="10"/>
        <v>0</v>
      </c>
      <c r="K61" s="261">
        <f t="shared" si="2"/>
        <v>0</v>
      </c>
      <c r="L61" s="262">
        <f t="shared" si="3"/>
        <v>0</v>
      </c>
      <c r="M61" s="263">
        <f t="shared" si="4"/>
        <v>0</v>
      </c>
      <c r="N61" s="264">
        <f t="shared" si="5"/>
        <v>0</v>
      </c>
      <c r="P61" s="1083"/>
      <c r="Q61" s="265">
        <f t="shared" si="6"/>
        <v>0</v>
      </c>
      <c r="R61" s="261">
        <f t="shared" si="7"/>
        <v>0</v>
      </c>
      <c r="S61" s="266">
        <f t="shared" si="12"/>
        <v>0</v>
      </c>
      <c r="T61" s="266">
        <f t="shared" si="8"/>
        <v>0</v>
      </c>
      <c r="U61" s="266">
        <f t="shared" si="11"/>
        <v>0</v>
      </c>
    </row>
    <row r="62" spans="2:21">
      <c r="B62">
        <v>48</v>
      </c>
      <c r="C62" s="260" t="s">
        <v>222</v>
      </c>
      <c r="D62" s="33" t="s">
        <v>257</v>
      </c>
      <c r="E62" s="406"/>
      <c r="F62" s="406"/>
      <c r="G62" s="406"/>
      <c r="H62" s="406"/>
      <c r="I62" s="261">
        <f t="shared" si="9"/>
        <v>0</v>
      </c>
      <c r="J62" s="261">
        <f t="shared" si="10"/>
        <v>0</v>
      </c>
      <c r="K62" s="261">
        <f t="shared" si="2"/>
        <v>0</v>
      </c>
      <c r="L62" s="262">
        <f t="shared" si="3"/>
        <v>0</v>
      </c>
      <c r="M62" s="263">
        <f t="shared" si="4"/>
        <v>0</v>
      </c>
      <c r="N62" s="264">
        <f t="shared" si="5"/>
        <v>0</v>
      </c>
      <c r="P62" s="1083"/>
      <c r="Q62" s="265">
        <f t="shared" si="6"/>
        <v>0</v>
      </c>
      <c r="R62" s="261">
        <f t="shared" si="7"/>
        <v>0</v>
      </c>
      <c r="S62" s="266">
        <f t="shared" si="12"/>
        <v>0</v>
      </c>
      <c r="T62" s="266">
        <f t="shared" si="8"/>
        <v>0</v>
      </c>
      <c r="U62" s="266">
        <f t="shared" si="11"/>
        <v>0</v>
      </c>
    </row>
    <row r="63" spans="2:21">
      <c r="B63">
        <v>49</v>
      </c>
      <c r="C63" s="260" t="s">
        <v>222</v>
      </c>
      <c r="D63" s="33" t="s">
        <v>258</v>
      </c>
      <c r="E63" s="406"/>
      <c r="F63" s="406"/>
      <c r="G63" s="406"/>
      <c r="H63" s="406"/>
      <c r="I63" s="261">
        <f t="shared" si="9"/>
        <v>0</v>
      </c>
      <c r="J63" s="261">
        <f t="shared" si="10"/>
        <v>0</v>
      </c>
      <c r="K63" s="261">
        <f t="shared" si="2"/>
        <v>0</v>
      </c>
      <c r="L63" s="262">
        <f t="shared" si="3"/>
        <v>0</v>
      </c>
      <c r="M63" s="263">
        <f t="shared" si="4"/>
        <v>0</v>
      </c>
      <c r="N63" s="264">
        <f t="shared" si="5"/>
        <v>0</v>
      </c>
      <c r="P63" s="1083"/>
      <c r="Q63" s="265">
        <f t="shared" si="6"/>
        <v>0</v>
      </c>
      <c r="R63" s="261">
        <f t="shared" si="7"/>
        <v>0</v>
      </c>
      <c r="S63" s="266">
        <f t="shared" si="12"/>
        <v>0</v>
      </c>
      <c r="T63" s="266">
        <f t="shared" si="8"/>
        <v>0</v>
      </c>
      <c r="U63" s="266">
        <f t="shared" si="11"/>
        <v>0</v>
      </c>
    </row>
    <row r="64" spans="2:21">
      <c r="B64">
        <v>50</v>
      </c>
      <c r="C64" s="260" t="s">
        <v>222</v>
      </c>
      <c r="D64" s="33" t="s">
        <v>259</v>
      </c>
      <c r="E64" s="406"/>
      <c r="F64" s="406"/>
      <c r="G64" s="406"/>
      <c r="H64" s="406"/>
      <c r="I64" s="261">
        <f t="shared" si="9"/>
        <v>0</v>
      </c>
      <c r="J64" s="261">
        <f t="shared" si="10"/>
        <v>0</v>
      </c>
      <c r="K64" s="261">
        <f t="shared" si="2"/>
        <v>0</v>
      </c>
      <c r="L64" s="262">
        <f t="shared" si="3"/>
        <v>0</v>
      </c>
      <c r="M64" s="263">
        <f t="shared" si="4"/>
        <v>0</v>
      </c>
      <c r="N64" s="264">
        <f t="shared" si="5"/>
        <v>0</v>
      </c>
      <c r="P64" s="1083"/>
      <c r="Q64" s="265">
        <f t="shared" si="6"/>
        <v>0</v>
      </c>
      <c r="R64" s="261">
        <f t="shared" si="7"/>
        <v>0</v>
      </c>
      <c r="S64" s="266">
        <f t="shared" si="12"/>
        <v>0</v>
      </c>
      <c r="T64" s="266">
        <f t="shared" si="8"/>
        <v>0</v>
      </c>
      <c r="U64" s="266">
        <f t="shared" si="11"/>
        <v>0</v>
      </c>
    </row>
    <row r="65" spans="2:21">
      <c r="B65">
        <v>51</v>
      </c>
      <c r="C65" s="260" t="s">
        <v>222</v>
      </c>
      <c r="D65" s="33" t="s">
        <v>260</v>
      </c>
      <c r="E65" s="406"/>
      <c r="F65" s="406"/>
      <c r="G65" s="406"/>
      <c r="H65" s="406"/>
      <c r="I65" s="261">
        <f t="shared" si="9"/>
        <v>0</v>
      </c>
      <c r="J65" s="261">
        <f t="shared" si="10"/>
        <v>0</v>
      </c>
      <c r="K65" s="261">
        <f t="shared" si="2"/>
        <v>0</v>
      </c>
      <c r="L65" s="262">
        <f t="shared" si="3"/>
        <v>0</v>
      </c>
      <c r="M65" s="263">
        <f t="shared" si="4"/>
        <v>0</v>
      </c>
      <c r="N65" s="264">
        <f t="shared" si="5"/>
        <v>0</v>
      </c>
      <c r="P65" s="1083"/>
      <c r="Q65" s="265">
        <f t="shared" si="6"/>
        <v>0</v>
      </c>
      <c r="R65" s="261">
        <f t="shared" si="7"/>
        <v>0</v>
      </c>
      <c r="S65" s="266">
        <f t="shared" si="12"/>
        <v>0</v>
      </c>
      <c r="T65" s="266">
        <f t="shared" si="8"/>
        <v>0</v>
      </c>
      <c r="U65" s="266">
        <f t="shared" si="11"/>
        <v>0</v>
      </c>
    </row>
    <row r="66" spans="2:21">
      <c r="B66">
        <v>52</v>
      </c>
      <c r="C66" s="260" t="s">
        <v>222</v>
      </c>
      <c r="D66" s="33" t="s">
        <v>261</v>
      </c>
      <c r="E66" s="406"/>
      <c r="F66" s="406"/>
      <c r="G66" s="406"/>
      <c r="H66" s="406"/>
      <c r="I66" s="261">
        <f t="shared" si="9"/>
        <v>0</v>
      </c>
      <c r="J66" s="261">
        <f t="shared" si="10"/>
        <v>0</v>
      </c>
      <c r="K66" s="261">
        <f t="shared" si="2"/>
        <v>0</v>
      </c>
      <c r="L66" s="262">
        <f t="shared" si="3"/>
        <v>0</v>
      </c>
      <c r="M66" s="263">
        <f t="shared" si="4"/>
        <v>0</v>
      </c>
      <c r="N66" s="264">
        <f t="shared" si="5"/>
        <v>0</v>
      </c>
      <c r="P66" s="1083"/>
      <c r="Q66" s="265">
        <f t="shared" si="6"/>
        <v>0</v>
      </c>
      <c r="R66" s="261">
        <f t="shared" si="7"/>
        <v>0</v>
      </c>
      <c r="S66" s="266">
        <f t="shared" si="12"/>
        <v>0</v>
      </c>
      <c r="T66" s="266">
        <f t="shared" si="8"/>
        <v>0</v>
      </c>
      <c r="U66" s="266">
        <f t="shared" si="11"/>
        <v>0</v>
      </c>
    </row>
    <row r="67" spans="2:21">
      <c r="B67">
        <v>53</v>
      </c>
      <c r="C67" s="260" t="s">
        <v>222</v>
      </c>
      <c r="D67" s="33" t="s">
        <v>262</v>
      </c>
      <c r="E67" s="406"/>
      <c r="F67" s="406"/>
      <c r="G67" s="406"/>
      <c r="H67" s="406"/>
      <c r="I67" s="261">
        <f t="shared" si="9"/>
        <v>0</v>
      </c>
      <c r="J67" s="261">
        <f t="shared" si="10"/>
        <v>0</v>
      </c>
      <c r="K67" s="261">
        <f t="shared" si="2"/>
        <v>0</v>
      </c>
      <c r="L67" s="262">
        <f t="shared" si="3"/>
        <v>0</v>
      </c>
      <c r="M67" s="263">
        <f t="shared" si="4"/>
        <v>0</v>
      </c>
      <c r="N67" s="264">
        <f t="shared" si="5"/>
        <v>0</v>
      </c>
      <c r="P67" s="1083"/>
      <c r="Q67" s="265">
        <f t="shared" si="6"/>
        <v>0</v>
      </c>
      <c r="R67" s="261">
        <f t="shared" si="7"/>
        <v>0</v>
      </c>
      <c r="S67" s="266">
        <f t="shared" si="12"/>
        <v>0</v>
      </c>
      <c r="T67" s="266">
        <f t="shared" si="8"/>
        <v>0</v>
      </c>
      <c r="U67" s="266">
        <f t="shared" si="11"/>
        <v>0</v>
      </c>
    </row>
    <row r="68" spans="2:21">
      <c r="B68">
        <v>54</v>
      </c>
      <c r="C68" s="260" t="s">
        <v>222</v>
      </c>
      <c r="D68" s="33" t="s">
        <v>263</v>
      </c>
      <c r="E68" s="406"/>
      <c r="F68" s="406"/>
      <c r="G68" s="406"/>
      <c r="H68" s="406"/>
      <c r="I68" s="261">
        <f t="shared" si="9"/>
        <v>0</v>
      </c>
      <c r="J68" s="261">
        <f t="shared" si="10"/>
        <v>0</v>
      </c>
      <c r="K68" s="261">
        <f t="shared" si="2"/>
        <v>0</v>
      </c>
      <c r="L68" s="262">
        <f t="shared" si="3"/>
        <v>0</v>
      </c>
      <c r="M68" s="263">
        <f t="shared" si="4"/>
        <v>0</v>
      </c>
      <c r="N68" s="264">
        <f t="shared" si="5"/>
        <v>0</v>
      </c>
      <c r="P68" s="1083"/>
      <c r="Q68" s="265">
        <f t="shared" si="6"/>
        <v>0</v>
      </c>
      <c r="R68" s="261">
        <f t="shared" si="7"/>
        <v>0</v>
      </c>
      <c r="S68" s="266">
        <f t="shared" si="12"/>
        <v>0</v>
      </c>
      <c r="T68" s="266">
        <f t="shared" si="8"/>
        <v>0</v>
      </c>
      <c r="U68" s="266">
        <f t="shared" si="11"/>
        <v>0</v>
      </c>
    </row>
    <row r="69" spans="2:21">
      <c r="B69">
        <v>55</v>
      </c>
      <c r="C69" s="260" t="s">
        <v>222</v>
      </c>
      <c r="D69" s="33" t="s">
        <v>264</v>
      </c>
      <c r="E69" s="406"/>
      <c r="F69" s="406"/>
      <c r="G69" s="406"/>
      <c r="H69" s="406"/>
      <c r="I69" s="261">
        <f t="shared" si="9"/>
        <v>0</v>
      </c>
      <c r="J69" s="261">
        <f t="shared" si="10"/>
        <v>0</v>
      </c>
      <c r="K69" s="261">
        <f t="shared" si="2"/>
        <v>0</v>
      </c>
      <c r="L69" s="262">
        <f t="shared" si="3"/>
        <v>0</v>
      </c>
      <c r="M69" s="263">
        <f t="shared" si="4"/>
        <v>0</v>
      </c>
      <c r="N69" s="264">
        <f t="shared" si="5"/>
        <v>0</v>
      </c>
      <c r="P69" s="1083"/>
      <c r="Q69" s="265">
        <f t="shared" si="6"/>
        <v>0</v>
      </c>
      <c r="R69" s="261">
        <f t="shared" si="7"/>
        <v>0</v>
      </c>
      <c r="S69" s="266">
        <f t="shared" si="12"/>
        <v>0</v>
      </c>
      <c r="T69" s="266">
        <f t="shared" si="8"/>
        <v>0</v>
      </c>
      <c r="U69" s="266">
        <f t="shared" si="11"/>
        <v>0</v>
      </c>
    </row>
    <row r="70" spans="2:21">
      <c r="B70">
        <v>56</v>
      </c>
      <c r="C70" s="260" t="s">
        <v>222</v>
      </c>
      <c r="D70" s="33" t="s">
        <v>265</v>
      </c>
      <c r="E70" s="406"/>
      <c r="F70" s="406"/>
      <c r="G70" s="406"/>
      <c r="H70" s="406"/>
      <c r="I70" s="261">
        <f t="shared" si="9"/>
        <v>0</v>
      </c>
      <c r="J70" s="261">
        <f t="shared" si="10"/>
        <v>0</v>
      </c>
      <c r="K70" s="261">
        <f t="shared" si="2"/>
        <v>0</v>
      </c>
      <c r="L70" s="262">
        <f t="shared" si="3"/>
        <v>0</v>
      </c>
      <c r="M70" s="263">
        <f t="shared" si="4"/>
        <v>0</v>
      </c>
      <c r="N70" s="264">
        <f t="shared" si="5"/>
        <v>0</v>
      </c>
      <c r="P70" s="1083"/>
      <c r="Q70" s="265">
        <f t="shared" si="6"/>
        <v>0</v>
      </c>
      <c r="R70" s="261">
        <f t="shared" si="7"/>
        <v>0</v>
      </c>
      <c r="S70" s="266">
        <f t="shared" si="12"/>
        <v>0</v>
      </c>
      <c r="T70" s="266">
        <f t="shared" si="8"/>
        <v>0</v>
      </c>
      <c r="U70" s="266">
        <f t="shared" si="11"/>
        <v>0</v>
      </c>
    </row>
    <row r="71" spans="2:21">
      <c r="B71">
        <v>57</v>
      </c>
      <c r="C71" s="260" t="s">
        <v>222</v>
      </c>
      <c r="D71" s="33" t="s">
        <v>266</v>
      </c>
      <c r="E71" s="406"/>
      <c r="F71" s="406"/>
      <c r="G71" s="406"/>
      <c r="H71" s="406"/>
      <c r="I71" s="261">
        <f t="shared" si="9"/>
        <v>0</v>
      </c>
      <c r="J71" s="261">
        <f t="shared" si="10"/>
        <v>0</v>
      </c>
      <c r="K71" s="261">
        <f t="shared" si="2"/>
        <v>0</v>
      </c>
      <c r="L71" s="262">
        <f t="shared" si="3"/>
        <v>0</v>
      </c>
      <c r="M71" s="263">
        <f t="shared" si="4"/>
        <v>0</v>
      </c>
      <c r="N71" s="264">
        <f t="shared" si="5"/>
        <v>0</v>
      </c>
      <c r="P71" s="1083"/>
      <c r="Q71" s="265">
        <f t="shared" si="6"/>
        <v>0</v>
      </c>
      <c r="R71" s="261">
        <f t="shared" si="7"/>
        <v>0</v>
      </c>
      <c r="S71" s="266">
        <f t="shared" si="12"/>
        <v>0</v>
      </c>
      <c r="T71" s="266">
        <f t="shared" si="8"/>
        <v>0</v>
      </c>
      <c r="U71" s="266">
        <f t="shared" si="11"/>
        <v>0</v>
      </c>
    </row>
    <row r="72" spans="2:21">
      <c r="B72">
        <v>58</v>
      </c>
      <c r="C72" s="260" t="s">
        <v>222</v>
      </c>
      <c r="D72" s="33" t="s">
        <v>267</v>
      </c>
      <c r="E72" s="406"/>
      <c r="F72" s="406"/>
      <c r="G72" s="406"/>
      <c r="H72" s="406"/>
      <c r="I72" s="261">
        <f t="shared" si="9"/>
        <v>0</v>
      </c>
      <c r="J72" s="261">
        <f t="shared" si="10"/>
        <v>0</v>
      </c>
      <c r="K72" s="261">
        <f t="shared" si="2"/>
        <v>0</v>
      </c>
      <c r="L72" s="262">
        <f t="shared" si="3"/>
        <v>0</v>
      </c>
      <c r="M72" s="263">
        <f t="shared" si="4"/>
        <v>0</v>
      </c>
      <c r="N72" s="264">
        <f t="shared" si="5"/>
        <v>0</v>
      </c>
      <c r="P72" s="1083"/>
      <c r="Q72" s="265">
        <f t="shared" si="6"/>
        <v>0</v>
      </c>
      <c r="R72" s="261">
        <f t="shared" si="7"/>
        <v>0</v>
      </c>
      <c r="S72" s="266">
        <f t="shared" si="12"/>
        <v>0</v>
      </c>
      <c r="T72" s="266">
        <f t="shared" si="8"/>
        <v>0</v>
      </c>
      <c r="U72" s="266">
        <f t="shared" si="11"/>
        <v>0</v>
      </c>
    </row>
    <row r="73" spans="2:21">
      <c r="B73">
        <v>59</v>
      </c>
      <c r="C73" s="260" t="s">
        <v>222</v>
      </c>
      <c r="D73" s="33" t="s">
        <v>268</v>
      </c>
      <c r="E73" s="406"/>
      <c r="F73" s="406"/>
      <c r="G73" s="406"/>
      <c r="H73" s="406"/>
      <c r="I73" s="261">
        <f t="shared" si="9"/>
        <v>0</v>
      </c>
      <c r="J73" s="261">
        <f t="shared" si="10"/>
        <v>0</v>
      </c>
      <c r="K73" s="261">
        <f t="shared" si="2"/>
        <v>0</v>
      </c>
      <c r="L73" s="262">
        <f t="shared" si="3"/>
        <v>0</v>
      </c>
      <c r="M73" s="263">
        <f t="shared" si="4"/>
        <v>0</v>
      </c>
      <c r="N73" s="264">
        <f t="shared" si="5"/>
        <v>0</v>
      </c>
      <c r="P73" s="1083"/>
      <c r="Q73" s="265">
        <f t="shared" si="6"/>
        <v>0</v>
      </c>
      <c r="R73" s="261">
        <f t="shared" si="7"/>
        <v>0</v>
      </c>
      <c r="S73" s="266">
        <f t="shared" si="12"/>
        <v>0</v>
      </c>
      <c r="T73" s="266">
        <f t="shared" si="8"/>
        <v>0</v>
      </c>
      <c r="U73" s="266">
        <f t="shared" si="11"/>
        <v>0</v>
      </c>
    </row>
    <row r="74" spans="2:21">
      <c r="B74">
        <v>60</v>
      </c>
      <c r="C74" s="260" t="s">
        <v>222</v>
      </c>
      <c r="D74" s="33" t="s">
        <v>269</v>
      </c>
      <c r="E74" s="406"/>
      <c r="F74" s="406"/>
      <c r="G74" s="406"/>
      <c r="H74" s="406"/>
      <c r="I74" s="261">
        <f t="shared" si="9"/>
        <v>0</v>
      </c>
      <c r="J74" s="261">
        <f t="shared" si="10"/>
        <v>0</v>
      </c>
      <c r="K74" s="261">
        <f t="shared" si="2"/>
        <v>0</v>
      </c>
      <c r="L74" s="262">
        <f t="shared" si="3"/>
        <v>0</v>
      </c>
      <c r="M74" s="263">
        <f t="shared" si="4"/>
        <v>0</v>
      </c>
      <c r="N74" s="264">
        <f t="shared" si="5"/>
        <v>0</v>
      </c>
      <c r="P74" s="1083"/>
      <c r="Q74" s="265">
        <f t="shared" si="6"/>
        <v>0</v>
      </c>
      <c r="R74" s="261">
        <f t="shared" si="7"/>
        <v>0</v>
      </c>
      <c r="S74" s="266">
        <f t="shared" si="12"/>
        <v>0</v>
      </c>
      <c r="T74" s="266">
        <f t="shared" si="8"/>
        <v>0</v>
      </c>
      <c r="U74" s="266">
        <f t="shared" si="11"/>
        <v>0</v>
      </c>
    </row>
    <row r="75" spans="2:21">
      <c r="B75">
        <v>61</v>
      </c>
      <c r="C75" s="260" t="s">
        <v>222</v>
      </c>
      <c r="D75" s="33" t="s">
        <v>270</v>
      </c>
      <c r="E75" s="406"/>
      <c r="F75" s="406"/>
      <c r="G75" s="406"/>
      <c r="H75" s="406"/>
      <c r="I75" s="261">
        <f t="shared" si="9"/>
        <v>0</v>
      </c>
      <c r="J75" s="261">
        <f t="shared" si="10"/>
        <v>0</v>
      </c>
      <c r="K75" s="261">
        <f t="shared" si="2"/>
        <v>0</v>
      </c>
      <c r="L75" s="262">
        <f t="shared" si="3"/>
        <v>0</v>
      </c>
      <c r="M75" s="263">
        <f t="shared" si="4"/>
        <v>0</v>
      </c>
      <c r="N75" s="264">
        <f t="shared" si="5"/>
        <v>0</v>
      </c>
      <c r="P75" s="1083"/>
      <c r="Q75" s="265">
        <f t="shared" si="6"/>
        <v>0</v>
      </c>
      <c r="R75" s="261">
        <f t="shared" si="7"/>
        <v>0</v>
      </c>
      <c r="S75" s="266">
        <f t="shared" si="12"/>
        <v>0</v>
      </c>
      <c r="T75" s="266">
        <f t="shared" si="8"/>
        <v>0</v>
      </c>
      <c r="U75" s="266">
        <f t="shared" si="11"/>
        <v>0</v>
      </c>
    </row>
    <row r="76" spans="2:21">
      <c r="B76">
        <v>62</v>
      </c>
      <c r="C76" s="260" t="s">
        <v>222</v>
      </c>
      <c r="D76" s="33" t="s">
        <v>271</v>
      </c>
      <c r="E76" s="406"/>
      <c r="F76" s="406"/>
      <c r="G76" s="406"/>
      <c r="H76" s="406"/>
      <c r="I76" s="261">
        <f t="shared" si="9"/>
        <v>0</v>
      </c>
      <c r="J76" s="261">
        <f t="shared" si="10"/>
        <v>0</v>
      </c>
      <c r="K76" s="261">
        <f t="shared" si="2"/>
        <v>0</v>
      </c>
      <c r="L76" s="262">
        <f t="shared" si="3"/>
        <v>0</v>
      </c>
      <c r="M76" s="263">
        <f t="shared" si="4"/>
        <v>0</v>
      </c>
      <c r="N76" s="264">
        <f t="shared" si="5"/>
        <v>0</v>
      </c>
      <c r="P76" s="1083"/>
      <c r="Q76" s="265">
        <f t="shared" si="6"/>
        <v>0</v>
      </c>
      <c r="R76" s="261">
        <f t="shared" si="7"/>
        <v>0</v>
      </c>
      <c r="S76" s="266">
        <f t="shared" si="12"/>
        <v>0</v>
      </c>
      <c r="T76" s="266">
        <f t="shared" si="8"/>
        <v>0</v>
      </c>
      <c r="U76" s="266">
        <f t="shared" si="11"/>
        <v>0</v>
      </c>
    </row>
    <row r="77" spans="2:21">
      <c r="B77">
        <v>63</v>
      </c>
      <c r="C77" s="260" t="s">
        <v>222</v>
      </c>
      <c r="D77" s="33" t="s">
        <v>272</v>
      </c>
      <c r="E77" s="406"/>
      <c r="F77" s="406"/>
      <c r="G77" s="406"/>
      <c r="H77" s="406"/>
      <c r="I77" s="261">
        <f t="shared" si="9"/>
        <v>0</v>
      </c>
      <c r="J77" s="261">
        <f t="shared" si="10"/>
        <v>0</v>
      </c>
      <c r="K77" s="261">
        <f t="shared" si="2"/>
        <v>0</v>
      </c>
      <c r="L77" s="262">
        <f t="shared" si="3"/>
        <v>0</v>
      </c>
      <c r="M77" s="263">
        <f t="shared" si="4"/>
        <v>0</v>
      </c>
      <c r="N77" s="264">
        <f t="shared" si="5"/>
        <v>0</v>
      </c>
      <c r="P77" s="1083"/>
      <c r="Q77" s="265">
        <f t="shared" si="6"/>
        <v>0</v>
      </c>
      <c r="R77" s="261">
        <f t="shared" si="7"/>
        <v>0</v>
      </c>
      <c r="S77" s="266">
        <f t="shared" si="12"/>
        <v>0</v>
      </c>
      <c r="T77" s="266">
        <f t="shared" si="8"/>
        <v>0</v>
      </c>
      <c r="U77" s="266">
        <f t="shared" si="11"/>
        <v>0</v>
      </c>
    </row>
    <row r="78" spans="2:21">
      <c r="B78">
        <v>64</v>
      </c>
      <c r="C78" s="260" t="s">
        <v>222</v>
      </c>
      <c r="D78" s="33" t="s">
        <v>273</v>
      </c>
      <c r="E78" s="406"/>
      <c r="F78" s="406"/>
      <c r="G78" s="406"/>
      <c r="H78" s="406"/>
      <c r="I78" s="261">
        <f t="shared" si="9"/>
        <v>0</v>
      </c>
      <c r="J78" s="261">
        <f t="shared" si="10"/>
        <v>0</v>
      </c>
      <c r="K78" s="261">
        <f t="shared" si="2"/>
        <v>0</v>
      </c>
      <c r="L78" s="262">
        <f t="shared" si="3"/>
        <v>0</v>
      </c>
      <c r="M78" s="263">
        <f t="shared" si="4"/>
        <v>0</v>
      </c>
      <c r="N78" s="264">
        <f t="shared" si="5"/>
        <v>0</v>
      </c>
      <c r="P78" s="1083"/>
      <c r="Q78" s="265">
        <f t="shared" si="6"/>
        <v>0</v>
      </c>
      <c r="R78" s="261">
        <f t="shared" si="7"/>
        <v>0</v>
      </c>
      <c r="S78" s="266">
        <f t="shared" si="12"/>
        <v>0</v>
      </c>
      <c r="T78" s="266">
        <f t="shared" si="8"/>
        <v>0</v>
      </c>
      <c r="U78" s="266">
        <f t="shared" si="11"/>
        <v>0</v>
      </c>
    </row>
    <row r="79" spans="2:21">
      <c r="B79">
        <v>65</v>
      </c>
      <c r="C79" s="260" t="s">
        <v>222</v>
      </c>
      <c r="D79" s="33" t="s">
        <v>274</v>
      </c>
      <c r="E79" s="406"/>
      <c r="F79" s="406"/>
      <c r="G79" s="406"/>
      <c r="H79" s="406"/>
      <c r="I79" s="261">
        <f t="shared" si="9"/>
        <v>0</v>
      </c>
      <c r="J79" s="261">
        <f t="shared" si="10"/>
        <v>0</v>
      </c>
      <c r="K79" s="261">
        <f t="shared" ref="K79:K113" si="13">IFERROR(ROUNDDOWN(D$8/E79,0),0)</f>
        <v>0</v>
      </c>
      <c r="L79" s="262">
        <f t="shared" ref="L79:L113" si="14">SUMIF($P$14:$P$115,E79,$U$14:$U$115)*I79</f>
        <v>0</v>
      </c>
      <c r="M79" s="263">
        <f t="shared" ref="M79:M113" si="15">(L79-J79)</f>
        <v>0</v>
      </c>
      <c r="N79" s="264">
        <f t="shared" ref="N79:N113" si="16">IFERROR((L79-J79)/L$115,0)</f>
        <v>0</v>
      </c>
      <c r="P79" s="1083"/>
      <c r="Q79" s="265">
        <f t="shared" si="6"/>
        <v>0</v>
      </c>
      <c r="R79" s="261">
        <f t="shared" ref="R79:R113" si="17">SUMIFS($I$14:$I$114,$E$14:$E$114,P79)</f>
        <v>0</v>
      </c>
      <c r="S79" s="266">
        <f t="shared" si="12"/>
        <v>0</v>
      </c>
      <c r="T79" s="266">
        <f t="shared" si="8"/>
        <v>0</v>
      </c>
      <c r="U79" s="266">
        <f t="shared" si="11"/>
        <v>0</v>
      </c>
    </row>
    <row r="80" spans="2:21">
      <c r="B80">
        <v>66</v>
      </c>
      <c r="C80" s="260" t="s">
        <v>222</v>
      </c>
      <c r="D80" s="33" t="s">
        <v>275</v>
      </c>
      <c r="E80" s="406"/>
      <c r="F80" s="406"/>
      <c r="G80" s="406"/>
      <c r="H80" s="406"/>
      <c r="I80" s="261">
        <f t="shared" si="9"/>
        <v>0</v>
      </c>
      <c r="J80" s="261">
        <f t="shared" ref="J80:J113" si="18">D$6*D$7*E80/1000000000*I80</f>
        <v>0</v>
      </c>
      <c r="K80" s="261">
        <f t="shared" si="13"/>
        <v>0</v>
      </c>
      <c r="L80" s="262">
        <f t="shared" si="14"/>
        <v>0</v>
      </c>
      <c r="M80" s="263">
        <f t="shared" si="15"/>
        <v>0</v>
      </c>
      <c r="N80" s="264">
        <f t="shared" si="16"/>
        <v>0</v>
      </c>
      <c r="P80" s="1083"/>
      <c r="Q80" s="265">
        <f t="shared" si="6"/>
        <v>0</v>
      </c>
      <c r="R80" s="261">
        <f t="shared" si="17"/>
        <v>0</v>
      </c>
      <c r="S80" s="266">
        <f t="shared" si="12"/>
        <v>0</v>
      </c>
      <c r="T80" s="266">
        <f t="shared" si="8"/>
        <v>0</v>
      </c>
      <c r="U80" s="266">
        <f t="shared" ref="U80:U114" si="19">IFERROR(T80/R80,0)</f>
        <v>0</v>
      </c>
    </row>
    <row r="81" spans="2:21">
      <c r="B81">
        <v>67</v>
      </c>
      <c r="C81" s="260" t="s">
        <v>222</v>
      </c>
      <c r="D81" s="33" t="s">
        <v>276</v>
      </c>
      <c r="E81" s="406"/>
      <c r="F81" s="406"/>
      <c r="G81" s="406"/>
      <c r="H81" s="406"/>
      <c r="I81" s="261">
        <f t="shared" si="9"/>
        <v>0</v>
      </c>
      <c r="J81" s="261">
        <f t="shared" si="18"/>
        <v>0</v>
      </c>
      <c r="K81" s="261">
        <f t="shared" si="13"/>
        <v>0</v>
      </c>
      <c r="L81" s="262">
        <f t="shared" si="14"/>
        <v>0</v>
      </c>
      <c r="M81" s="263">
        <f t="shared" si="15"/>
        <v>0</v>
      </c>
      <c r="N81" s="264">
        <f t="shared" si="16"/>
        <v>0</v>
      </c>
      <c r="P81" s="1083"/>
      <c r="Q81" s="265">
        <f t="shared" si="6"/>
        <v>0</v>
      </c>
      <c r="R81" s="261">
        <f t="shared" si="17"/>
        <v>0</v>
      </c>
      <c r="S81" s="266">
        <f t="shared" ref="S81:S114" si="20">IFERROR(ROUNDUP(R81/Q81,0),0)</f>
        <v>0</v>
      </c>
      <c r="T81" s="266">
        <f t="shared" si="8"/>
        <v>0</v>
      </c>
      <c r="U81" s="266">
        <f t="shared" si="19"/>
        <v>0</v>
      </c>
    </row>
    <row r="82" spans="2:21">
      <c r="B82">
        <v>68</v>
      </c>
      <c r="C82" s="260" t="s">
        <v>222</v>
      </c>
      <c r="D82" s="33" t="s">
        <v>277</v>
      </c>
      <c r="E82" s="406"/>
      <c r="F82" s="406"/>
      <c r="G82" s="406"/>
      <c r="H82" s="406"/>
      <c r="I82" s="261">
        <f t="shared" si="9"/>
        <v>0</v>
      </c>
      <c r="J82" s="261">
        <f t="shared" si="18"/>
        <v>0</v>
      </c>
      <c r="K82" s="261">
        <f t="shared" si="13"/>
        <v>0</v>
      </c>
      <c r="L82" s="262">
        <f t="shared" si="14"/>
        <v>0</v>
      </c>
      <c r="M82" s="263">
        <f t="shared" si="15"/>
        <v>0</v>
      </c>
      <c r="N82" s="264">
        <f t="shared" si="16"/>
        <v>0</v>
      </c>
      <c r="P82" s="1083"/>
      <c r="Q82" s="265">
        <f t="shared" si="6"/>
        <v>0</v>
      </c>
      <c r="R82" s="261">
        <f t="shared" si="17"/>
        <v>0</v>
      </c>
      <c r="S82" s="266">
        <f t="shared" si="20"/>
        <v>0</v>
      </c>
      <c r="T82" s="266">
        <f t="shared" si="8"/>
        <v>0</v>
      </c>
      <c r="U82" s="266">
        <f t="shared" si="19"/>
        <v>0</v>
      </c>
    </row>
    <row r="83" spans="2:21">
      <c r="B83">
        <v>69</v>
      </c>
      <c r="C83" s="260" t="s">
        <v>222</v>
      </c>
      <c r="D83" s="33" t="s">
        <v>278</v>
      </c>
      <c r="E83" s="406"/>
      <c r="F83" s="406"/>
      <c r="G83" s="406"/>
      <c r="H83" s="406"/>
      <c r="I83" s="261">
        <f t="shared" si="9"/>
        <v>0</v>
      </c>
      <c r="J83" s="261">
        <f t="shared" si="18"/>
        <v>0</v>
      </c>
      <c r="K83" s="261">
        <f t="shared" si="13"/>
        <v>0</v>
      </c>
      <c r="L83" s="262">
        <f t="shared" si="14"/>
        <v>0</v>
      </c>
      <c r="M83" s="263">
        <f t="shared" si="15"/>
        <v>0</v>
      </c>
      <c r="N83" s="264">
        <f t="shared" si="16"/>
        <v>0</v>
      </c>
      <c r="P83" s="1083"/>
      <c r="Q83" s="265">
        <f t="shared" si="6"/>
        <v>0</v>
      </c>
      <c r="R83" s="261">
        <f t="shared" si="17"/>
        <v>0</v>
      </c>
      <c r="S83" s="266">
        <f t="shared" si="20"/>
        <v>0</v>
      </c>
      <c r="T83" s="266">
        <f t="shared" si="8"/>
        <v>0</v>
      </c>
      <c r="U83" s="266">
        <f t="shared" si="19"/>
        <v>0</v>
      </c>
    </row>
    <row r="84" spans="2:21">
      <c r="B84">
        <v>70</v>
      </c>
      <c r="C84" s="260" t="s">
        <v>222</v>
      </c>
      <c r="D84" s="33" t="s">
        <v>279</v>
      </c>
      <c r="E84" s="406"/>
      <c r="F84" s="406"/>
      <c r="G84" s="406"/>
      <c r="H84" s="406"/>
      <c r="I84" s="261">
        <f t="shared" si="9"/>
        <v>0</v>
      </c>
      <c r="J84" s="261">
        <f t="shared" si="18"/>
        <v>0</v>
      </c>
      <c r="K84" s="261">
        <f t="shared" si="13"/>
        <v>0</v>
      </c>
      <c r="L84" s="262">
        <f t="shared" si="14"/>
        <v>0</v>
      </c>
      <c r="M84" s="263">
        <f t="shared" si="15"/>
        <v>0</v>
      </c>
      <c r="N84" s="264">
        <f t="shared" si="16"/>
        <v>0</v>
      </c>
      <c r="P84" s="1083"/>
      <c r="Q84" s="265">
        <f t="shared" si="6"/>
        <v>0</v>
      </c>
      <c r="R84" s="261">
        <f t="shared" si="17"/>
        <v>0</v>
      </c>
      <c r="S84" s="266">
        <f t="shared" si="20"/>
        <v>0</v>
      </c>
      <c r="T84" s="266">
        <f t="shared" si="8"/>
        <v>0</v>
      </c>
      <c r="U84" s="266">
        <f t="shared" si="19"/>
        <v>0</v>
      </c>
    </row>
    <row r="85" spans="2:21">
      <c r="B85">
        <v>71</v>
      </c>
      <c r="C85" s="260" t="s">
        <v>222</v>
      </c>
      <c r="D85" s="33" t="s">
        <v>280</v>
      </c>
      <c r="E85" s="406"/>
      <c r="F85" s="406"/>
      <c r="G85" s="406"/>
      <c r="H85" s="406"/>
      <c r="I85" s="261">
        <f t="shared" si="9"/>
        <v>0</v>
      </c>
      <c r="J85" s="261">
        <f t="shared" si="18"/>
        <v>0</v>
      </c>
      <c r="K85" s="261">
        <f t="shared" si="13"/>
        <v>0</v>
      </c>
      <c r="L85" s="262">
        <f t="shared" si="14"/>
        <v>0</v>
      </c>
      <c r="M85" s="263">
        <f t="shared" si="15"/>
        <v>0</v>
      </c>
      <c r="N85" s="264">
        <f t="shared" si="16"/>
        <v>0</v>
      </c>
      <c r="P85" s="1083"/>
      <c r="Q85" s="265">
        <f t="shared" si="6"/>
        <v>0</v>
      </c>
      <c r="R85" s="261">
        <f t="shared" si="17"/>
        <v>0</v>
      </c>
      <c r="S85" s="266">
        <f t="shared" si="20"/>
        <v>0</v>
      </c>
      <c r="T85" s="266">
        <f t="shared" si="8"/>
        <v>0</v>
      </c>
      <c r="U85" s="266">
        <f t="shared" si="19"/>
        <v>0</v>
      </c>
    </row>
    <row r="86" spans="2:21">
      <c r="B86">
        <v>72</v>
      </c>
      <c r="C86" s="260" t="s">
        <v>222</v>
      </c>
      <c r="D86" s="33" t="s">
        <v>281</v>
      </c>
      <c r="E86" s="406"/>
      <c r="F86" s="406"/>
      <c r="G86" s="406"/>
      <c r="H86" s="406"/>
      <c r="I86" s="261">
        <f t="shared" si="9"/>
        <v>0</v>
      </c>
      <c r="J86" s="261">
        <f t="shared" si="18"/>
        <v>0</v>
      </c>
      <c r="K86" s="261">
        <f t="shared" si="13"/>
        <v>0</v>
      </c>
      <c r="L86" s="262">
        <f t="shared" si="14"/>
        <v>0</v>
      </c>
      <c r="M86" s="263">
        <f t="shared" si="15"/>
        <v>0</v>
      </c>
      <c r="N86" s="264">
        <f t="shared" si="16"/>
        <v>0</v>
      </c>
      <c r="P86" s="1083"/>
      <c r="Q86" s="265">
        <f t="shared" si="6"/>
        <v>0</v>
      </c>
      <c r="R86" s="261">
        <f t="shared" si="17"/>
        <v>0</v>
      </c>
      <c r="S86" s="266">
        <f t="shared" si="20"/>
        <v>0</v>
      </c>
      <c r="T86" s="266">
        <f t="shared" si="8"/>
        <v>0</v>
      </c>
      <c r="U86" s="266">
        <f t="shared" si="19"/>
        <v>0</v>
      </c>
    </row>
    <row r="87" spans="2:21">
      <c r="B87">
        <v>73</v>
      </c>
      <c r="C87" s="260" t="s">
        <v>222</v>
      </c>
      <c r="D87" s="33" t="s">
        <v>282</v>
      </c>
      <c r="E87" s="406"/>
      <c r="F87" s="406"/>
      <c r="G87" s="406"/>
      <c r="H87" s="406"/>
      <c r="I87" s="261">
        <f t="shared" si="9"/>
        <v>0</v>
      </c>
      <c r="J87" s="261">
        <f t="shared" si="18"/>
        <v>0</v>
      </c>
      <c r="K87" s="261">
        <f t="shared" si="13"/>
        <v>0</v>
      </c>
      <c r="L87" s="262">
        <f t="shared" si="14"/>
        <v>0</v>
      </c>
      <c r="M87" s="263">
        <f t="shared" si="15"/>
        <v>0</v>
      </c>
      <c r="N87" s="264">
        <f t="shared" si="16"/>
        <v>0</v>
      </c>
      <c r="P87" s="1083"/>
      <c r="Q87" s="265">
        <f t="shared" si="6"/>
        <v>0</v>
      </c>
      <c r="R87" s="261">
        <f t="shared" si="17"/>
        <v>0</v>
      </c>
      <c r="S87" s="266">
        <f t="shared" si="20"/>
        <v>0</v>
      </c>
      <c r="T87" s="266">
        <f t="shared" si="8"/>
        <v>0</v>
      </c>
      <c r="U87" s="266">
        <f t="shared" si="19"/>
        <v>0</v>
      </c>
    </row>
    <row r="88" spans="2:21">
      <c r="B88">
        <v>74</v>
      </c>
      <c r="C88" s="260" t="s">
        <v>222</v>
      </c>
      <c r="D88" s="33" t="s">
        <v>283</v>
      </c>
      <c r="E88" s="406"/>
      <c r="F88" s="406"/>
      <c r="G88" s="406"/>
      <c r="H88" s="406"/>
      <c r="I88" s="261">
        <f t="shared" si="9"/>
        <v>0</v>
      </c>
      <c r="J88" s="261">
        <f t="shared" si="18"/>
        <v>0</v>
      </c>
      <c r="K88" s="261">
        <f t="shared" si="13"/>
        <v>0</v>
      </c>
      <c r="L88" s="262">
        <f t="shared" si="14"/>
        <v>0</v>
      </c>
      <c r="M88" s="263">
        <f t="shared" si="15"/>
        <v>0</v>
      </c>
      <c r="N88" s="264">
        <f t="shared" si="16"/>
        <v>0</v>
      </c>
      <c r="P88" s="1083"/>
      <c r="Q88" s="265">
        <f t="shared" si="6"/>
        <v>0</v>
      </c>
      <c r="R88" s="261">
        <f t="shared" si="17"/>
        <v>0</v>
      </c>
      <c r="S88" s="266">
        <f t="shared" si="20"/>
        <v>0</v>
      </c>
      <c r="T88" s="266">
        <f t="shared" si="8"/>
        <v>0</v>
      </c>
      <c r="U88" s="266">
        <f t="shared" si="19"/>
        <v>0</v>
      </c>
    </row>
    <row r="89" spans="2:21">
      <c r="B89">
        <v>75</v>
      </c>
      <c r="C89" s="260" t="s">
        <v>222</v>
      </c>
      <c r="D89" s="33" t="s">
        <v>284</v>
      </c>
      <c r="E89" s="406"/>
      <c r="F89" s="406"/>
      <c r="G89" s="406"/>
      <c r="H89" s="406"/>
      <c r="I89" s="261">
        <f t="shared" si="9"/>
        <v>0</v>
      </c>
      <c r="J89" s="261">
        <f t="shared" si="18"/>
        <v>0</v>
      </c>
      <c r="K89" s="261">
        <f t="shared" si="13"/>
        <v>0</v>
      </c>
      <c r="L89" s="262">
        <f t="shared" si="14"/>
        <v>0</v>
      </c>
      <c r="M89" s="263">
        <f t="shared" si="15"/>
        <v>0</v>
      </c>
      <c r="N89" s="264">
        <f t="shared" si="16"/>
        <v>0</v>
      </c>
      <c r="P89" s="1083"/>
      <c r="Q89" s="265">
        <f t="shared" si="6"/>
        <v>0</v>
      </c>
      <c r="R89" s="261">
        <f t="shared" si="17"/>
        <v>0</v>
      </c>
      <c r="S89" s="266">
        <f t="shared" si="20"/>
        <v>0</v>
      </c>
      <c r="T89" s="266">
        <f t="shared" si="8"/>
        <v>0</v>
      </c>
      <c r="U89" s="266">
        <f t="shared" si="19"/>
        <v>0</v>
      </c>
    </row>
    <row r="90" spans="2:21">
      <c r="B90">
        <v>76</v>
      </c>
      <c r="C90" s="260" t="s">
        <v>222</v>
      </c>
      <c r="D90" s="33" t="s">
        <v>285</v>
      </c>
      <c r="E90" s="406"/>
      <c r="F90" s="406"/>
      <c r="G90" s="406"/>
      <c r="H90" s="406"/>
      <c r="I90" s="261">
        <f t="shared" si="9"/>
        <v>0</v>
      </c>
      <c r="J90" s="261">
        <f t="shared" si="18"/>
        <v>0</v>
      </c>
      <c r="K90" s="261">
        <f t="shared" si="13"/>
        <v>0</v>
      </c>
      <c r="L90" s="262">
        <f t="shared" si="14"/>
        <v>0</v>
      </c>
      <c r="M90" s="263">
        <f t="shared" si="15"/>
        <v>0</v>
      </c>
      <c r="N90" s="264">
        <f t="shared" si="16"/>
        <v>0</v>
      </c>
      <c r="P90" s="1083"/>
      <c r="Q90" s="265">
        <f t="shared" si="6"/>
        <v>0</v>
      </c>
      <c r="R90" s="261">
        <f t="shared" si="17"/>
        <v>0</v>
      </c>
      <c r="S90" s="266">
        <f t="shared" si="20"/>
        <v>0</v>
      </c>
      <c r="T90" s="266">
        <f t="shared" si="8"/>
        <v>0</v>
      </c>
      <c r="U90" s="266">
        <f t="shared" si="19"/>
        <v>0</v>
      </c>
    </row>
    <row r="91" spans="2:21">
      <c r="B91">
        <v>77</v>
      </c>
      <c r="C91" s="260" t="s">
        <v>222</v>
      </c>
      <c r="D91" s="33" t="s">
        <v>286</v>
      </c>
      <c r="E91" s="406"/>
      <c r="F91" s="406"/>
      <c r="G91" s="406"/>
      <c r="H91" s="406"/>
      <c r="I91" s="261">
        <f t="shared" si="9"/>
        <v>0</v>
      </c>
      <c r="J91" s="261">
        <f t="shared" si="18"/>
        <v>0</v>
      </c>
      <c r="K91" s="261">
        <f t="shared" si="13"/>
        <v>0</v>
      </c>
      <c r="L91" s="262">
        <f t="shared" si="14"/>
        <v>0</v>
      </c>
      <c r="M91" s="263">
        <f t="shared" si="15"/>
        <v>0</v>
      </c>
      <c r="N91" s="264">
        <f t="shared" si="16"/>
        <v>0</v>
      </c>
      <c r="P91" s="1083"/>
      <c r="Q91" s="265">
        <f t="shared" si="6"/>
        <v>0</v>
      </c>
      <c r="R91" s="261">
        <f t="shared" si="17"/>
        <v>0</v>
      </c>
      <c r="S91" s="266">
        <f t="shared" si="20"/>
        <v>0</v>
      </c>
      <c r="T91" s="266">
        <f t="shared" si="8"/>
        <v>0</v>
      </c>
      <c r="U91" s="266">
        <f t="shared" si="19"/>
        <v>0</v>
      </c>
    </row>
    <row r="92" spans="2:21">
      <c r="B92">
        <v>78</v>
      </c>
      <c r="C92" s="260" t="s">
        <v>222</v>
      </c>
      <c r="D92" s="33" t="s">
        <v>287</v>
      </c>
      <c r="E92" s="406"/>
      <c r="F92" s="406"/>
      <c r="G92" s="406"/>
      <c r="H92" s="406"/>
      <c r="I92" s="261">
        <f t="shared" si="9"/>
        <v>0</v>
      </c>
      <c r="J92" s="261">
        <f t="shared" si="18"/>
        <v>0</v>
      </c>
      <c r="K92" s="261">
        <f t="shared" si="13"/>
        <v>0</v>
      </c>
      <c r="L92" s="262">
        <f t="shared" si="14"/>
        <v>0</v>
      </c>
      <c r="M92" s="263">
        <f t="shared" si="15"/>
        <v>0</v>
      </c>
      <c r="N92" s="264">
        <f t="shared" si="16"/>
        <v>0</v>
      </c>
      <c r="P92" s="1083"/>
      <c r="Q92" s="265">
        <f t="shared" si="6"/>
        <v>0</v>
      </c>
      <c r="R92" s="261">
        <f t="shared" si="17"/>
        <v>0</v>
      </c>
      <c r="S92" s="266">
        <f t="shared" si="20"/>
        <v>0</v>
      </c>
      <c r="T92" s="266">
        <f t="shared" si="8"/>
        <v>0</v>
      </c>
      <c r="U92" s="266">
        <f t="shared" si="19"/>
        <v>0</v>
      </c>
    </row>
    <row r="93" spans="2:21">
      <c r="B93">
        <v>79</v>
      </c>
      <c r="C93" s="260" t="s">
        <v>222</v>
      </c>
      <c r="D93" s="33" t="s">
        <v>288</v>
      </c>
      <c r="E93" s="406"/>
      <c r="F93" s="406"/>
      <c r="G93" s="406"/>
      <c r="H93" s="406"/>
      <c r="I93" s="261">
        <f t="shared" si="9"/>
        <v>0</v>
      </c>
      <c r="J93" s="261">
        <f t="shared" si="18"/>
        <v>0</v>
      </c>
      <c r="K93" s="261">
        <f t="shared" si="13"/>
        <v>0</v>
      </c>
      <c r="L93" s="262">
        <f t="shared" si="14"/>
        <v>0</v>
      </c>
      <c r="M93" s="263">
        <f t="shared" si="15"/>
        <v>0</v>
      </c>
      <c r="N93" s="264">
        <f t="shared" si="16"/>
        <v>0</v>
      </c>
      <c r="P93" s="1083"/>
      <c r="Q93" s="265">
        <f t="shared" si="6"/>
        <v>0</v>
      </c>
      <c r="R93" s="261">
        <f t="shared" si="17"/>
        <v>0</v>
      </c>
      <c r="S93" s="266">
        <f t="shared" si="20"/>
        <v>0</v>
      </c>
      <c r="T93" s="266">
        <f t="shared" si="8"/>
        <v>0</v>
      </c>
      <c r="U93" s="266">
        <f t="shared" si="19"/>
        <v>0</v>
      </c>
    </row>
    <row r="94" spans="2:21">
      <c r="B94">
        <v>80</v>
      </c>
      <c r="C94" s="260" t="s">
        <v>222</v>
      </c>
      <c r="D94" s="33" t="s">
        <v>289</v>
      </c>
      <c r="E94" s="406"/>
      <c r="F94" s="406"/>
      <c r="G94" s="406"/>
      <c r="H94" s="406"/>
      <c r="I94" s="261">
        <f t="shared" si="9"/>
        <v>0</v>
      </c>
      <c r="J94" s="261">
        <f t="shared" si="18"/>
        <v>0</v>
      </c>
      <c r="K94" s="261">
        <f t="shared" si="13"/>
        <v>0</v>
      </c>
      <c r="L94" s="262">
        <f t="shared" si="14"/>
        <v>0</v>
      </c>
      <c r="M94" s="263">
        <f t="shared" si="15"/>
        <v>0</v>
      </c>
      <c r="N94" s="264">
        <f t="shared" si="16"/>
        <v>0</v>
      </c>
      <c r="P94" s="1083"/>
      <c r="Q94" s="265">
        <f t="shared" si="6"/>
        <v>0</v>
      </c>
      <c r="R94" s="261">
        <f t="shared" si="17"/>
        <v>0</v>
      </c>
      <c r="S94" s="266">
        <f t="shared" si="20"/>
        <v>0</v>
      </c>
      <c r="T94" s="266">
        <f t="shared" si="8"/>
        <v>0</v>
      </c>
      <c r="U94" s="266">
        <f t="shared" si="19"/>
        <v>0</v>
      </c>
    </row>
    <row r="95" spans="2:21">
      <c r="B95">
        <v>81</v>
      </c>
      <c r="C95" s="260" t="s">
        <v>222</v>
      </c>
      <c r="D95" s="33" t="s">
        <v>290</v>
      </c>
      <c r="E95" s="406"/>
      <c r="F95" s="406"/>
      <c r="G95" s="406"/>
      <c r="H95" s="406"/>
      <c r="I95" s="261">
        <f t="shared" si="9"/>
        <v>0</v>
      </c>
      <c r="J95" s="261">
        <f t="shared" si="18"/>
        <v>0</v>
      </c>
      <c r="K95" s="261">
        <f t="shared" si="13"/>
        <v>0</v>
      </c>
      <c r="L95" s="262">
        <f t="shared" si="14"/>
        <v>0</v>
      </c>
      <c r="M95" s="263">
        <f t="shared" si="15"/>
        <v>0</v>
      </c>
      <c r="N95" s="264">
        <f t="shared" si="16"/>
        <v>0</v>
      </c>
      <c r="P95" s="1083"/>
      <c r="Q95" s="265">
        <f t="shared" si="6"/>
        <v>0</v>
      </c>
      <c r="R95" s="261">
        <f t="shared" si="17"/>
        <v>0</v>
      </c>
      <c r="S95" s="266">
        <f t="shared" si="20"/>
        <v>0</v>
      </c>
      <c r="T95" s="266">
        <f t="shared" si="8"/>
        <v>0</v>
      </c>
      <c r="U95" s="266">
        <f t="shared" si="19"/>
        <v>0</v>
      </c>
    </row>
    <row r="96" spans="2:21">
      <c r="B96">
        <v>82</v>
      </c>
      <c r="C96" s="260" t="s">
        <v>222</v>
      </c>
      <c r="D96" s="33" t="s">
        <v>291</v>
      </c>
      <c r="E96" s="406"/>
      <c r="F96" s="406"/>
      <c r="G96" s="406"/>
      <c r="H96" s="406"/>
      <c r="I96" s="261">
        <f t="shared" si="9"/>
        <v>0</v>
      </c>
      <c r="J96" s="261">
        <f t="shared" si="18"/>
        <v>0</v>
      </c>
      <c r="K96" s="261">
        <f t="shared" si="13"/>
        <v>0</v>
      </c>
      <c r="L96" s="262">
        <f t="shared" si="14"/>
        <v>0</v>
      </c>
      <c r="M96" s="263">
        <f t="shared" si="15"/>
        <v>0</v>
      </c>
      <c r="N96" s="264">
        <f t="shared" si="16"/>
        <v>0</v>
      </c>
      <c r="P96" s="1083"/>
      <c r="Q96" s="265">
        <f t="shared" si="6"/>
        <v>0</v>
      </c>
      <c r="R96" s="261">
        <f t="shared" si="17"/>
        <v>0</v>
      </c>
      <c r="S96" s="266">
        <f t="shared" si="20"/>
        <v>0</v>
      </c>
      <c r="T96" s="266">
        <f t="shared" si="8"/>
        <v>0</v>
      </c>
      <c r="U96" s="266">
        <f t="shared" si="19"/>
        <v>0</v>
      </c>
    </row>
    <row r="97" spans="2:21">
      <c r="B97">
        <v>83</v>
      </c>
      <c r="C97" s="260" t="s">
        <v>222</v>
      </c>
      <c r="D97" s="33" t="s">
        <v>292</v>
      </c>
      <c r="E97" s="406"/>
      <c r="F97" s="406"/>
      <c r="G97" s="406"/>
      <c r="H97" s="406"/>
      <c r="I97" s="261">
        <f t="shared" si="9"/>
        <v>0</v>
      </c>
      <c r="J97" s="261">
        <f t="shared" si="18"/>
        <v>0</v>
      </c>
      <c r="K97" s="261">
        <f t="shared" si="13"/>
        <v>0</v>
      </c>
      <c r="L97" s="262">
        <f t="shared" si="14"/>
        <v>0</v>
      </c>
      <c r="M97" s="263">
        <f t="shared" si="15"/>
        <v>0</v>
      </c>
      <c r="N97" s="264">
        <f t="shared" si="16"/>
        <v>0</v>
      </c>
      <c r="P97" s="1083"/>
      <c r="Q97" s="265">
        <f t="shared" si="6"/>
        <v>0</v>
      </c>
      <c r="R97" s="261">
        <f t="shared" si="17"/>
        <v>0</v>
      </c>
      <c r="S97" s="266">
        <f t="shared" si="20"/>
        <v>0</v>
      </c>
      <c r="T97" s="266">
        <f t="shared" si="8"/>
        <v>0</v>
      </c>
      <c r="U97" s="266">
        <f t="shared" si="19"/>
        <v>0</v>
      </c>
    </row>
    <row r="98" spans="2:21">
      <c r="B98">
        <v>84</v>
      </c>
      <c r="C98" s="260" t="s">
        <v>222</v>
      </c>
      <c r="D98" s="33" t="s">
        <v>293</v>
      </c>
      <c r="E98" s="406"/>
      <c r="F98" s="406"/>
      <c r="G98" s="406"/>
      <c r="H98" s="406"/>
      <c r="I98" s="261">
        <f t="shared" si="9"/>
        <v>0</v>
      </c>
      <c r="J98" s="261">
        <f t="shared" si="18"/>
        <v>0</v>
      </c>
      <c r="K98" s="261">
        <f t="shared" si="13"/>
        <v>0</v>
      </c>
      <c r="L98" s="262">
        <f t="shared" si="14"/>
        <v>0</v>
      </c>
      <c r="M98" s="263">
        <f t="shared" si="15"/>
        <v>0</v>
      </c>
      <c r="N98" s="264">
        <f t="shared" si="16"/>
        <v>0</v>
      </c>
      <c r="P98" s="1083"/>
      <c r="Q98" s="265">
        <f t="shared" si="6"/>
        <v>0</v>
      </c>
      <c r="R98" s="261">
        <f t="shared" si="17"/>
        <v>0</v>
      </c>
      <c r="S98" s="266">
        <f t="shared" si="20"/>
        <v>0</v>
      </c>
      <c r="T98" s="266">
        <f t="shared" si="8"/>
        <v>0</v>
      </c>
      <c r="U98" s="266">
        <f t="shared" si="19"/>
        <v>0</v>
      </c>
    </row>
    <row r="99" spans="2:21">
      <c r="B99">
        <v>85</v>
      </c>
      <c r="C99" s="260" t="s">
        <v>222</v>
      </c>
      <c r="D99" s="33" t="s">
        <v>294</v>
      </c>
      <c r="E99" s="406"/>
      <c r="F99" s="406"/>
      <c r="G99" s="406"/>
      <c r="H99" s="406"/>
      <c r="I99" s="261">
        <f t="shared" si="9"/>
        <v>0</v>
      </c>
      <c r="J99" s="261">
        <f t="shared" si="18"/>
        <v>0</v>
      </c>
      <c r="K99" s="261">
        <f t="shared" si="13"/>
        <v>0</v>
      </c>
      <c r="L99" s="262">
        <f t="shared" si="14"/>
        <v>0</v>
      </c>
      <c r="M99" s="263">
        <f t="shared" si="15"/>
        <v>0</v>
      </c>
      <c r="N99" s="264">
        <f t="shared" si="16"/>
        <v>0</v>
      </c>
      <c r="P99" s="1083"/>
      <c r="Q99" s="265">
        <f t="shared" si="6"/>
        <v>0</v>
      </c>
      <c r="R99" s="261">
        <f t="shared" si="17"/>
        <v>0</v>
      </c>
      <c r="S99" s="266">
        <f t="shared" si="20"/>
        <v>0</v>
      </c>
      <c r="T99" s="266">
        <f t="shared" si="8"/>
        <v>0</v>
      </c>
      <c r="U99" s="266">
        <f t="shared" si="19"/>
        <v>0</v>
      </c>
    </row>
    <row r="100" spans="2:21">
      <c r="B100">
        <v>86</v>
      </c>
      <c r="C100" s="260" t="s">
        <v>222</v>
      </c>
      <c r="D100" s="33" t="s">
        <v>295</v>
      </c>
      <c r="E100" s="406"/>
      <c r="F100" s="406"/>
      <c r="G100" s="406"/>
      <c r="H100" s="406"/>
      <c r="I100" s="261">
        <f t="shared" si="9"/>
        <v>0</v>
      </c>
      <c r="J100" s="261">
        <f t="shared" si="18"/>
        <v>0</v>
      </c>
      <c r="K100" s="261">
        <f t="shared" si="13"/>
        <v>0</v>
      </c>
      <c r="L100" s="262">
        <f t="shared" si="14"/>
        <v>0</v>
      </c>
      <c r="M100" s="263">
        <f t="shared" si="15"/>
        <v>0</v>
      </c>
      <c r="N100" s="264">
        <f t="shared" si="16"/>
        <v>0</v>
      </c>
      <c r="P100" s="1083"/>
      <c r="Q100" s="265">
        <f t="shared" si="6"/>
        <v>0</v>
      </c>
      <c r="R100" s="261">
        <f t="shared" si="17"/>
        <v>0</v>
      </c>
      <c r="S100" s="266">
        <f t="shared" si="20"/>
        <v>0</v>
      </c>
      <c r="T100" s="266">
        <f t="shared" si="8"/>
        <v>0</v>
      </c>
      <c r="U100" s="266">
        <f t="shared" si="19"/>
        <v>0</v>
      </c>
    </row>
    <row r="101" spans="2:21">
      <c r="B101">
        <v>87</v>
      </c>
      <c r="C101" s="260" t="s">
        <v>222</v>
      </c>
      <c r="D101" s="33" t="s">
        <v>296</v>
      </c>
      <c r="E101" s="406"/>
      <c r="F101" s="406"/>
      <c r="G101" s="406"/>
      <c r="H101" s="406"/>
      <c r="I101" s="261">
        <f t="shared" si="9"/>
        <v>0</v>
      </c>
      <c r="J101" s="261">
        <f t="shared" si="18"/>
        <v>0</v>
      </c>
      <c r="K101" s="261">
        <f t="shared" si="13"/>
        <v>0</v>
      </c>
      <c r="L101" s="262">
        <f t="shared" si="14"/>
        <v>0</v>
      </c>
      <c r="M101" s="263">
        <f t="shared" si="15"/>
        <v>0</v>
      </c>
      <c r="N101" s="264">
        <f t="shared" si="16"/>
        <v>0</v>
      </c>
      <c r="P101" s="1083"/>
      <c r="Q101" s="265">
        <f t="shared" si="6"/>
        <v>0</v>
      </c>
      <c r="R101" s="261">
        <f t="shared" si="17"/>
        <v>0</v>
      </c>
      <c r="S101" s="266">
        <f t="shared" si="20"/>
        <v>0</v>
      </c>
      <c r="T101" s="266">
        <f t="shared" si="8"/>
        <v>0</v>
      </c>
      <c r="U101" s="266">
        <f t="shared" si="19"/>
        <v>0</v>
      </c>
    </row>
    <row r="102" spans="2:21">
      <c r="B102">
        <v>88</v>
      </c>
      <c r="C102" s="260" t="s">
        <v>222</v>
      </c>
      <c r="D102" s="33" t="s">
        <v>297</v>
      </c>
      <c r="E102" s="406"/>
      <c r="F102" s="406"/>
      <c r="G102" s="406"/>
      <c r="H102" s="406"/>
      <c r="I102" s="261">
        <f t="shared" si="9"/>
        <v>0</v>
      </c>
      <c r="J102" s="261">
        <f t="shared" si="18"/>
        <v>0</v>
      </c>
      <c r="K102" s="261">
        <f t="shared" si="13"/>
        <v>0</v>
      </c>
      <c r="L102" s="262">
        <f t="shared" si="14"/>
        <v>0</v>
      </c>
      <c r="M102" s="263">
        <f t="shared" si="15"/>
        <v>0</v>
      </c>
      <c r="N102" s="264">
        <f t="shared" si="16"/>
        <v>0</v>
      </c>
      <c r="P102" s="1083"/>
      <c r="Q102" s="265">
        <f t="shared" si="6"/>
        <v>0</v>
      </c>
      <c r="R102" s="261">
        <f t="shared" si="17"/>
        <v>0</v>
      </c>
      <c r="S102" s="266">
        <f t="shared" si="20"/>
        <v>0</v>
      </c>
      <c r="T102" s="266">
        <f t="shared" si="8"/>
        <v>0</v>
      </c>
      <c r="U102" s="266">
        <f t="shared" si="19"/>
        <v>0</v>
      </c>
    </row>
    <row r="103" spans="2:21">
      <c r="B103">
        <v>89</v>
      </c>
      <c r="C103" s="260" t="s">
        <v>222</v>
      </c>
      <c r="D103" s="33" t="s">
        <v>298</v>
      </c>
      <c r="E103" s="406"/>
      <c r="F103" s="406"/>
      <c r="G103" s="406"/>
      <c r="H103" s="406"/>
      <c r="I103" s="261">
        <f t="shared" si="9"/>
        <v>0</v>
      </c>
      <c r="J103" s="261">
        <f t="shared" si="18"/>
        <v>0</v>
      </c>
      <c r="K103" s="261">
        <f t="shared" si="13"/>
        <v>0</v>
      </c>
      <c r="L103" s="262">
        <f t="shared" si="14"/>
        <v>0</v>
      </c>
      <c r="M103" s="263">
        <f t="shared" si="15"/>
        <v>0</v>
      </c>
      <c r="N103" s="264">
        <f t="shared" si="16"/>
        <v>0</v>
      </c>
      <c r="P103" s="1083"/>
      <c r="Q103" s="265">
        <f t="shared" si="6"/>
        <v>0</v>
      </c>
      <c r="R103" s="261">
        <f t="shared" si="17"/>
        <v>0</v>
      </c>
      <c r="S103" s="266">
        <f t="shared" si="20"/>
        <v>0</v>
      </c>
      <c r="T103" s="266">
        <f t="shared" si="8"/>
        <v>0</v>
      </c>
      <c r="U103" s="266">
        <f t="shared" si="19"/>
        <v>0</v>
      </c>
    </row>
    <row r="104" spans="2:21">
      <c r="B104">
        <v>90</v>
      </c>
      <c r="C104" s="260" t="s">
        <v>222</v>
      </c>
      <c r="D104" s="33" t="s">
        <v>299</v>
      </c>
      <c r="E104" s="406"/>
      <c r="F104" s="406"/>
      <c r="G104" s="406"/>
      <c r="H104" s="406"/>
      <c r="I104" s="261">
        <f t="shared" si="9"/>
        <v>0</v>
      </c>
      <c r="J104" s="261">
        <f t="shared" si="18"/>
        <v>0</v>
      </c>
      <c r="K104" s="261">
        <f t="shared" si="13"/>
        <v>0</v>
      </c>
      <c r="L104" s="262">
        <f t="shared" si="14"/>
        <v>0</v>
      </c>
      <c r="M104" s="263">
        <f t="shared" si="15"/>
        <v>0</v>
      </c>
      <c r="N104" s="264">
        <f t="shared" si="16"/>
        <v>0</v>
      </c>
      <c r="P104" s="1083"/>
      <c r="Q104" s="265">
        <f t="shared" si="6"/>
        <v>0</v>
      </c>
      <c r="R104" s="261">
        <f t="shared" si="17"/>
        <v>0</v>
      </c>
      <c r="S104" s="266">
        <f t="shared" si="20"/>
        <v>0</v>
      </c>
      <c r="T104" s="266">
        <f t="shared" si="8"/>
        <v>0</v>
      </c>
      <c r="U104" s="266">
        <f t="shared" si="19"/>
        <v>0</v>
      </c>
    </row>
    <row r="105" spans="2:21">
      <c r="B105">
        <v>91</v>
      </c>
      <c r="C105" s="260" t="s">
        <v>222</v>
      </c>
      <c r="D105" s="33" t="s">
        <v>300</v>
      </c>
      <c r="E105" s="406"/>
      <c r="F105" s="406"/>
      <c r="G105" s="406"/>
      <c r="H105" s="406"/>
      <c r="I105" s="261">
        <f t="shared" si="9"/>
        <v>0</v>
      </c>
      <c r="J105" s="261">
        <f t="shared" si="18"/>
        <v>0</v>
      </c>
      <c r="K105" s="261">
        <f t="shared" si="13"/>
        <v>0</v>
      </c>
      <c r="L105" s="262">
        <f t="shared" si="14"/>
        <v>0</v>
      </c>
      <c r="M105" s="263">
        <f t="shared" si="15"/>
        <v>0</v>
      </c>
      <c r="N105" s="264">
        <f t="shared" si="16"/>
        <v>0</v>
      </c>
      <c r="P105" s="1083"/>
      <c r="Q105" s="265">
        <f t="shared" si="6"/>
        <v>0</v>
      </c>
      <c r="R105" s="261">
        <f t="shared" si="17"/>
        <v>0</v>
      </c>
      <c r="S105" s="266">
        <f t="shared" si="20"/>
        <v>0</v>
      </c>
      <c r="T105" s="266">
        <f t="shared" si="8"/>
        <v>0</v>
      </c>
      <c r="U105" s="266">
        <f t="shared" si="19"/>
        <v>0</v>
      </c>
    </row>
    <row r="106" spans="2:21">
      <c r="B106">
        <v>92</v>
      </c>
      <c r="C106" s="260" t="s">
        <v>222</v>
      </c>
      <c r="D106" s="33" t="s">
        <v>301</v>
      </c>
      <c r="E106" s="406"/>
      <c r="F106" s="406"/>
      <c r="G106" s="406"/>
      <c r="H106" s="406"/>
      <c r="I106" s="261">
        <f t="shared" si="9"/>
        <v>0</v>
      </c>
      <c r="J106" s="261">
        <f t="shared" si="18"/>
        <v>0</v>
      </c>
      <c r="K106" s="261">
        <f t="shared" si="13"/>
        <v>0</v>
      </c>
      <c r="L106" s="262">
        <f t="shared" si="14"/>
        <v>0</v>
      </c>
      <c r="M106" s="263">
        <f t="shared" si="15"/>
        <v>0</v>
      </c>
      <c r="N106" s="264">
        <f t="shared" si="16"/>
        <v>0</v>
      </c>
      <c r="P106" s="1083"/>
      <c r="Q106" s="265">
        <f t="shared" si="6"/>
        <v>0</v>
      </c>
      <c r="R106" s="261">
        <f t="shared" si="17"/>
        <v>0</v>
      </c>
      <c r="S106" s="266">
        <f t="shared" si="20"/>
        <v>0</v>
      </c>
      <c r="T106" s="266">
        <f t="shared" si="8"/>
        <v>0</v>
      </c>
      <c r="U106" s="266">
        <f t="shared" si="19"/>
        <v>0</v>
      </c>
    </row>
    <row r="107" spans="2:21">
      <c r="B107">
        <v>93</v>
      </c>
      <c r="C107" s="260" t="s">
        <v>222</v>
      </c>
      <c r="D107" s="33" t="s">
        <v>302</v>
      </c>
      <c r="E107" s="406"/>
      <c r="F107" s="406"/>
      <c r="G107" s="406"/>
      <c r="H107" s="406"/>
      <c r="I107" s="261">
        <f t="shared" si="9"/>
        <v>0</v>
      </c>
      <c r="J107" s="261">
        <f t="shared" si="18"/>
        <v>0</v>
      </c>
      <c r="K107" s="261">
        <f t="shared" si="13"/>
        <v>0</v>
      </c>
      <c r="L107" s="262">
        <f t="shared" si="14"/>
        <v>0</v>
      </c>
      <c r="M107" s="263">
        <f t="shared" si="15"/>
        <v>0</v>
      </c>
      <c r="N107" s="264">
        <f t="shared" si="16"/>
        <v>0</v>
      </c>
      <c r="P107" s="1083"/>
      <c r="Q107" s="265">
        <f t="shared" si="6"/>
        <v>0</v>
      </c>
      <c r="R107" s="261">
        <f t="shared" si="17"/>
        <v>0</v>
      </c>
      <c r="S107" s="266">
        <f t="shared" si="20"/>
        <v>0</v>
      </c>
      <c r="T107" s="266">
        <f t="shared" si="8"/>
        <v>0</v>
      </c>
      <c r="U107" s="266">
        <f t="shared" si="19"/>
        <v>0</v>
      </c>
    </row>
    <row r="108" spans="2:21">
      <c r="B108">
        <v>94</v>
      </c>
      <c r="C108" s="260" t="s">
        <v>222</v>
      </c>
      <c r="D108" s="33" t="s">
        <v>303</v>
      </c>
      <c r="E108" s="406"/>
      <c r="F108" s="406"/>
      <c r="G108" s="406"/>
      <c r="H108" s="406"/>
      <c r="I108" s="261">
        <f t="shared" si="9"/>
        <v>0</v>
      </c>
      <c r="J108" s="261">
        <f t="shared" si="18"/>
        <v>0</v>
      </c>
      <c r="K108" s="261">
        <f t="shared" si="13"/>
        <v>0</v>
      </c>
      <c r="L108" s="262">
        <f t="shared" si="14"/>
        <v>0</v>
      </c>
      <c r="M108" s="263">
        <f t="shared" si="15"/>
        <v>0</v>
      </c>
      <c r="N108" s="264">
        <f t="shared" si="16"/>
        <v>0</v>
      </c>
      <c r="P108" s="1083"/>
      <c r="Q108" s="265">
        <f t="shared" si="6"/>
        <v>0</v>
      </c>
      <c r="R108" s="261">
        <f t="shared" si="17"/>
        <v>0</v>
      </c>
      <c r="S108" s="266">
        <f t="shared" si="20"/>
        <v>0</v>
      </c>
      <c r="T108" s="266">
        <f t="shared" si="8"/>
        <v>0</v>
      </c>
      <c r="U108" s="266">
        <f t="shared" si="19"/>
        <v>0</v>
      </c>
    </row>
    <row r="109" spans="2:21">
      <c r="B109">
        <v>95</v>
      </c>
      <c r="C109" s="260" t="s">
        <v>222</v>
      </c>
      <c r="D109" s="33" t="s">
        <v>304</v>
      </c>
      <c r="E109" s="406"/>
      <c r="F109" s="406"/>
      <c r="G109" s="406"/>
      <c r="H109" s="406"/>
      <c r="I109" s="261">
        <f t="shared" si="9"/>
        <v>0</v>
      </c>
      <c r="J109" s="261">
        <f t="shared" si="18"/>
        <v>0</v>
      </c>
      <c r="K109" s="261">
        <f t="shared" si="13"/>
        <v>0</v>
      </c>
      <c r="L109" s="262">
        <f t="shared" si="14"/>
        <v>0</v>
      </c>
      <c r="M109" s="263">
        <f t="shared" si="15"/>
        <v>0</v>
      </c>
      <c r="N109" s="264">
        <f t="shared" si="16"/>
        <v>0</v>
      </c>
      <c r="P109" s="1083"/>
      <c r="Q109" s="265">
        <f t="shared" si="6"/>
        <v>0</v>
      </c>
      <c r="R109" s="261">
        <f t="shared" si="17"/>
        <v>0</v>
      </c>
      <c r="S109" s="266">
        <f t="shared" si="20"/>
        <v>0</v>
      </c>
      <c r="T109" s="266">
        <f t="shared" si="8"/>
        <v>0</v>
      </c>
      <c r="U109" s="266">
        <f t="shared" si="19"/>
        <v>0</v>
      </c>
    </row>
    <row r="110" spans="2:21">
      <c r="B110">
        <v>96</v>
      </c>
      <c r="C110" s="260" t="s">
        <v>222</v>
      </c>
      <c r="D110" s="33" t="s">
        <v>305</v>
      </c>
      <c r="E110" s="406"/>
      <c r="F110" s="406"/>
      <c r="G110" s="406"/>
      <c r="H110" s="406"/>
      <c r="I110" s="261">
        <f t="shared" si="9"/>
        <v>0</v>
      </c>
      <c r="J110" s="261">
        <f t="shared" si="18"/>
        <v>0</v>
      </c>
      <c r="K110" s="261">
        <f t="shared" si="13"/>
        <v>0</v>
      </c>
      <c r="L110" s="262">
        <f t="shared" si="14"/>
        <v>0</v>
      </c>
      <c r="M110" s="263">
        <f t="shared" si="15"/>
        <v>0</v>
      </c>
      <c r="N110" s="264">
        <f t="shared" si="16"/>
        <v>0</v>
      </c>
      <c r="P110" s="1083"/>
      <c r="Q110" s="265">
        <f t="shared" si="6"/>
        <v>0</v>
      </c>
      <c r="R110" s="261">
        <f t="shared" si="17"/>
        <v>0</v>
      </c>
      <c r="S110" s="266">
        <f t="shared" si="20"/>
        <v>0</v>
      </c>
      <c r="T110" s="266">
        <f t="shared" si="8"/>
        <v>0</v>
      </c>
      <c r="U110" s="266">
        <f t="shared" si="19"/>
        <v>0</v>
      </c>
    </row>
    <row r="111" spans="2:21">
      <c r="B111">
        <v>97</v>
      </c>
      <c r="C111" s="260" t="s">
        <v>222</v>
      </c>
      <c r="D111" s="33" t="s">
        <v>306</v>
      </c>
      <c r="E111" s="406"/>
      <c r="F111" s="406"/>
      <c r="G111" s="406"/>
      <c r="H111" s="406"/>
      <c r="I111" s="261">
        <f t="shared" si="9"/>
        <v>0</v>
      </c>
      <c r="J111" s="261">
        <f t="shared" si="18"/>
        <v>0</v>
      </c>
      <c r="K111" s="261">
        <f t="shared" si="13"/>
        <v>0</v>
      </c>
      <c r="L111" s="262">
        <f t="shared" si="14"/>
        <v>0</v>
      </c>
      <c r="M111" s="263">
        <f t="shared" si="15"/>
        <v>0</v>
      </c>
      <c r="N111" s="264">
        <f t="shared" si="16"/>
        <v>0</v>
      </c>
      <c r="P111" s="1083"/>
      <c r="Q111" s="265">
        <f t="shared" si="6"/>
        <v>0</v>
      </c>
      <c r="R111" s="261">
        <f t="shared" si="17"/>
        <v>0</v>
      </c>
      <c r="S111" s="266">
        <f t="shared" si="20"/>
        <v>0</v>
      </c>
      <c r="T111" s="266">
        <f t="shared" si="8"/>
        <v>0</v>
      </c>
      <c r="U111" s="266">
        <f t="shared" si="19"/>
        <v>0</v>
      </c>
    </row>
    <row r="112" spans="2:21">
      <c r="B112">
        <v>98</v>
      </c>
      <c r="C112" s="260" t="s">
        <v>222</v>
      </c>
      <c r="D112" s="33" t="s">
        <v>307</v>
      </c>
      <c r="E112" s="406"/>
      <c r="F112" s="406"/>
      <c r="G112" s="406"/>
      <c r="H112" s="406"/>
      <c r="I112" s="261">
        <f t="shared" si="9"/>
        <v>0</v>
      </c>
      <c r="J112" s="261">
        <f t="shared" si="18"/>
        <v>0</v>
      </c>
      <c r="K112" s="261">
        <f t="shared" si="13"/>
        <v>0</v>
      </c>
      <c r="L112" s="262">
        <f t="shared" si="14"/>
        <v>0</v>
      </c>
      <c r="M112" s="263">
        <f t="shared" si="15"/>
        <v>0</v>
      </c>
      <c r="N112" s="264">
        <f t="shared" si="16"/>
        <v>0</v>
      </c>
      <c r="P112" s="1083"/>
      <c r="Q112" s="265">
        <f t="shared" si="6"/>
        <v>0</v>
      </c>
      <c r="R112" s="261">
        <f t="shared" si="17"/>
        <v>0</v>
      </c>
      <c r="S112" s="266">
        <f t="shared" si="20"/>
        <v>0</v>
      </c>
      <c r="T112" s="266">
        <f t="shared" si="8"/>
        <v>0</v>
      </c>
      <c r="U112" s="266">
        <f t="shared" si="19"/>
        <v>0</v>
      </c>
    </row>
    <row r="113" spans="2:21">
      <c r="B113">
        <v>99</v>
      </c>
      <c r="C113" s="260" t="s">
        <v>222</v>
      </c>
      <c r="D113" s="33" t="s">
        <v>308</v>
      </c>
      <c r="E113" s="406"/>
      <c r="F113" s="406"/>
      <c r="G113" s="406"/>
      <c r="H113" s="406"/>
      <c r="I113" s="261">
        <f t="shared" si="9"/>
        <v>0</v>
      </c>
      <c r="J113" s="261">
        <f t="shared" si="18"/>
        <v>0</v>
      </c>
      <c r="K113" s="261">
        <f t="shared" si="13"/>
        <v>0</v>
      </c>
      <c r="L113" s="262">
        <f t="shared" si="14"/>
        <v>0</v>
      </c>
      <c r="M113" s="263">
        <f t="shared" si="15"/>
        <v>0</v>
      </c>
      <c r="N113" s="264">
        <f t="shared" si="16"/>
        <v>0</v>
      </c>
      <c r="P113" s="1083"/>
      <c r="Q113" s="265">
        <f t="shared" si="6"/>
        <v>0</v>
      </c>
      <c r="R113" s="261">
        <f t="shared" si="17"/>
        <v>0</v>
      </c>
      <c r="S113" s="266">
        <f t="shared" si="20"/>
        <v>0</v>
      </c>
      <c r="T113" s="266">
        <f t="shared" si="8"/>
        <v>0</v>
      </c>
      <c r="U113" s="266">
        <f t="shared" si="19"/>
        <v>0</v>
      </c>
    </row>
    <row r="114" spans="2:21" ht="18.5" customHeight="1">
      <c r="C114" s="261"/>
      <c r="D114" s="267" t="s">
        <v>309</v>
      </c>
      <c r="E114" s="267"/>
      <c r="F114" s="267" t="s">
        <v>310</v>
      </c>
      <c r="G114" s="267"/>
      <c r="H114" s="267"/>
      <c r="I114" s="261">
        <f t="shared" si="9"/>
        <v>0</v>
      </c>
      <c r="J114" s="261">
        <f>IFERROR(D$6*D$7*E114/1000000000*I114,0)</f>
        <v>0</v>
      </c>
      <c r="K114" s="261">
        <f>IFERROR(ROUNDDOWN(D$8/E114,0),0)</f>
        <v>0</v>
      </c>
      <c r="L114" s="262">
        <f>SUMIF($P$14:$P$115,E114,$U$14:$U$115)*I114</f>
        <v>0</v>
      </c>
      <c r="M114" s="263">
        <f>(L114-J114)</f>
        <v>0</v>
      </c>
      <c r="N114" s="264">
        <f>IFERROR((L114-J114)/L$115,0)</f>
        <v>0</v>
      </c>
      <c r="P114" s="1083"/>
      <c r="Q114" s="265">
        <f t="shared" si="6"/>
        <v>0</v>
      </c>
      <c r="R114" s="261">
        <f>SUMIFS($I$14:$I$114,$E$14:$E$114,P114)</f>
        <v>0</v>
      </c>
      <c r="S114" s="266">
        <f t="shared" si="20"/>
        <v>0</v>
      </c>
      <c r="T114" s="266">
        <f t="shared" si="8"/>
        <v>0</v>
      </c>
      <c r="U114" s="266">
        <f t="shared" si="19"/>
        <v>0</v>
      </c>
    </row>
    <row r="115" spans="2:21" ht="19.25" customHeight="1">
      <c r="C115" s="267"/>
      <c r="D115" s="268" t="s">
        <v>80</v>
      </c>
      <c r="E115" s="267"/>
      <c r="F115" s="267"/>
      <c r="G115" s="267"/>
      <c r="H115" s="267"/>
      <c r="I115" s="267"/>
      <c r="J115" s="269">
        <f>SUM(J14:J114)</f>
        <v>1.86</v>
      </c>
      <c r="K115" s="269"/>
      <c r="L115" s="269">
        <f>SUM(L14:L114)</f>
        <v>2.6999999999999997</v>
      </c>
      <c r="M115" s="269">
        <f>SUM(M14:M114)</f>
        <v>0.83999999999999986</v>
      </c>
      <c r="N115" s="270">
        <f>SUM(N14:N114)</f>
        <v>0.31111111111111106</v>
      </c>
      <c r="P115" s="271"/>
      <c r="Q115" s="267"/>
      <c r="R115" s="269">
        <f t="shared" ref="R115:T115" si="21">SUM(R14:R114)</f>
        <v>59</v>
      </c>
      <c r="S115" s="272">
        <f t="shared" si="21"/>
        <v>45</v>
      </c>
      <c r="T115" s="269">
        <f t="shared" si="21"/>
        <v>2.7</v>
      </c>
      <c r="U115" s="267"/>
    </row>
    <row r="116" spans="2:21" ht="12.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3C1E-130F-4DF3-B6DE-9D7E9A82F0CB}">
  <dimension ref="A1:W395"/>
  <sheetViews>
    <sheetView tabSelected="1" zoomScale="70" zoomScaleNormal="70" workbookViewId="0">
      <selection activeCell="R5" sqref="R5:T5"/>
    </sheetView>
  </sheetViews>
  <sheetFormatPr baseColWidth="10" defaultColWidth="8.83203125" defaultRowHeight="15"/>
  <cols>
    <col min="2" max="2" width="35" customWidth="1"/>
    <col min="3" max="3" width="8.83203125" customWidth="1"/>
    <col min="4" max="4" width="9.83203125" bestFit="1" customWidth="1"/>
    <col min="5" max="5" width="10.83203125" customWidth="1"/>
    <col min="6" max="6" width="12.5" customWidth="1"/>
    <col min="7" max="7" width="55.5" customWidth="1"/>
    <col min="8" max="8" width="12" customWidth="1"/>
    <col min="9" max="9" width="12.33203125" customWidth="1"/>
    <col min="10" max="10" width="13.5" customWidth="1"/>
    <col min="11" max="11" width="13.33203125" customWidth="1"/>
    <col min="12" max="12" width="13.5" customWidth="1"/>
    <col min="13" max="13" width="26" customWidth="1"/>
    <col min="14" max="14" width="59.33203125" customWidth="1"/>
    <col min="15" max="15" width="11.1640625" customWidth="1"/>
    <col min="16" max="16" width="11.5" customWidth="1"/>
  </cols>
  <sheetData>
    <row r="1" spans="1:23" ht="14.5" customHeight="1">
      <c r="A1" s="575"/>
      <c r="B1" s="575"/>
      <c r="C1" s="575"/>
      <c r="D1" s="580">
        <v>0</v>
      </c>
      <c r="E1" s="575" t="s">
        <v>819</v>
      </c>
      <c r="F1" s="1202" t="s">
        <v>722</v>
      </c>
      <c r="G1" s="1202"/>
      <c r="H1" s="1202"/>
      <c r="I1" s="1202"/>
      <c r="J1" s="1202"/>
      <c r="K1" s="1202"/>
      <c r="L1" s="1202"/>
      <c r="M1" s="1202"/>
      <c r="N1" s="1202"/>
      <c r="O1" s="575"/>
      <c r="P1" s="575"/>
      <c r="Q1" s="575"/>
      <c r="R1" s="1494" t="s">
        <v>1014</v>
      </c>
      <c r="S1" s="1495"/>
      <c r="T1" s="1495"/>
      <c r="U1" s="1495"/>
      <c r="V1" s="1495"/>
      <c r="W1" s="1496"/>
    </row>
    <row r="2" spans="1:23" ht="14.5" customHeight="1" thickBot="1">
      <c r="A2" s="579"/>
      <c r="B2" s="579"/>
      <c r="C2" s="575"/>
      <c r="D2" s="575"/>
      <c r="E2" s="575"/>
      <c r="F2" s="1202"/>
      <c r="G2" s="1202"/>
      <c r="H2" s="1202"/>
      <c r="I2" s="1202"/>
      <c r="J2" s="1202"/>
      <c r="K2" s="1202"/>
      <c r="L2" s="1202"/>
      <c r="M2" s="1202"/>
      <c r="N2" s="1202"/>
      <c r="O2" s="575"/>
      <c r="P2" s="575"/>
      <c r="Q2" s="575"/>
      <c r="R2" s="1497"/>
      <c r="S2" s="1498"/>
      <c r="T2" s="1498"/>
      <c r="U2" s="1498"/>
      <c r="V2" s="1498"/>
      <c r="W2" s="1499"/>
    </row>
    <row r="3" spans="1:23" ht="18" customHeight="1">
      <c r="A3" s="576"/>
      <c r="B3" s="577"/>
      <c r="C3" s="578" t="s">
        <v>127</v>
      </c>
      <c r="D3" s="578"/>
      <c r="E3" s="286"/>
      <c r="F3" s="286"/>
      <c r="G3" s="509" t="s">
        <v>346</v>
      </c>
      <c r="H3" s="510"/>
      <c r="I3" s="287" t="s">
        <v>63</v>
      </c>
      <c r="J3" s="291">
        <v>1300</v>
      </c>
      <c r="K3" s="286"/>
      <c r="L3" s="511"/>
      <c r="M3" s="286"/>
      <c r="N3" s="512" t="s">
        <v>375</v>
      </c>
      <c r="O3" s="512" t="s">
        <v>715</v>
      </c>
      <c r="P3" s="512" t="s">
        <v>715</v>
      </c>
      <c r="Q3" s="286"/>
      <c r="R3" s="1491" t="s">
        <v>1015</v>
      </c>
      <c r="S3" s="1492"/>
      <c r="T3" s="1493"/>
      <c r="U3" s="1491" t="s">
        <v>1016</v>
      </c>
      <c r="V3" s="1492"/>
      <c r="W3" s="1492"/>
    </row>
    <row r="4" spans="1:23" ht="16">
      <c r="A4" s="511"/>
      <c r="B4" s="285" t="s">
        <v>332</v>
      </c>
      <c r="C4" s="514" t="s">
        <v>333</v>
      </c>
      <c r="D4" s="756">
        <v>102.75</v>
      </c>
      <c r="E4" s="286"/>
      <c r="F4" s="286"/>
      <c r="G4" s="515" t="s">
        <v>347</v>
      </c>
      <c r="H4" s="516">
        <v>1500</v>
      </c>
      <c r="I4" s="511" t="s">
        <v>148</v>
      </c>
      <c r="J4" s="291">
        <v>65</v>
      </c>
      <c r="K4" s="286"/>
      <c r="L4" s="511"/>
      <c r="M4" s="286"/>
      <c r="N4" s="517" t="s">
        <v>404</v>
      </c>
      <c r="O4" s="518" t="s">
        <v>138</v>
      </c>
      <c r="P4" s="227">
        <v>1900</v>
      </c>
      <c r="Q4" s="286"/>
      <c r="R4" s="1491" t="s">
        <v>1017</v>
      </c>
      <c r="S4" s="1492"/>
      <c r="T4" s="1493"/>
      <c r="U4" s="1491" t="s">
        <v>1017</v>
      </c>
      <c r="V4" s="1492"/>
      <c r="W4" s="1492"/>
    </row>
    <row r="5" spans="1:23" ht="25.25" customHeight="1">
      <c r="A5" s="511"/>
      <c r="B5" s="285" t="s">
        <v>334</v>
      </c>
      <c r="C5" s="514" t="s">
        <v>333</v>
      </c>
      <c r="D5" s="558">
        <v>0.3</v>
      </c>
      <c r="E5" s="286"/>
      <c r="F5" s="286"/>
      <c r="G5" s="515" t="s">
        <v>347</v>
      </c>
      <c r="H5" s="519">
        <v>2000</v>
      </c>
      <c r="I5" s="511" t="s">
        <v>148</v>
      </c>
      <c r="J5" s="291">
        <v>65</v>
      </c>
      <c r="K5" s="286"/>
      <c r="L5" s="511"/>
      <c r="M5" s="286"/>
      <c r="N5" s="520" t="s">
        <v>376</v>
      </c>
      <c r="O5" s="518" t="s">
        <v>148</v>
      </c>
      <c r="P5" s="556">
        <v>50</v>
      </c>
      <c r="Q5" s="286"/>
      <c r="R5" s="1491" t="s">
        <v>1018</v>
      </c>
      <c r="S5" s="1492"/>
      <c r="T5" s="1493"/>
      <c r="U5" s="1491" t="s">
        <v>1019</v>
      </c>
      <c r="V5" s="1492"/>
      <c r="W5" s="1492"/>
    </row>
    <row r="6" spans="1:23" ht="15.5" customHeight="1">
      <c r="A6" s="511"/>
      <c r="B6" s="285"/>
      <c r="C6" s="514"/>
      <c r="D6" s="514"/>
      <c r="E6" s="286"/>
      <c r="F6" s="286"/>
      <c r="G6" s="521" t="s">
        <v>348</v>
      </c>
      <c r="H6" s="522"/>
      <c r="I6" s="287" t="s">
        <v>63</v>
      </c>
      <c r="J6" s="291">
        <v>3150</v>
      </c>
      <c r="K6" s="286"/>
      <c r="L6" s="511"/>
      <c r="M6" s="286"/>
      <c r="N6" s="520" t="s">
        <v>377</v>
      </c>
      <c r="O6" s="518" t="s">
        <v>63</v>
      </c>
      <c r="P6" s="556">
        <v>1250</v>
      </c>
      <c r="Q6" s="286"/>
      <c r="R6" s="1491" t="s">
        <v>1020</v>
      </c>
      <c r="S6" s="1492"/>
      <c r="T6" s="1493"/>
      <c r="U6" s="1491" t="s">
        <v>1021</v>
      </c>
      <c r="V6" s="1492"/>
      <c r="W6" s="1492"/>
    </row>
    <row r="7" spans="1:23" ht="17">
      <c r="A7" s="511"/>
      <c r="B7" s="285"/>
      <c r="C7" s="514"/>
      <c r="D7" s="514"/>
      <c r="E7" s="286"/>
      <c r="F7" s="286"/>
      <c r="G7" s="521" t="s">
        <v>712</v>
      </c>
      <c r="H7" s="522"/>
      <c r="I7" s="287" t="s">
        <v>85</v>
      </c>
      <c r="J7" s="291">
        <v>4228</v>
      </c>
      <c r="K7" s="286"/>
      <c r="L7" s="506">
        <f>J8/33</f>
        <v>500</v>
      </c>
      <c r="M7" s="286"/>
      <c r="N7" s="520" t="s">
        <v>378</v>
      </c>
      <c r="O7" s="518" t="s">
        <v>148</v>
      </c>
      <c r="P7" s="556">
        <v>300</v>
      </c>
      <c r="Q7" s="286"/>
      <c r="R7" s="1491" t="s">
        <v>1022</v>
      </c>
      <c r="S7" s="1492"/>
      <c r="T7" s="1493"/>
      <c r="U7" s="1491" t="s">
        <v>1023</v>
      </c>
      <c r="V7" s="1492"/>
      <c r="W7" s="1492"/>
    </row>
    <row r="8" spans="1:23" ht="21" customHeight="1">
      <c r="A8" s="511"/>
      <c r="B8" s="581" t="s">
        <v>335</v>
      </c>
      <c r="C8" s="514" t="s">
        <v>333</v>
      </c>
      <c r="D8" s="558">
        <v>0.5</v>
      </c>
      <c r="E8" s="286"/>
      <c r="F8" s="286"/>
      <c r="G8" s="523" t="s">
        <v>349</v>
      </c>
      <c r="H8" s="524"/>
      <c r="I8" s="287" t="s">
        <v>63</v>
      </c>
      <c r="J8" s="291">
        <v>16500</v>
      </c>
      <c r="K8" s="286"/>
      <c r="L8" s="511"/>
      <c r="M8" s="286"/>
      <c r="N8" s="520" t="s">
        <v>379</v>
      </c>
      <c r="O8" s="518" t="s">
        <v>63</v>
      </c>
      <c r="P8" s="556">
        <v>800</v>
      </c>
      <c r="Q8" s="286"/>
      <c r="R8" s="1491" t="s">
        <v>1024</v>
      </c>
      <c r="S8" s="1492"/>
      <c r="T8" s="1493"/>
      <c r="U8" s="1491" t="s">
        <v>1025</v>
      </c>
      <c r="V8" s="1492"/>
      <c r="W8" s="1492"/>
    </row>
    <row r="9" spans="1:23" ht="17">
      <c r="A9" s="511"/>
      <c r="B9" s="285" t="s">
        <v>336</v>
      </c>
      <c r="C9" s="514" t="s">
        <v>85</v>
      </c>
      <c r="D9" s="558">
        <v>2</v>
      </c>
      <c r="E9" s="286"/>
      <c r="F9" s="286"/>
      <c r="G9" s="523" t="s">
        <v>350</v>
      </c>
      <c r="H9" s="524"/>
      <c r="I9" s="287" t="s">
        <v>85</v>
      </c>
      <c r="J9" s="291">
        <v>240</v>
      </c>
      <c r="K9" s="286"/>
      <c r="L9" s="511"/>
      <c r="M9" s="286"/>
      <c r="N9" s="520" t="s">
        <v>380</v>
      </c>
      <c r="O9" s="518" t="s">
        <v>148</v>
      </c>
      <c r="P9" s="556">
        <v>50</v>
      </c>
      <c r="Q9" s="286"/>
      <c r="R9" s="1491" t="s">
        <v>1026</v>
      </c>
      <c r="S9" s="1492"/>
      <c r="T9" s="1493"/>
      <c r="U9" s="1491" t="s">
        <v>1027</v>
      </c>
      <c r="V9" s="1492"/>
      <c r="W9" s="1492"/>
    </row>
    <row r="10" spans="1:23" ht="16.25" customHeight="1">
      <c r="A10" s="511"/>
      <c r="B10" s="285" t="s">
        <v>337</v>
      </c>
      <c r="C10" s="514" t="s">
        <v>85</v>
      </c>
      <c r="D10" s="558">
        <v>10</v>
      </c>
      <c r="E10" s="286"/>
      <c r="F10" s="286"/>
      <c r="G10" s="523" t="s">
        <v>351</v>
      </c>
      <c r="H10" s="524"/>
      <c r="I10" s="287" t="s">
        <v>144</v>
      </c>
      <c r="J10" s="291">
        <v>360</v>
      </c>
      <c r="K10" s="286"/>
      <c r="L10" s="511"/>
      <c r="M10" s="286"/>
      <c r="N10" s="520" t="s">
        <v>381</v>
      </c>
      <c r="O10" s="518" t="s">
        <v>63</v>
      </c>
      <c r="P10" s="556">
        <v>800</v>
      </c>
      <c r="Q10" s="286"/>
      <c r="R10" s="1491" t="s">
        <v>1028</v>
      </c>
      <c r="S10" s="1492"/>
      <c r="T10" s="1493"/>
      <c r="U10" s="1491" t="s">
        <v>1029</v>
      </c>
      <c r="V10" s="1492"/>
      <c r="W10" s="1492"/>
    </row>
    <row r="11" spans="1:23" ht="17">
      <c r="A11" s="511"/>
      <c r="B11" s="285" t="s">
        <v>338</v>
      </c>
      <c r="C11" s="514" t="s">
        <v>85</v>
      </c>
      <c r="D11" s="558">
        <v>6</v>
      </c>
      <c r="E11" s="286"/>
      <c r="F11" s="286"/>
      <c r="G11" s="523" t="s">
        <v>352</v>
      </c>
      <c r="H11" s="524"/>
      <c r="I11" s="287" t="s">
        <v>144</v>
      </c>
      <c r="J11" s="291">
        <v>360</v>
      </c>
      <c r="K11" s="286"/>
      <c r="L11" s="511"/>
      <c r="M11" s="286"/>
      <c r="N11" s="520" t="s">
        <v>382</v>
      </c>
      <c r="O11" s="518" t="s">
        <v>148</v>
      </c>
      <c r="P11" s="556">
        <v>240</v>
      </c>
      <c r="Q11" s="286"/>
      <c r="R11" s="1491" t="s">
        <v>1030</v>
      </c>
      <c r="S11" s="1492"/>
      <c r="T11" s="1493"/>
      <c r="U11" s="1491" t="s">
        <v>1031</v>
      </c>
      <c r="V11" s="1492"/>
      <c r="W11" s="1492"/>
    </row>
    <row r="12" spans="1:23" ht="16.75" customHeight="1">
      <c r="A12" s="511"/>
      <c r="B12" s="285" t="s">
        <v>339</v>
      </c>
      <c r="C12" s="514" t="s">
        <v>85</v>
      </c>
      <c r="D12" s="558">
        <v>2</v>
      </c>
      <c r="E12" s="286"/>
      <c r="F12" s="286"/>
      <c r="G12" s="523" t="s">
        <v>353</v>
      </c>
      <c r="H12" s="524"/>
      <c r="I12" s="287" t="s">
        <v>136</v>
      </c>
      <c r="J12" s="291">
        <v>60</v>
      </c>
      <c r="K12" s="286"/>
      <c r="L12" s="511"/>
      <c r="M12" s="286"/>
      <c r="N12" s="520" t="s">
        <v>383</v>
      </c>
      <c r="O12" s="518" t="s">
        <v>343</v>
      </c>
      <c r="P12" s="556">
        <v>17500</v>
      </c>
      <c r="Q12" s="286"/>
      <c r="R12" s="1491" t="s">
        <v>1032</v>
      </c>
      <c r="S12" s="1492"/>
      <c r="T12" s="1493"/>
      <c r="U12" s="1491" t="s">
        <v>1033</v>
      </c>
      <c r="V12" s="1492"/>
      <c r="W12" s="1492"/>
    </row>
    <row r="13" spans="1:23" ht="17">
      <c r="A13" s="511"/>
      <c r="B13" s="285"/>
      <c r="C13" s="514"/>
      <c r="D13" s="514"/>
      <c r="E13" s="286"/>
      <c r="F13" s="286"/>
      <c r="G13" s="525" t="s">
        <v>354</v>
      </c>
      <c r="H13" s="526"/>
      <c r="I13" s="287" t="s">
        <v>144</v>
      </c>
      <c r="J13" s="291">
        <v>160</v>
      </c>
      <c r="K13" s="286"/>
      <c r="L13" s="511"/>
      <c r="M13" s="286"/>
      <c r="N13" s="520" t="s">
        <v>384</v>
      </c>
      <c r="O13" s="518" t="s">
        <v>85</v>
      </c>
      <c r="P13" s="556">
        <v>12</v>
      </c>
      <c r="Q13" s="286"/>
      <c r="R13" s="1491" t="s">
        <v>1034</v>
      </c>
      <c r="S13" s="1492"/>
      <c r="T13" s="1493"/>
      <c r="U13" s="1491" t="s">
        <v>1035</v>
      </c>
      <c r="V13" s="1492"/>
      <c r="W13" s="1492"/>
    </row>
    <row r="14" spans="1:23" ht="17">
      <c r="A14" s="511"/>
      <c r="B14" s="285" t="s">
        <v>340</v>
      </c>
      <c r="C14" s="514" t="s">
        <v>333</v>
      </c>
      <c r="D14" s="558">
        <v>0.2</v>
      </c>
      <c r="E14" s="286"/>
      <c r="F14" s="286"/>
      <c r="G14" s="527" t="s">
        <v>355</v>
      </c>
      <c r="H14" s="524"/>
      <c r="I14" s="287" t="s">
        <v>144</v>
      </c>
      <c r="J14" s="291">
        <v>390</v>
      </c>
      <c r="K14" s="286"/>
      <c r="L14" s="506"/>
      <c r="M14" s="286"/>
      <c r="N14" s="520" t="s">
        <v>385</v>
      </c>
      <c r="O14" s="518" t="s">
        <v>85</v>
      </c>
      <c r="P14" s="556">
        <v>7</v>
      </c>
      <c r="Q14" s="286"/>
      <c r="R14" s="1491" t="s">
        <v>1036</v>
      </c>
      <c r="S14" s="1492"/>
      <c r="T14" s="1493"/>
      <c r="U14" s="1491" t="s">
        <v>1037</v>
      </c>
      <c r="V14" s="1492"/>
      <c r="W14" s="1492"/>
    </row>
    <row r="15" spans="1:23" ht="17">
      <c r="A15" s="511"/>
      <c r="B15" s="285" t="s">
        <v>341</v>
      </c>
      <c r="C15" s="514" t="s">
        <v>333</v>
      </c>
      <c r="D15" s="558">
        <v>0.2</v>
      </c>
      <c r="E15" s="286"/>
      <c r="F15" s="286"/>
      <c r="G15" s="523" t="s">
        <v>356</v>
      </c>
      <c r="H15" s="524"/>
      <c r="I15" s="287" t="s">
        <v>148</v>
      </c>
      <c r="J15" s="543">
        <v>100</v>
      </c>
      <c r="K15" s="286"/>
      <c r="L15" s="506">
        <v>56</v>
      </c>
      <c r="M15" s="286"/>
      <c r="N15" s="520" t="s">
        <v>386</v>
      </c>
      <c r="O15" s="518" t="s">
        <v>85</v>
      </c>
      <c r="P15" s="556">
        <v>7</v>
      </c>
      <c r="Q15" s="286"/>
      <c r="R15" s="1491" t="s">
        <v>1038</v>
      </c>
      <c r="S15" s="1492"/>
      <c r="T15" s="1493"/>
      <c r="U15" s="1491" t="s">
        <v>1039</v>
      </c>
      <c r="V15" s="1492"/>
      <c r="W15" s="1492"/>
    </row>
    <row r="16" spans="1:23" ht="17">
      <c r="A16" s="511"/>
      <c r="B16" s="285" t="s">
        <v>342</v>
      </c>
      <c r="C16" s="514" t="s">
        <v>148</v>
      </c>
      <c r="D16" s="558">
        <v>101.66</v>
      </c>
      <c r="E16" s="286"/>
      <c r="F16" s="286"/>
      <c r="G16" s="1163" t="s">
        <v>357</v>
      </c>
      <c r="H16" s="1164"/>
      <c r="I16" s="287" t="s">
        <v>343</v>
      </c>
      <c r="J16" s="544">
        <f>1000/0.889*L15</f>
        <v>62992.125984251972</v>
      </c>
      <c r="K16" s="286"/>
      <c r="L16" s="506">
        <v>28</v>
      </c>
      <c r="M16" s="286"/>
      <c r="N16" s="520" t="s">
        <v>387</v>
      </c>
      <c r="O16" s="518" t="s">
        <v>85</v>
      </c>
      <c r="P16" s="556">
        <v>7</v>
      </c>
      <c r="Q16" s="286"/>
      <c r="R16" s="1491" t="s">
        <v>1040</v>
      </c>
      <c r="S16" s="1492"/>
      <c r="T16" s="1493"/>
      <c r="U16" s="1491" t="s">
        <v>1041</v>
      </c>
      <c r="V16" s="1492"/>
      <c r="W16" s="1492"/>
    </row>
    <row r="17" spans="1:23" ht="17">
      <c r="A17" s="511"/>
      <c r="B17" s="285"/>
      <c r="C17" s="514"/>
      <c r="D17" s="514">
        <v>0</v>
      </c>
      <c r="E17" s="286"/>
      <c r="F17" s="286"/>
      <c r="G17" s="529" t="s">
        <v>358</v>
      </c>
      <c r="H17" s="528"/>
      <c r="I17" s="287" t="s">
        <v>343</v>
      </c>
      <c r="J17" s="544">
        <f>1000/0.395*L16</f>
        <v>70886.075949367078</v>
      </c>
      <c r="K17" s="286"/>
      <c r="L17" s="506">
        <v>130</v>
      </c>
      <c r="M17" s="286"/>
      <c r="N17" s="520" t="s">
        <v>388</v>
      </c>
      <c r="O17" s="518" t="s">
        <v>85</v>
      </c>
      <c r="P17" s="556">
        <v>7</v>
      </c>
      <c r="Q17" s="286"/>
      <c r="R17" s="1491" t="s">
        <v>1042</v>
      </c>
      <c r="S17" s="1492"/>
      <c r="T17" s="1493"/>
      <c r="U17" s="1491" t="s">
        <v>1043</v>
      </c>
      <c r="V17" s="1492"/>
      <c r="W17" s="1492"/>
    </row>
    <row r="18" spans="1:23" ht="17">
      <c r="A18" s="286"/>
      <c r="B18" s="285" t="s">
        <v>646</v>
      </c>
      <c r="C18" s="514" t="s">
        <v>85</v>
      </c>
      <c r="D18" s="558">
        <v>33</v>
      </c>
      <c r="E18" s="286"/>
      <c r="F18" s="286"/>
      <c r="G18" s="530" t="s">
        <v>359</v>
      </c>
      <c r="H18" s="531"/>
      <c r="I18" s="287" t="s">
        <v>343</v>
      </c>
      <c r="J18" s="543">
        <v>130000</v>
      </c>
      <c r="K18" s="286"/>
      <c r="L18" s="506"/>
      <c r="M18" s="286"/>
      <c r="N18" s="520" t="s">
        <v>389</v>
      </c>
      <c r="O18" s="518" t="s">
        <v>85</v>
      </c>
      <c r="P18" s="556">
        <v>3</v>
      </c>
      <c r="Q18" s="286"/>
      <c r="R18" s="1491" t="s">
        <v>1044</v>
      </c>
      <c r="S18" s="1492"/>
      <c r="T18" s="1493"/>
      <c r="U18" s="1491" t="s">
        <v>1045</v>
      </c>
      <c r="V18" s="1492"/>
      <c r="W18" s="1492"/>
    </row>
    <row r="19" spans="1:23" ht="17">
      <c r="A19" s="286"/>
      <c r="B19" s="286"/>
      <c r="C19" s="286"/>
      <c r="D19" s="286"/>
      <c r="E19" s="286"/>
      <c r="F19" s="286"/>
      <c r="G19" s="533" t="s">
        <v>360</v>
      </c>
      <c r="H19" s="534"/>
      <c r="I19" s="287" t="s">
        <v>63</v>
      </c>
      <c r="J19" s="543">
        <v>7200</v>
      </c>
      <c r="K19" s="286"/>
      <c r="L19" s="511"/>
      <c r="M19" s="286"/>
      <c r="N19" s="520" t="s">
        <v>390</v>
      </c>
      <c r="O19" s="518" t="s">
        <v>85</v>
      </c>
      <c r="P19" s="556">
        <v>50</v>
      </c>
      <c r="Q19" s="286"/>
      <c r="R19" s="1491" t="s">
        <v>1046</v>
      </c>
      <c r="S19" s="1492"/>
      <c r="T19" s="1493"/>
      <c r="U19" s="1491" t="s">
        <v>1047</v>
      </c>
      <c r="V19" s="1492"/>
      <c r="W19" s="1492"/>
    </row>
    <row r="20" spans="1:23" ht="17">
      <c r="A20" s="542"/>
      <c r="B20" s="557" t="s">
        <v>719</v>
      </c>
      <c r="C20" s="286"/>
      <c r="D20" s="286"/>
      <c r="E20" s="286"/>
      <c r="F20" s="286"/>
      <c r="G20" s="533" t="s">
        <v>361</v>
      </c>
      <c r="H20" s="534"/>
      <c r="I20" s="287" t="s">
        <v>85</v>
      </c>
      <c r="J20" s="543">
        <v>11</v>
      </c>
      <c r="K20" s="286"/>
      <c r="L20" s="511"/>
      <c r="M20" s="286"/>
      <c r="N20" s="520" t="s">
        <v>391</v>
      </c>
      <c r="O20" s="518" t="s">
        <v>63</v>
      </c>
      <c r="P20" s="556">
        <v>5850</v>
      </c>
      <c r="Q20" s="286"/>
      <c r="R20" s="1491" t="s">
        <v>1048</v>
      </c>
      <c r="S20" s="1492"/>
      <c r="T20" s="1493"/>
      <c r="U20" s="1491" t="s">
        <v>1049</v>
      </c>
      <c r="V20" s="1492"/>
      <c r="W20" s="1492"/>
    </row>
    <row r="21" spans="1:23" ht="17">
      <c r="A21" s="283"/>
      <c r="B21" s="557" t="s">
        <v>720</v>
      </c>
      <c r="C21" s="286"/>
      <c r="D21" s="286"/>
      <c r="E21" s="286"/>
      <c r="F21" s="286"/>
      <c r="G21" s="1161" t="s">
        <v>362</v>
      </c>
      <c r="H21" s="1162"/>
      <c r="I21" s="287" t="s">
        <v>85</v>
      </c>
      <c r="J21" s="291">
        <v>1200</v>
      </c>
      <c r="K21" s="286"/>
      <c r="L21" s="511"/>
      <c r="M21" s="286"/>
      <c r="N21" s="520" t="s">
        <v>816</v>
      </c>
      <c r="O21" s="518" t="s">
        <v>148</v>
      </c>
      <c r="P21" s="556">
        <v>350</v>
      </c>
      <c r="Q21" s="286"/>
      <c r="R21" s="1491" t="s">
        <v>1050</v>
      </c>
      <c r="S21" s="1492"/>
      <c r="T21" s="1493"/>
      <c r="U21" s="1491" t="s">
        <v>1051</v>
      </c>
      <c r="V21" s="1492"/>
      <c r="W21" s="1492"/>
    </row>
    <row r="22" spans="1:23" ht="17">
      <c r="A22" s="559"/>
      <c r="B22" s="560" t="s">
        <v>721</v>
      </c>
      <c r="C22" s="286"/>
      <c r="D22" s="286"/>
      <c r="E22" s="286"/>
      <c r="F22" s="286"/>
      <c r="G22" s="1161" t="s">
        <v>363</v>
      </c>
      <c r="H22" s="1162"/>
      <c r="I22" s="287" t="s">
        <v>170</v>
      </c>
      <c r="J22" s="291">
        <v>980</v>
      </c>
      <c r="K22" s="286"/>
      <c r="L22" s="511"/>
      <c r="M22" s="286"/>
      <c r="N22" s="520" t="s">
        <v>393</v>
      </c>
      <c r="O22" s="518" t="s">
        <v>343</v>
      </c>
      <c r="P22" s="556">
        <v>3000</v>
      </c>
      <c r="Q22" s="286"/>
      <c r="R22" s="1491" t="s">
        <v>1052</v>
      </c>
      <c r="S22" s="1492"/>
      <c r="T22" s="1493"/>
      <c r="U22" s="1491" t="s">
        <v>1053</v>
      </c>
      <c r="V22" s="1492"/>
      <c r="W22" s="1492"/>
    </row>
    <row r="23" spans="1:23" ht="17">
      <c r="A23" s="286"/>
      <c r="B23" s="286"/>
      <c r="C23" s="286"/>
      <c r="D23" s="286"/>
      <c r="E23" s="286"/>
      <c r="F23" s="286"/>
      <c r="G23" s="1161" t="s">
        <v>364</v>
      </c>
      <c r="H23" s="1162"/>
      <c r="I23" s="287" t="s">
        <v>365</v>
      </c>
      <c r="J23" s="291">
        <v>3968</v>
      </c>
      <c r="K23" s="286"/>
      <c r="L23" s="511"/>
      <c r="M23" s="286"/>
      <c r="N23" s="520" t="s">
        <v>704</v>
      </c>
      <c r="O23" s="518" t="s">
        <v>85</v>
      </c>
      <c r="P23" s="556">
        <v>1000</v>
      </c>
      <c r="Q23" s="286"/>
      <c r="R23" s="1491" t="s">
        <v>1054</v>
      </c>
      <c r="S23" s="1492"/>
      <c r="T23" s="1493"/>
      <c r="U23" s="1491" t="s">
        <v>1055</v>
      </c>
      <c r="V23" s="1492"/>
      <c r="W23" s="1492"/>
    </row>
    <row r="24" spans="1:23" ht="17">
      <c r="A24" s="286"/>
      <c r="B24" s="286"/>
      <c r="C24" s="286"/>
      <c r="D24" s="286"/>
      <c r="E24" s="286"/>
      <c r="F24" s="286"/>
      <c r="G24" s="533" t="s">
        <v>734</v>
      </c>
      <c r="H24" s="534"/>
      <c r="I24" s="287" t="s">
        <v>138</v>
      </c>
      <c r="J24" s="981" t="e">
        <f>#REF!</f>
        <v>#REF!</v>
      </c>
      <c r="K24" s="286"/>
      <c r="L24" s="511"/>
      <c r="M24" s="286"/>
      <c r="N24" s="520" t="s">
        <v>706</v>
      </c>
      <c r="O24" s="518" t="s">
        <v>85</v>
      </c>
      <c r="P24" s="556">
        <v>300</v>
      </c>
      <c r="Q24" s="286"/>
      <c r="R24" s="1491" t="s">
        <v>1056</v>
      </c>
      <c r="S24" s="1492"/>
      <c r="T24" s="1493"/>
      <c r="U24" s="1491" t="s">
        <v>1057</v>
      </c>
      <c r="V24" s="1492"/>
      <c r="W24" s="1492"/>
    </row>
    <row r="25" spans="1:23" ht="17">
      <c r="A25" s="286"/>
      <c r="B25" s="286"/>
      <c r="C25" s="286"/>
      <c r="D25" s="286"/>
      <c r="E25" s="286"/>
      <c r="F25" s="286"/>
      <c r="G25" s="286"/>
      <c r="H25" s="286"/>
      <c r="I25" s="287"/>
      <c r="J25" s="291"/>
      <c r="K25" s="536"/>
      <c r="L25" s="511"/>
      <c r="M25" s="286"/>
      <c r="N25" s="520" t="s">
        <v>708</v>
      </c>
      <c r="O25" s="518" t="s">
        <v>343</v>
      </c>
      <c r="P25" s="556">
        <v>17500</v>
      </c>
      <c r="Q25" s="286"/>
      <c r="R25" s="1491" t="s">
        <v>1058</v>
      </c>
      <c r="S25" s="1492"/>
      <c r="T25" s="1493"/>
      <c r="U25" s="1491" t="s">
        <v>1059</v>
      </c>
      <c r="V25" s="1492"/>
      <c r="W25" s="1492"/>
    </row>
    <row r="26" spans="1:23" ht="17">
      <c r="A26" s="286"/>
      <c r="B26" s="1204" t="s">
        <v>159</v>
      </c>
      <c r="C26" s="1204"/>
      <c r="D26" s="134">
        <v>3</v>
      </c>
      <c r="E26" s="286"/>
      <c r="F26" s="286"/>
      <c r="G26" s="535" t="s">
        <v>367</v>
      </c>
      <c r="H26" s="535"/>
      <c r="I26" s="287" t="s">
        <v>85</v>
      </c>
      <c r="J26" s="291">
        <v>45</v>
      </c>
      <c r="K26" s="532"/>
      <c r="L26" s="511"/>
      <c r="M26" s="286"/>
      <c r="N26" s="520" t="s">
        <v>713</v>
      </c>
      <c r="O26" s="518" t="s">
        <v>63</v>
      </c>
      <c r="P26" s="556">
        <v>5000</v>
      </c>
      <c r="Q26" s="286"/>
      <c r="R26" s="1491" t="s">
        <v>1060</v>
      </c>
      <c r="S26" s="1492"/>
      <c r="T26" s="1493"/>
      <c r="U26" s="1491" t="s">
        <v>1061</v>
      </c>
      <c r="V26" s="1492"/>
      <c r="W26" s="1492"/>
    </row>
    <row r="27" spans="1:23" ht="16">
      <c r="A27" s="286"/>
      <c r="B27" s="1204" t="s">
        <v>160</v>
      </c>
      <c r="C27" s="1204"/>
      <c r="D27" s="134">
        <v>16</v>
      </c>
      <c r="E27" s="286"/>
      <c r="F27" s="286"/>
      <c r="G27" s="535" t="s">
        <v>368</v>
      </c>
      <c r="H27" s="535"/>
      <c r="I27" s="287" t="s">
        <v>369</v>
      </c>
      <c r="J27" s="291">
        <v>55</v>
      </c>
      <c r="K27" s="537"/>
      <c r="L27" s="511"/>
      <c r="M27" s="286"/>
      <c r="N27" s="517"/>
      <c r="O27" s="286"/>
      <c r="P27" s="287"/>
      <c r="Q27" s="286"/>
      <c r="R27" s="1491" t="s">
        <v>1062</v>
      </c>
      <c r="S27" s="1492"/>
      <c r="T27" s="1493"/>
      <c r="U27" s="1491" t="s">
        <v>1063</v>
      </c>
      <c r="V27" s="1492"/>
      <c r="W27" s="1492"/>
    </row>
    <row r="28" spans="1:23" ht="16">
      <c r="A28" s="286"/>
      <c r="B28" s="1205" t="s">
        <v>863</v>
      </c>
      <c r="C28" s="1206"/>
      <c r="D28" s="134">
        <v>3.5</v>
      </c>
      <c r="E28" s="574"/>
      <c r="F28" s="286"/>
      <c r="G28" s="535" t="s">
        <v>370</v>
      </c>
      <c r="H28" s="535"/>
      <c r="I28" s="287" t="s">
        <v>371</v>
      </c>
      <c r="J28" s="291">
        <v>170</v>
      </c>
      <c r="K28" s="286"/>
      <c r="L28" s="511"/>
      <c r="M28" s="286"/>
      <c r="N28" s="517"/>
      <c r="O28" s="286"/>
      <c r="P28" s="287"/>
      <c r="Q28" s="286"/>
      <c r="R28" s="1491" t="s">
        <v>1064</v>
      </c>
      <c r="S28" s="1492"/>
      <c r="T28" s="1493"/>
      <c r="U28" s="1491" t="s">
        <v>1065</v>
      </c>
      <c r="V28" s="1492"/>
      <c r="W28" s="1492"/>
    </row>
    <row r="29" spans="1:23" ht="17" thickBot="1">
      <c r="A29" s="286"/>
      <c r="B29" s="1207" t="s">
        <v>164</v>
      </c>
      <c r="C29" s="1208"/>
      <c r="D29" s="211">
        <v>3</v>
      </c>
      <c r="E29" s="286"/>
      <c r="F29" s="286"/>
      <c r="G29" s="286"/>
      <c r="H29" s="286"/>
      <c r="I29" s="287"/>
      <c r="J29" s="511"/>
      <c r="K29" s="286"/>
      <c r="L29" s="511"/>
      <c r="M29" s="286"/>
      <c r="N29" s="517"/>
      <c r="O29" s="286"/>
      <c r="P29" s="287"/>
      <c r="Q29" s="286"/>
      <c r="R29" s="1491" t="s">
        <v>1066</v>
      </c>
      <c r="S29" s="1492"/>
      <c r="T29" s="1493"/>
      <c r="U29" s="1491" t="s">
        <v>1067</v>
      </c>
      <c r="V29" s="1492"/>
      <c r="W29" s="1492"/>
    </row>
    <row r="30" spans="1:23" ht="16">
      <c r="A30" s="286"/>
      <c r="B30" s="286"/>
      <c r="C30" s="286"/>
      <c r="D30" s="286"/>
      <c r="E30" s="286"/>
      <c r="F30" s="286"/>
      <c r="G30" s="538" t="s">
        <v>151</v>
      </c>
      <c r="H30" s="294">
        <v>3500</v>
      </c>
      <c r="I30" s="539" t="s">
        <v>155</v>
      </c>
      <c r="J30" s="707">
        <v>120</v>
      </c>
      <c r="K30" s="1177" t="s">
        <v>819</v>
      </c>
      <c r="L30" s="1178"/>
      <c r="M30" s="286"/>
      <c r="N30" s="517"/>
      <c r="O30" s="286"/>
      <c r="P30" s="287"/>
      <c r="Q30" s="286"/>
      <c r="R30" s="1491" t="s">
        <v>1068</v>
      </c>
      <c r="S30" s="1492"/>
      <c r="T30" s="1493"/>
      <c r="U30" s="1491" t="s">
        <v>1069</v>
      </c>
      <c r="V30" s="1492"/>
      <c r="W30" s="1492"/>
    </row>
    <row r="31" spans="1:23" ht="16">
      <c r="A31" s="286"/>
      <c r="B31" s="286"/>
      <c r="C31" s="286"/>
      <c r="D31" s="286"/>
      <c r="E31" s="286"/>
      <c r="F31" s="286"/>
      <c r="G31" s="538" t="s">
        <v>372</v>
      </c>
      <c r="H31" s="508">
        <v>8000</v>
      </c>
      <c r="I31" s="539" t="s">
        <v>155</v>
      </c>
      <c r="J31" s="707">
        <v>120</v>
      </c>
      <c r="K31" s="1177" t="s">
        <v>819</v>
      </c>
      <c r="L31" s="1178"/>
      <c r="M31" s="286"/>
      <c r="N31" s="517"/>
      <c r="O31" s="286"/>
      <c r="P31" s="287"/>
      <c r="Q31" s="286"/>
      <c r="R31" s="1491" t="s">
        <v>1070</v>
      </c>
      <c r="S31" s="1492"/>
      <c r="T31" s="1493"/>
      <c r="U31" s="1491" t="s">
        <v>1071</v>
      </c>
      <c r="V31" s="1492"/>
      <c r="W31" s="1492"/>
    </row>
    <row r="32" spans="1:23" ht="16">
      <c r="A32" s="286"/>
      <c r="B32" s="286"/>
      <c r="C32" s="286"/>
      <c r="D32" s="286"/>
      <c r="E32" s="286"/>
      <c r="F32" s="286"/>
      <c r="G32" s="538" t="s">
        <v>373</v>
      </c>
      <c r="H32" s="294">
        <v>18500</v>
      </c>
      <c r="I32" s="539" t="s">
        <v>155</v>
      </c>
      <c r="J32" s="540"/>
      <c r="K32" s="286"/>
      <c r="L32" s="511"/>
      <c r="M32" s="286"/>
      <c r="N32" s="286"/>
      <c r="O32" s="286"/>
      <c r="P32" s="286"/>
      <c r="Q32" s="286"/>
      <c r="R32" s="1491" t="s">
        <v>1072</v>
      </c>
      <c r="S32" s="1492"/>
      <c r="T32" s="1493"/>
      <c r="U32" s="1491" t="s">
        <v>1073</v>
      </c>
      <c r="V32" s="1492"/>
      <c r="W32" s="1492"/>
    </row>
    <row r="33" spans="1:23" ht="16">
      <c r="A33" s="286"/>
      <c r="B33" s="286"/>
      <c r="C33" s="286"/>
      <c r="D33" s="286"/>
      <c r="E33" s="286"/>
      <c r="F33" s="286"/>
      <c r="G33" s="517" t="s">
        <v>374</v>
      </c>
      <c r="H33" s="507">
        <v>23500</v>
      </c>
      <c r="I33" s="541" t="s">
        <v>155</v>
      </c>
      <c r="J33" s="541"/>
      <c r="K33" s="286"/>
      <c r="L33" s="511"/>
      <c r="M33" s="286"/>
      <c r="N33" s="286"/>
      <c r="O33" s="286"/>
      <c r="P33" s="286"/>
      <c r="Q33" s="286"/>
      <c r="R33" s="1491" t="s">
        <v>1074</v>
      </c>
      <c r="S33" s="1492"/>
      <c r="T33" s="1493"/>
      <c r="U33" s="1491" t="s">
        <v>1075</v>
      </c>
      <c r="V33" s="1492"/>
      <c r="W33" s="1492"/>
    </row>
    <row r="34" spans="1:23" ht="16">
      <c r="A34" s="286"/>
      <c r="B34" s="286"/>
      <c r="C34" s="286"/>
      <c r="D34" s="286"/>
      <c r="E34" s="286"/>
      <c r="F34" s="286"/>
      <c r="G34" s="286"/>
      <c r="H34" s="286"/>
      <c r="I34" s="287"/>
      <c r="J34" s="511"/>
      <c r="K34" s="286"/>
      <c r="L34" s="286"/>
      <c r="M34" s="286"/>
      <c r="N34" s="286"/>
      <c r="O34" s="286"/>
      <c r="P34" s="286"/>
      <c r="Q34" s="286"/>
      <c r="R34" s="1491" t="s">
        <v>1076</v>
      </c>
      <c r="S34" s="1492"/>
      <c r="T34" s="1493"/>
      <c r="U34" s="1491" t="s">
        <v>1077</v>
      </c>
      <c r="V34" s="1492"/>
      <c r="W34" s="1492"/>
    </row>
    <row r="35" spans="1:23" ht="16">
      <c r="A35" s="286"/>
      <c r="B35" s="286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  <c r="O35" s="286"/>
      <c r="P35" s="286"/>
      <c r="Q35" s="286"/>
      <c r="R35" s="1491" t="s">
        <v>1078</v>
      </c>
      <c r="S35" s="1492"/>
      <c r="T35" s="1493"/>
      <c r="U35" s="1491" t="s">
        <v>1079</v>
      </c>
      <c r="V35" s="1492"/>
      <c r="W35" s="1492"/>
    </row>
    <row r="36" spans="1:23" ht="16">
      <c r="A36" s="286"/>
      <c r="B36" s="286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6"/>
      <c r="Q36" s="286"/>
      <c r="R36" s="1491" t="s">
        <v>1080</v>
      </c>
      <c r="S36" s="1492"/>
      <c r="T36" s="1493"/>
      <c r="U36" s="1491" t="s">
        <v>1081</v>
      </c>
      <c r="V36" s="1492"/>
      <c r="W36" s="1492"/>
    </row>
    <row r="37" spans="1:23" ht="16">
      <c r="A37" s="575"/>
      <c r="B37" s="575"/>
      <c r="C37" s="575"/>
      <c r="D37" s="575"/>
      <c r="E37" s="575"/>
      <c r="F37" s="1202" t="s">
        <v>723</v>
      </c>
      <c r="G37" s="1202"/>
      <c r="H37" s="1202"/>
      <c r="I37" s="1202"/>
      <c r="J37" s="1202"/>
      <c r="K37" s="1202"/>
      <c r="L37" s="1202"/>
      <c r="M37" s="1202"/>
      <c r="N37" s="1202"/>
      <c r="O37" s="575"/>
      <c r="P37" s="575"/>
      <c r="Q37" s="575"/>
      <c r="R37" s="1491" t="s">
        <v>1082</v>
      </c>
      <c r="S37" s="1492"/>
      <c r="T37" s="1493"/>
      <c r="U37" s="1491" t="s">
        <v>1083</v>
      </c>
      <c r="V37" s="1492"/>
      <c r="W37" s="1492"/>
    </row>
    <row r="38" spans="1:23" ht="16">
      <c r="A38" s="575"/>
      <c r="B38" s="575"/>
      <c r="C38" s="575"/>
      <c r="D38" s="575"/>
      <c r="E38" s="575"/>
      <c r="F38" s="1202"/>
      <c r="G38" s="1202"/>
      <c r="H38" s="1202"/>
      <c r="I38" s="1202"/>
      <c r="J38" s="1202"/>
      <c r="K38" s="1202"/>
      <c r="L38" s="1202"/>
      <c r="M38" s="1202"/>
      <c r="N38" s="1202"/>
      <c r="O38" s="575"/>
      <c r="P38" s="575"/>
      <c r="Q38" s="575"/>
      <c r="R38" s="1491" t="s">
        <v>1084</v>
      </c>
      <c r="S38" s="1492"/>
      <c r="T38" s="1493"/>
      <c r="U38" s="1491" t="s">
        <v>1085</v>
      </c>
      <c r="V38" s="1492"/>
      <c r="W38" s="1492"/>
    </row>
    <row r="39" spans="1:23" ht="16">
      <c r="A39" s="286"/>
      <c r="B39" s="286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6"/>
      <c r="P39" s="286"/>
      <c r="Q39" s="286"/>
      <c r="R39" s="1491" t="s">
        <v>1086</v>
      </c>
      <c r="S39" s="1492"/>
      <c r="T39" s="1493"/>
      <c r="U39" s="1491" t="s">
        <v>1087</v>
      </c>
      <c r="V39" s="1492"/>
      <c r="W39" s="1492"/>
    </row>
    <row r="40" spans="1:23" ht="19">
      <c r="A40" s="286"/>
      <c r="B40" s="1209" t="s">
        <v>642</v>
      </c>
      <c r="C40" s="1210"/>
      <c r="D40" s="1210"/>
      <c r="E40" s="286"/>
      <c r="F40" s="286"/>
      <c r="G40" s="1211" t="s">
        <v>643</v>
      </c>
      <c r="H40" s="1210"/>
      <c r="I40" s="1210"/>
      <c r="J40" s="286"/>
      <c r="K40" s="286"/>
      <c r="L40" s="286"/>
      <c r="M40" s="286"/>
      <c r="N40" s="286"/>
      <c r="O40" s="286"/>
      <c r="P40" s="286"/>
      <c r="Q40" s="286"/>
      <c r="R40" s="1491" t="s">
        <v>1088</v>
      </c>
      <c r="S40" s="1492"/>
      <c r="T40" s="1493"/>
      <c r="U40" s="1491" t="s">
        <v>1089</v>
      </c>
      <c r="V40" s="1492"/>
      <c r="W40" s="1492"/>
    </row>
    <row r="41" spans="1:23" ht="16">
      <c r="A41" s="286"/>
      <c r="B41" s="561" t="s">
        <v>644</v>
      </c>
      <c r="C41" s="514" t="s">
        <v>148</v>
      </c>
      <c r="D41" s="570">
        <f>D16</f>
        <v>101.66</v>
      </c>
      <c r="E41" s="700" t="s">
        <v>819</v>
      </c>
      <c r="F41" s="286"/>
      <c r="G41" s="561" t="s">
        <v>644</v>
      </c>
      <c r="H41" s="514" t="s">
        <v>148</v>
      </c>
      <c r="I41" s="570">
        <f>D41</f>
        <v>101.66</v>
      </c>
      <c r="J41" s="700" t="s">
        <v>819</v>
      </c>
      <c r="K41" s="286"/>
      <c r="L41" s="286"/>
      <c r="M41" s="286"/>
      <c r="N41" s="286"/>
      <c r="O41" s="286"/>
      <c r="P41" s="286"/>
      <c r="Q41" s="286"/>
      <c r="R41" s="1491" t="s">
        <v>1090</v>
      </c>
      <c r="S41" s="1492"/>
      <c r="T41" s="1493"/>
      <c r="U41" s="1491" t="s">
        <v>1091</v>
      </c>
      <c r="V41" s="1492"/>
      <c r="W41" s="1492"/>
    </row>
    <row r="42" spans="1:23" ht="16">
      <c r="A42" s="286"/>
      <c r="B42" s="513" t="s">
        <v>645</v>
      </c>
      <c r="C42" s="514" t="s">
        <v>86</v>
      </c>
      <c r="D42" s="587">
        <f>D4</f>
        <v>102.75</v>
      </c>
      <c r="E42" s="700" t="s">
        <v>819</v>
      </c>
      <c r="F42" s="286"/>
      <c r="G42" s="513" t="s">
        <v>645</v>
      </c>
      <c r="H42" s="514" t="s">
        <v>86</v>
      </c>
      <c r="I42" s="587">
        <f>D42</f>
        <v>102.75</v>
      </c>
      <c r="J42" s="700" t="s">
        <v>819</v>
      </c>
      <c r="K42" s="286"/>
      <c r="L42" s="286"/>
      <c r="M42" s="286"/>
      <c r="N42" s="286"/>
      <c r="O42" s="286"/>
      <c r="P42" s="286"/>
      <c r="Q42" s="286"/>
      <c r="R42" s="1491" t="s">
        <v>1092</v>
      </c>
      <c r="S42" s="1492"/>
      <c r="T42" s="1493"/>
      <c r="U42" s="1491" t="s">
        <v>1093</v>
      </c>
      <c r="V42" s="1492"/>
      <c r="W42" s="1492"/>
    </row>
    <row r="43" spans="1:23" ht="16">
      <c r="A43" s="286"/>
      <c r="B43" s="513"/>
      <c r="C43" s="514"/>
      <c r="D43" s="514"/>
      <c r="E43" s="286"/>
      <c r="F43" s="286"/>
      <c r="G43" s="513"/>
      <c r="H43" s="514"/>
      <c r="I43" s="514"/>
      <c r="J43" s="286"/>
      <c r="K43" s="286"/>
      <c r="L43" s="286"/>
      <c r="M43" s="286"/>
      <c r="N43" s="286"/>
      <c r="O43" s="286"/>
      <c r="P43" s="286"/>
      <c r="Q43" s="286"/>
      <c r="R43" s="1491" t="s">
        <v>1094</v>
      </c>
      <c r="S43" s="1492"/>
      <c r="T43" s="1493"/>
      <c r="U43" s="1491" t="s">
        <v>1095</v>
      </c>
      <c r="V43" s="1492"/>
      <c r="W43" s="1492"/>
    </row>
    <row r="44" spans="1:23" ht="16">
      <c r="A44" s="286"/>
      <c r="B44" s="513" t="s">
        <v>646</v>
      </c>
      <c r="C44" s="514" t="s">
        <v>85</v>
      </c>
      <c r="D44" s="558">
        <v>33</v>
      </c>
      <c r="E44" s="559" t="s">
        <v>700</v>
      </c>
      <c r="F44" s="286"/>
      <c r="G44" s="513" t="s">
        <v>646</v>
      </c>
      <c r="H44" s="514" t="s">
        <v>85</v>
      </c>
      <c r="I44" s="570">
        <f>D44</f>
        <v>33</v>
      </c>
      <c r="J44" s="700" t="s">
        <v>819</v>
      </c>
      <c r="K44" s="286"/>
      <c r="L44" s="286"/>
      <c r="M44" s="286"/>
      <c r="N44" s="286"/>
      <c r="O44" s="286"/>
      <c r="P44" s="286"/>
      <c r="Q44" s="286"/>
      <c r="R44" s="1491" t="s">
        <v>1096</v>
      </c>
      <c r="S44" s="1492"/>
      <c r="T44" s="1493"/>
      <c r="U44" s="1491" t="s">
        <v>1097</v>
      </c>
      <c r="V44" s="1492"/>
      <c r="W44" s="1492"/>
    </row>
    <row r="45" spans="1:23" ht="16">
      <c r="A45" s="286"/>
      <c r="B45" s="562" t="s">
        <v>647</v>
      </c>
      <c r="C45" s="514" t="s">
        <v>63</v>
      </c>
      <c r="D45" s="586" t="e">
        <f>#REF!</f>
        <v>#REF!</v>
      </c>
      <c r="E45" s="1158" t="s">
        <v>714</v>
      </c>
      <c r="F45" s="286"/>
      <c r="G45" s="562" t="s">
        <v>647</v>
      </c>
      <c r="H45" s="514" t="s">
        <v>63</v>
      </c>
      <c r="I45" s="586" t="e">
        <f>D45</f>
        <v>#REF!</v>
      </c>
      <c r="J45" s="700" t="s">
        <v>819</v>
      </c>
      <c r="K45" s="286"/>
      <c r="L45" s="286"/>
      <c r="M45" s="286"/>
      <c r="N45" s="286"/>
      <c r="O45" s="286"/>
      <c r="P45" s="286"/>
      <c r="Q45" s="286"/>
      <c r="R45" s="1491" t="s">
        <v>1098</v>
      </c>
      <c r="S45" s="1492"/>
      <c r="T45" s="1493"/>
      <c r="U45" s="1491" t="s">
        <v>1099</v>
      </c>
      <c r="V45" s="1492"/>
      <c r="W45" s="1492"/>
    </row>
    <row r="46" spans="1:23" ht="16">
      <c r="A46" s="286"/>
      <c r="B46" s="562" t="s">
        <v>648</v>
      </c>
      <c r="C46" s="514" t="s">
        <v>63</v>
      </c>
      <c r="D46" s="570" t="e">
        <f>#REF!</f>
        <v>#REF!</v>
      </c>
      <c r="E46" s="567" t="s">
        <v>701</v>
      </c>
      <c r="F46" s="559"/>
      <c r="G46" s="514"/>
      <c r="H46" s="514"/>
      <c r="I46" s="514"/>
      <c r="J46" s="286"/>
      <c r="K46" s="286"/>
      <c r="L46" s="286"/>
      <c r="M46" s="286"/>
      <c r="N46" s="286"/>
      <c r="O46" s="286"/>
      <c r="P46" s="286"/>
      <c r="Q46" s="286"/>
      <c r="R46" s="1491" t="s">
        <v>1100</v>
      </c>
      <c r="S46" s="1492"/>
      <c r="T46" s="1493"/>
      <c r="U46" s="1491" t="s">
        <v>1101</v>
      </c>
      <c r="V46" s="1492"/>
      <c r="W46" s="1492"/>
    </row>
    <row r="47" spans="1:23" ht="16">
      <c r="A47" s="286"/>
      <c r="B47" s="1212" t="s">
        <v>649</v>
      </c>
      <c r="C47" s="1213"/>
      <c r="D47" s="1214"/>
      <c r="E47" s="518" t="s">
        <v>345</v>
      </c>
      <c r="F47" s="286"/>
      <c r="G47" s="1212" t="s">
        <v>649</v>
      </c>
      <c r="H47" s="1213"/>
      <c r="I47" s="1214"/>
      <c r="J47" s="518" t="s">
        <v>345</v>
      </c>
      <c r="K47" s="286"/>
      <c r="L47" s="286"/>
      <c r="M47" s="286"/>
      <c r="N47" s="286"/>
      <c r="O47" s="286"/>
      <c r="P47" s="286"/>
      <c r="Q47" s="286"/>
      <c r="R47" s="1491" t="s">
        <v>1102</v>
      </c>
      <c r="S47" s="1492"/>
      <c r="T47" s="1493"/>
      <c r="U47" s="1491" t="s">
        <v>1103</v>
      </c>
      <c r="V47" s="1492"/>
      <c r="W47" s="1492"/>
    </row>
    <row r="48" spans="1:23" ht="16">
      <c r="A48" s="286"/>
      <c r="B48" s="563" t="s">
        <v>404</v>
      </c>
      <c r="C48" s="514" t="s">
        <v>138</v>
      </c>
      <c r="D48" s="569" t="e">
        <f>J24</f>
        <v>#REF!</v>
      </c>
      <c r="E48" s="569">
        <f>P4</f>
        <v>1900</v>
      </c>
      <c r="F48" s="286"/>
      <c r="G48" s="563" t="s">
        <v>734</v>
      </c>
      <c r="H48" s="514" t="s">
        <v>138</v>
      </c>
      <c r="I48" s="569" t="e">
        <f>D48</f>
        <v>#REF!</v>
      </c>
      <c r="J48" s="569">
        <f>E48</f>
        <v>1900</v>
      </c>
      <c r="K48" s="286"/>
      <c r="L48" s="286"/>
      <c r="M48" s="286"/>
      <c r="N48" s="286"/>
      <c r="O48" s="286"/>
      <c r="P48" s="286"/>
      <c r="Q48" s="286"/>
      <c r="R48" s="1491" t="s">
        <v>1104</v>
      </c>
      <c r="S48" s="1492"/>
      <c r="T48" s="1493"/>
      <c r="U48" s="1491" t="s">
        <v>1105</v>
      </c>
      <c r="V48" s="1492"/>
      <c r="W48" s="1492"/>
    </row>
    <row r="49" spans="1:23" ht="16">
      <c r="A49" s="286"/>
      <c r="B49" s="513" t="s">
        <v>650</v>
      </c>
      <c r="C49" s="514" t="s">
        <v>85</v>
      </c>
      <c r="D49" s="569">
        <f>D44</f>
        <v>33</v>
      </c>
      <c r="E49" s="568">
        <v>2110</v>
      </c>
      <c r="F49" s="567" t="s">
        <v>702</v>
      </c>
      <c r="G49" s="513" t="s">
        <v>651</v>
      </c>
      <c r="H49" s="514" t="s">
        <v>85</v>
      </c>
      <c r="I49" s="570">
        <f>D44</f>
        <v>33</v>
      </c>
      <c r="J49" s="290">
        <v>2220</v>
      </c>
      <c r="K49" s="286"/>
      <c r="L49" s="286"/>
      <c r="M49" s="286"/>
      <c r="N49" s="286"/>
      <c r="O49" s="286"/>
      <c r="P49" s="286"/>
      <c r="Q49" s="286"/>
      <c r="R49" s="1491" t="s">
        <v>1106</v>
      </c>
      <c r="S49" s="1492"/>
      <c r="T49" s="1493"/>
      <c r="U49" s="1491" t="s">
        <v>1107</v>
      </c>
      <c r="V49" s="1492"/>
      <c r="W49" s="1492"/>
    </row>
    <row r="50" spans="1:23" ht="16">
      <c r="A50" s="286"/>
      <c r="B50" s="513" t="s">
        <v>652</v>
      </c>
      <c r="C50" s="514" t="s">
        <v>85</v>
      </c>
      <c r="D50" s="569">
        <f>D44</f>
        <v>33</v>
      </c>
      <c r="E50" s="568">
        <v>2440</v>
      </c>
      <c r="F50" s="567" t="s">
        <v>702</v>
      </c>
      <c r="G50" s="513" t="s">
        <v>653</v>
      </c>
      <c r="H50" s="514" t="s">
        <v>85</v>
      </c>
      <c r="I50" s="570">
        <f>D44</f>
        <v>33</v>
      </c>
      <c r="J50" s="290">
        <v>3060</v>
      </c>
      <c r="K50" s="286"/>
      <c r="L50" s="286"/>
      <c r="M50" s="286"/>
      <c r="N50" s="286"/>
      <c r="O50" s="286"/>
      <c r="P50" s="286"/>
      <c r="Q50" s="286"/>
      <c r="R50" s="1491" t="s">
        <v>1108</v>
      </c>
      <c r="S50" s="1492"/>
      <c r="T50" s="1493"/>
      <c r="U50" s="1491" t="s">
        <v>1109</v>
      </c>
      <c r="V50" s="1492"/>
      <c r="W50" s="1492"/>
    </row>
    <row r="51" spans="1:23" ht="16">
      <c r="A51" s="286"/>
      <c r="B51" s="513" t="s">
        <v>654</v>
      </c>
      <c r="C51" s="514" t="s">
        <v>85</v>
      </c>
      <c r="D51" s="570">
        <f>D44</f>
        <v>33</v>
      </c>
      <c r="E51" s="290">
        <v>2440</v>
      </c>
      <c r="F51" s="286"/>
      <c r="G51" s="513" t="s">
        <v>655</v>
      </c>
      <c r="H51" s="514" t="s">
        <v>85</v>
      </c>
      <c r="I51" s="570">
        <f>D44</f>
        <v>33</v>
      </c>
      <c r="J51" s="290">
        <v>2870</v>
      </c>
      <c r="K51" s="286"/>
      <c r="L51" s="286"/>
      <c r="M51" s="286"/>
      <c r="N51" s="286"/>
      <c r="O51" s="286"/>
      <c r="P51" s="286"/>
      <c r="Q51" s="286"/>
      <c r="R51" s="1491" t="s">
        <v>1110</v>
      </c>
      <c r="S51" s="1492"/>
      <c r="T51" s="1493"/>
      <c r="U51" s="1491" t="s">
        <v>1111</v>
      </c>
      <c r="V51" s="1492"/>
      <c r="W51" s="1492"/>
    </row>
    <row r="52" spans="1:23" ht="16">
      <c r="A52" s="286"/>
      <c r="B52" s="513" t="s">
        <v>656</v>
      </c>
      <c r="C52" s="514" t="s">
        <v>85</v>
      </c>
      <c r="D52" s="570">
        <f>D44</f>
        <v>33</v>
      </c>
      <c r="E52" s="290">
        <v>2830</v>
      </c>
      <c r="F52" s="286"/>
      <c r="G52" s="513" t="s">
        <v>657</v>
      </c>
      <c r="H52" s="514" t="s">
        <v>85</v>
      </c>
      <c r="I52" s="570">
        <f>D44</f>
        <v>33</v>
      </c>
      <c r="J52" s="290">
        <v>3990</v>
      </c>
      <c r="K52" s="286"/>
      <c r="L52" s="286"/>
      <c r="M52" s="286"/>
      <c r="N52" s="286"/>
      <c r="O52" s="286"/>
      <c r="P52" s="286"/>
      <c r="Q52" s="286"/>
      <c r="R52" s="1491" t="s">
        <v>1112</v>
      </c>
      <c r="S52" s="1492"/>
      <c r="T52" s="1493"/>
      <c r="U52" s="1491" t="s">
        <v>1113</v>
      </c>
      <c r="V52" s="1492"/>
      <c r="W52" s="1492"/>
    </row>
    <row r="53" spans="1:23" ht="16">
      <c r="A53" s="286"/>
      <c r="B53" s="513" t="s">
        <v>658</v>
      </c>
      <c r="C53" s="514" t="s">
        <v>85</v>
      </c>
      <c r="D53" s="570">
        <f>D44</f>
        <v>33</v>
      </c>
      <c r="E53" s="290">
        <v>300</v>
      </c>
      <c r="F53" s="286"/>
      <c r="G53" s="513" t="s">
        <v>658</v>
      </c>
      <c r="H53" s="514" t="s">
        <v>85</v>
      </c>
      <c r="I53" s="570">
        <f>D44</f>
        <v>33</v>
      </c>
      <c r="J53" s="290">
        <v>300</v>
      </c>
      <c r="K53" s="286"/>
      <c r="L53" s="286"/>
      <c r="M53" s="286"/>
      <c r="N53" s="286"/>
      <c r="O53" s="286"/>
      <c r="P53" s="286"/>
      <c r="Q53" s="286"/>
      <c r="R53" s="1491" t="s">
        <v>1114</v>
      </c>
      <c r="S53" s="1492"/>
      <c r="T53" s="1493"/>
      <c r="U53" s="1491" t="s">
        <v>1115</v>
      </c>
      <c r="V53" s="1492"/>
      <c r="W53" s="1492"/>
    </row>
    <row r="54" spans="1:23" ht="16">
      <c r="A54" s="286"/>
      <c r="B54" s="513" t="s">
        <v>659</v>
      </c>
      <c r="C54" s="514" t="s">
        <v>85</v>
      </c>
      <c r="D54" s="570" t="e">
        <f>#REF!</f>
        <v>#REF!</v>
      </c>
      <c r="E54" s="290">
        <v>16</v>
      </c>
      <c r="F54" s="286"/>
      <c r="G54" s="513" t="s">
        <v>659</v>
      </c>
      <c r="H54" s="514" t="s">
        <v>85</v>
      </c>
      <c r="I54" s="570" t="e">
        <f>#REF!</f>
        <v>#REF!</v>
      </c>
      <c r="J54" s="570">
        <f>E54</f>
        <v>16</v>
      </c>
      <c r="K54" s="286"/>
      <c r="L54" s="286"/>
      <c r="M54" s="286"/>
      <c r="N54" s="286"/>
      <c r="O54" s="286"/>
      <c r="P54" s="286"/>
      <c r="Q54" s="286"/>
      <c r="R54" s="1491" t="s">
        <v>1116</v>
      </c>
      <c r="S54" s="1492"/>
      <c r="T54" s="1493"/>
      <c r="U54" s="1491" t="s">
        <v>1117</v>
      </c>
      <c r="V54" s="1492"/>
      <c r="W54" s="1492"/>
    </row>
    <row r="55" spans="1:23" ht="16">
      <c r="A55" s="286"/>
      <c r="B55" s="513" t="s">
        <v>726</v>
      </c>
      <c r="C55" s="514" t="s">
        <v>85</v>
      </c>
      <c r="D55" s="570" t="e">
        <f>#REF!</f>
        <v>#REF!</v>
      </c>
      <c r="E55" s="290">
        <v>324</v>
      </c>
      <c r="F55" s="286"/>
      <c r="G55" s="285" t="s">
        <v>660</v>
      </c>
      <c r="H55" s="514" t="s">
        <v>63</v>
      </c>
      <c r="I55" s="514"/>
      <c r="J55" s="570">
        <f>E59</f>
        <v>17000</v>
      </c>
      <c r="K55" s="286"/>
      <c r="L55" s="286"/>
      <c r="M55" s="286"/>
      <c r="N55" s="286"/>
      <c r="O55" s="286"/>
      <c r="P55" s="286"/>
      <c r="Q55" s="286"/>
      <c r="R55" s="1491" t="s">
        <v>1118</v>
      </c>
      <c r="S55" s="1492"/>
      <c r="T55" s="1493"/>
      <c r="U55" s="1491" t="s">
        <v>1119</v>
      </c>
      <c r="V55" s="1492"/>
      <c r="W55" s="1492"/>
    </row>
    <row r="56" spans="1:23" ht="16">
      <c r="A56" s="286"/>
      <c r="B56" s="513" t="s">
        <v>726</v>
      </c>
      <c r="C56" s="514" t="s">
        <v>85</v>
      </c>
      <c r="D56" s="570" t="e">
        <f>#REF!</f>
        <v>#REF!</v>
      </c>
      <c r="E56" s="570">
        <f>E55</f>
        <v>324</v>
      </c>
      <c r="F56" s="286"/>
      <c r="G56" s="285" t="s">
        <v>662</v>
      </c>
      <c r="H56" s="514" t="s">
        <v>155</v>
      </c>
      <c r="I56" s="570" t="e">
        <f>#REF!</f>
        <v>#REF!</v>
      </c>
      <c r="J56" s="290">
        <v>15000</v>
      </c>
      <c r="K56" s="286"/>
      <c r="L56" s="286"/>
      <c r="M56" s="286"/>
      <c r="N56" s="286"/>
      <c r="O56" s="286"/>
      <c r="P56" s="286"/>
      <c r="Q56" s="286"/>
      <c r="R56" s="1491" t="s">
        <v>1120</v>
      </c>
      <c r="S56" s="1492"/>
      <c r="T56" s="1493"/>
      <c r="U56" s="1491" t="s">
        <v>1121</v>
      </c>
      <c r="V56" s="1492"/>
      <c r="W56" s="1492"/>
    </row>
    <row r="57" spans="1:23" ht="16">
      <c r="A57" s="286"/>
      <c r="B57" s="513" t="s">
        <v>726</v>
      </c>
      <c r="C57" s="514" t="s">
        <v>85</v>
      </c>
      <c r="D57" s="570" t="e">
        <f>#REF!</f>
        <v>#REF!</v>
      </c>
      <c r="E57" s="570">
        <f>E55</f>
        <v>324</v>
      </c>
      <c r="F57" s="286"/>
      <c r="G57" s="285" t="s">
        <v>664</v>
      </c>
      <c r="H57" s="514" t="s">
        <v>155</v>
      </c>
      <c r="I57" s="570" t="e">
        <f>#REF!</f>
        <v>#REF!</v>
      </c>
      <c r="J57" s="290">
        <v>15000</v>
      </c>
      <c r="K57" s="286"/>
      <c r="L57" s="286"/>
      <c r="M57" s="286"/>
      <c r="N57" s="286"/>
      <c r="O57" s="286"/>
      <c r="P57" s="286"/>
      <c r="Q57" s="286"/>
      <c r="R57" s="1491" t="s">
        <v>1122</v>
      </c>
      <c r="S57" s="1492"/>
      <c r="T57" s="1493"/>
      <c r="U57" s="1491" t="s">
        <v>1123</v>
      </c>
      <c r="V57" s="1492"/>
      <c r="W57" s="1492"/>
    </row>
    <row r="58" spans="1:23" ht="16">
      <c r="A58" s="286"/>
      <c r="B58" s="513" t="s">
        <v>726</v>
      </c>
      <c r="C58" s="514" t="s">
        <v>85</v>
      </c>
      <c r="D58" s="570" t="e">
        <f>#REF!</f>
        <v>#REF!</v>
      </c>
      <c r="E58" s="570">
        <f>E55</f>
        <v>324</v>
      </c>
      <c r="F58" s="1094" t="s">
        <v>995</v>
      </c>
      <c r="G58" s="285" t="s">
        <v>666</v>
      </c>
      <c r="H58" s="514" t="s">
        <v>155</v>
      </c>
      <c r="I58" s="570" t="e">
        <f>#REF!</f>
        <v>#REF!</v>
      </c>
      <c r="J58" s="290">
        <v>15000</v>
      </c>
      <c r="K58" s="286"/>
      <c r="L58" s="286"/>
      <c r="M58" s="286"/>
      <c r="N58" s="286"/>
      <c r="O58" s="286"/>
      <c r="P58" s="286"/>
      <c r="Q58" s="286"/>
      <c r="R58" s="1491" t="s">
        <v>1124</v>
      </c>
      <c r="S58" s="1492"/>
      <c r="T58" s="1493"/>
      <c r="U58" s="1491" t="s">
        <v>1125</v>
      </c>
      <c r="V58" s="1492"/>
      <c r="W58" s="1492"/>
    </row>
    <row r="59" spans="1:23" ht="16">
      <c r="A59" s="286"/>
      <c r="B59" s="285" t="s">
        <v>992</v>
      </c>
      <c r="C59" s="514" t="s">
        <v>63</v>
      </c>
      <c r="D59" s="514"/>
      <c r="E59" s="290">
        <v>17000</v>
      </c>
      <c r="F59" s="1095">
        <v>150</v>
      </c>
      <c r="G59" s="285" t="s">
        <v>668</v>
      </c>
      <c r="H59" s="514" t="s">
        <v>155</v>
      </c>
      <c r="I59" s="570" t="e">
        <f>#REF!</f>
        <v>#REF!</v>
      </c>
      <c r="J59" s="290">
        <v>15000</v>
      </c>
      <c r="K59" s="286"/>
      <c r="L59" s="286"/>
      <c r="M59" s="286"/>
      <c r="N59" s="286"/>
      <c r="O59" s="286"/>
      <c r="P59" s="286"/>
      <c r="Q59" s="286"/>
      <c r="R59" s="1491" t="s">
        <v>1126</v>
      </c>
      <c r="S59" s="1492"/>
      <c r="T59" s="1493"/>
      <c r="U59" s="1491" t="s">
        <v>1127</v>
      </c>
      <c r="V59" s="1492"/>
      <c r="W59" s="1492"/>
    </row>
    <row r="60" spans="1:23" ht="16">
      <c r="A60" s="286"/>
      <c r="B60" s="285" t="s">
        <v>661</v>
      </c>
      <c r="C60" s="514" t="s">
        <v>155</v>
      </c>
      <c r="D60" s="570" t="e">
        <f>#REF!</f>
        <v>#REF!</v>
      </c>
      <c r="E60" s="290">
        <v>15000</v>
      </c>
      <c r="F60" s="286"/>
      <c r="G60" s="286"/>
      <c r="H60" s="286"/>
      <c r="I60" s="286"/>
      <c r="J60" s="286"/>
      <c r="K60" s="286"/>
      <c r="L60" s="286"/>
      <c r="M60" s="286"/>
      <c r="N60" s="286"/>
      <c r="O60" s="286"/>
      <c r="P60" s="286"/>
      <c r="Q60" s="286"/>
      <c r="R60" s="1491" t="s">
        <v>1128</v>
      </c>
      <c r="S60" s="1492"/>
      <c r="T60" s="1493"/>
      <c r="U60" s="1491" t="s">
        <v>1129</v>
      </c>
      <c r="V60" s="1492"/>
      <c r="W60" s="1492"/>
    </row>
    <row r="61" spans="1:23" ht="16">
      <c r="A61" s="286"/>
      <c r="B61" s="285" t="s">
        <v>663</v>
      </c>
      <c r="C61" s="514" t="s">
        <v>155</v>
      </c>
      <c r="D61" s="570" t="e">
        <f>#REF!</f>
        <v>#REF!</v>
      </c>
      <c r="E61" s="290">
        <v>15000</v>
      </c>
      <c r="F61" s="286"/>
      <c r="G61" s="1168" t="s">
        <v>375</v>
      </c>
      <c r="H61" s="1168"/>
      <c r="I61" s="1168"/>
      <c r="J61" s="286"/>
      <c r="K61" s="286"/>
      <c r="L61" s="286"/>
      <c r="M61" s="286"/>
      <c r="N61" s="286"/>
      <c r="O61" s="286"/>
      <c r="P61" s="286"/>
      <c r="Q61" s="286"/>
      <c r="R61" s="1491" t="s">
        <v>1130</v>
      </c>
      <c r="S61" s="1492"/>
      <c r="T61" s="1493"/>
      <c r="U61" s="1491" t="s">
        <v>1131</v>
      </c>
      <c r="V61" s="1492"/>
      <c r="W61" s="1492"/>
    </row>
    <row r="62" spans="1:23" ht="16">
      <c r="A62" s="286"/>
      <c r="B62" s="285" t="s">
        <v>665</v>
      </c>
      <c r="C62" s="514" t="s">
        <v>155</v>
      </c>
      <c r="D62" s="570" t="e">
        <f>#REF!</f>
        <v>#REF!</v>
      </c>
      <c r="E62" s="290">
        <v>15000</v>
      </c>
      <c r="F62" s="286"/>
      <c r="G62" s="513" t="s">
        <v>376</v>
      </c>
      <c r="H62" s="514"/>
      <c r="I62" s="570">
        <f>D68</f>
        <v>100</v>
      </c>
      <c r="J62" s="514"/>
      <c r="K62" s="286"/>
      <c r="L62" s="286"/>
      <c r="M62" s="286"/>
      <c r="N62" s="286"/>
      <c r="O62" s="286"/>
      <c r="P62" s="286"/>
      <c r="Q62" s="286"/>
      <c r="R62" s="1491" t="s">
        <v>1132</v>
      </c>
      <c r="S62" s="1492"/>
      <c r="T62" s="1493"/>
      <c r="U62" s="1491" t="s">
        <v>1133</v>
      </c>
      <c r="V62" s="1492"/>
      <c r="W62" s="1492"/>
    </row>
    <row r="63" spans="1:23" ht="16">
      <c r="A63" s="286"/>
      <c r="B63" s="285" t="s">
        <v>667</v>
      </c>
      <c r="C63" s="514" t="s">
        <v>155</v>
      </c>
      <c r="D63" s="570" t="e">
        <f>#REF!</f>
        <v>#REF!</v>
      </c>
      <c r="E63" s="290">
        <v>15000</v>
      </c>
      <c r="F63" s="286"/>
      <c r="G63" s="513" t="s">
        <v>404</v>
      </c>
      <c r="H63" s="514" t="s">
        <v>138</v>
      </c>
      <c r="I63" s="570" t="e">
        <f>D48</f>
        <v>#REF!</v>
      </c>
      <c r="J63" s="514"/>
      <c r="K63" s="286"/>
      <c r="L63" s="286"/>
      <c r="M63" s="286"/>
      <c r="N63" s="286"/>
      <c r="O63" s="286"/>
      <c r="P63" s="286"/>
      <c r="Q63" s="286"/>
      <c r="R63" s="1491" t="s">
        <v>1134</v>
      </c>
      <c r="S63" s="1492"/>
      <c r="T63" s="1493"/>
      <c r="U63" s="1491" t="s">
        <v>1135</v>
      </c>
      <c r="V63" s="1492"/>
      <c r="W63" s="1492"/>
    </row>
    <row r="64" spans="1:23" ht="16">
      <c r="A64" s="286"/>
      <c r="B64" s="686" t="s">
        <v>363</v>
      </c>
      <c r="C64" s="915" t="s">
        <v>85</v>
      </c>
      <c r="D64" s="916" t="e">
        <f>#REF!</f>
        <v>#REF!</v>
      </c>
      <c r="E64" s="686"/>
      <c r="F64" s="286"/>
      <c r="G64" s="513" t="s">
        <v>670</v>
      </c>
      <c r="H64" s="514" t="s">
        <v>85</v>
      </c>
      <c r="I64" s="290">
        <v>1900</v>
      </c>
      <c r="J64" s="514"/>
      <c r="K64" s="286"/>
      <c r="L64" s="286"/>
      <c r="M64" s="286"/>
      <c r="N64" s="286"/>
      <c r="O64" s="286"/>
      <c r="P64" s="286"/>
      <c r="Q64" s="286"/>
      <c r="R64" s="1491" t="s">
        <v>1136</v>
      </c>
      <c r="S64" s="1492"/>
      <c r="T64" s="1493"/>
      <c r="U64" s="1491" t="s">
        <v>1137</v>
      </c>
      <c r="V64" s="1492"/>
      <c r="W64" s="1492"/>
    </row>
    <row r="65" spans="1:23" ht="16">
      <c r="A65" s="286"/>
      <c r="B65" s="1117" t="s">
        <v>1008</v>
      </c>
      <c r="C65" s="1111" t="s">
        <v>144</v>
      </c>
      <c r="D65" s="1118"/>
      <c r="E65" s="1122">
        <v>380</v>
      </c>
      <c r="F65" s="286"/>
      <c r="G65" s="1119"/>
      <c r="H65" s="1120"/>
      <c r="I65" s="1121"/>
      <c r="J65" s="1120"/>
      <c r="K65" s="286"/>
      <c r="L65" s="286"/>
      <c r="M65" s="286"/>
      <c r="N65" s="286"/>
      <c r="O65" s="286"/>
      <c r="P65" s="286"/>
      <c r="Q65" s="286"/>
      <c r="R65" s="1491" t="s">
        <v>1138</v>
      </c>
      <c r="S65" s="1492"/>
      <c r="T65" s="1493"/>
      <c r="U65" s="1491" t="s">
        <v>1139</v>
      </c>
      <c r="V65" s="1492"/>
      <c r="W65" s="1492"/>
    </row>
    <row r="66" spans="1:23" ht="16">
      <c r="A66" s="286"/>
      <c r="B66" s="1115" t="s">
        <v>1007</v>
      </c>
      <c r="C66" s="1111" t="s">
        <v>85</v>
      </c>
      <c r="D66" s="916"/>
      <c r="E66" s="1116">
        <v>47</v>
      </c>
      <c r="F66" s="286"/>
      <c r="G66" s="1112"/>
      <c r="H66" s="1113"/>
      <c r="I66" s="1114"/>
      <c r="J66" s="1113"/>
      <c r="K66" s="286"/>
      <c r="L66" s="286"/>
      <c r="M66" s="286"/>
      <c r="N66" s="286"/>
      <c r="O66" s="286"/>
      <c r="P66" s="286"/>
      <c r="Q66" s="286"/>
      <c r="R66" s="1491" t="s">
        <v>1140</v>
      </c>
      <c r="S66" s="1492"/>
      <c r="T66" s="1493"/>
      <c r="U66" s="1491" t="s">
        <v>1141</v>
      </c>
      <c r="V66" s="1492"/>
      <c r="W66" s="1492"/>
    </row>
    <row r="67" spans="1:23" ht="16">
      <c r="A67" s="286"/>
      <c r="B67" s="1168" t="s">
        <v>375</v>
      </c>
      <c r="C67" s="1168"/>
      <c r="D67" s="1168"/>
      <c r="E67" s="286"/>
      <c r="F67" s="286"/>
      <c r="G67" s="513" t="s">
        <v>672</v>
      </c>
      <c r="H67" s="514" t="s">
        <v>85</v>
      </c>
      <c r="I67" s="290">
        <v>2100</v>
      </c>
      <c r="J67" s="514"/>
      <c r="K67" s="286"/>
      <c r="L67" s="286"/>
      <c r="M67" s="286"/>
      <c r="N67" s="286"/>
      <c r="O67" s="286"/>
      <c r="P67" s="286"/>
      <c r="Q67" s="286"/>
      <c r="R67" s="1491" t="s">
        <v>1142</v>
      </c>
      <c r="S67" s="1492"/>
      <c r="T67" s="1493"/>
      <c r="U67" s="1491" t="s">
        <v>1143</v>
      </c>
      <c r="V67" s="1492"/>
      <c r="W67" s="1492"/>
    </row>
    <row r="68" spans="1:23" ht="16">
      <c r="A68" s="286"/>
      <c r="B68" s="1203" t="s">
        <v>376</v>
      </c>
      <c r="C68" s="1203"/>
      <c r="D68" s="290">
        <v>100</v>
      </c>
      <c r="E68" s="514"/>
      <c r="F68" s="286"/>
      <c r="G68" s="513" t="s">
        <v>655</v>
      </c>
      <c r="H68" s="514" t="s">
        <v>85</v>
      </c>
      <c r="I68" s="290">
        <v>2260</v>
      </c>
      <c r="J68" s="514"/>
      <c r="K68" s="286"/>
      <c r="L68" s="286"/>
      <c r="M68" s="286"/>
      <c r="N68" s="286"/>
      <c r="O68" s="286"/>
      <c r="P68" s="286"/>
      <c r="Q68" s="286"/>
      <c r="R68" s="1491" t="s">
        <v>1144</v>
      </c>
      <c r="S68" s="1492"/>
      <c r="T68" s="1493"/>
      <c r="U68" s="1491" t="s">
        <v>1145</v>
      </c>
      <c r="V68" s="1492"/>
      <c r="W68" s="1492"/>
    </row>
    <row r="69" spans="1:23" ht="16">
      <c r="A69" s="286"/>
      <c r="B69" s="564" t="s">
        <v>404</v>
      </c>
      <c r="C69" s="565" t="s">
        <v>138</v>
      </c>
      <c r="D69" s="570" t="e">
        <f>D48</f>
        <v>#REF!</v>
      </c>
      <c r="E69" s="514"/>
      <c r="F69" s="286"/>
      <c r="G69" s="513" t="s">
        <v>657</v>
      </c>
      <c r="H69" s="514" t="s">
        <v>85</v>
      </c>
      <c r="I69" s="290">
        <v>2100</v>
      </c>
      <c r="J69" s="514"/>
      <c r="K69" s="286"/>
      <c r="L69" s="286"/>
      <c r="M69" s="286"/>
      <c r="N69" s="286"/>
      <c r="O69" s="286"/>
      <c r="P69" s="286"/>
      <c r="Q69" s="286"/>
      <c r="R69" s="1491" t="s">
        <v>1146</v>
      </c>
      <c r="S69" s="1492"/>
      <c r="T69" s="1493"/>
      <c r="U69" s="1491" t="s">
        <v>1147</v>
      </c>
      <c r="V69" s="1492"/>
      <c r="W69" s="1492"/>
    </row>
    <row r="70" spans="1:23" ht="16">
      <c r="A70" s="286"/>
      <c r="B70" s="513" t="s">
        <v>669</v>
      </c>
      <c r="C70" s="566" t="s">
        <v>85</v>
      </c>
      <c r="D70" s="290">
        <v>1200</v>
      </c>
      <c r="E70" s="514"/>
      <c r="F70" s="286"/>
      <c r="G70" s="513" t="s">
        <v>675</v>
      </c>
      <c r="H70" s="514" t="s">
        <v>85</v>
      </c>
      <c r="I70" s="570">
        <f>D74</f>
        <v>250</v>
      </c>
      <c r="J70" s="514"/>
      <c r="K70" s="286"/>
      <c r="L70" s="286"/>
      <c r="M70" s="286"/>
      <c r="N70" s="286"/>
      <c r="O70" s="286"/>
      <c r="P70" s="286"/>
      <c r="Q70" s="286"/>
      <c r="R70" s="1491" t="s">
        <v>1148</v>
      </c>
      <c r="S70" s="1492"/>
      <c r="T70" s="1493"/>
      <c r="U70" s="1491" t="s">
        <v>1149</v>
      </c>
      <c r="V70" s="1492"/>
      <c r="W70" s="1492"/>
    </row>
    <row r="71" spans="1:23" ht="16">
      <c r="A71" s="286"/>
      <c r="B71" s="513" t="s">
        <v>671</v>
      </c>
      <c r="C71" s="566" t="s">
        <v>85</v>
      </c>
      <c r="D71" s="290">
        <v>1200</v>
      </c>
      <c r="E71" s="514"/>
      <c r="F71" s="286"/>
      <c r="G71" s="513" t="s">
        <v>676</v>
      </c>
      <c r="H71" s="514" t="s">
        <v>86</v>
      </c>
      <c r="I71" s="570">
        <f>D75</f>
        <v>450</v>
      </c>
      <c r="J71" s="514"/>
      <c r="K71" s="286"/>
      <c r="L71" s="286"/>
      <c r="M71" s="286"/>
      <c r="N71" s="286"/>
      <c r="O71" s="286"/>
      <c r="P71" s="286"/>
      <c r="Q71" s="286"/>
      <c r="R71" s="1491" t="s">
        <v>1150</v>
      </c>
      <c r="S71" s="1492"/>
      <c r="T71" s="1493"/>
      <c r="U71" s="1491" t="s">
        <v>1151</v>
      </c>
      <c r="V71" s="1492"/>
      <c r="W71" s="1492"/>
    </row>
    <row r="72" spans="1:23" ht="16">
      <c r="A72" s="286"/>
      <c r="B72" s="513" t="s">
        <v>673</v>
      </c>
      <c r="C72" s="566" t="s">
        <v>85</v>
      </c>
      <c r="D72" s="290">
        <v>1200</v>
      </c>
      <c r="E72" s="514"/>
      <c r="F72" s="286"/>
      <c r="G72" s="285" t="s">
        <v>677</v>
      </c>
      <c r="H72" s="514" t="s">
        <v>63</v>
      </c>
      <c r="I72" s="570">
        <f>D76</f>
        <v>500</v>
      </c>
      <c r="J72" s="514"/>
      <c r="K72" s="286"/>
      <c r="L72" s="286"/>
      <c r="M72" s="286"/>
      <c r="N72" s="286"/>
      <c r="O72" s="286"/>
      <c r="P72" s="286"/>
      <c r="Q72" s="286"/>
      <c r="R72" s="1491" t="s">
        <v>1152</v>
      </c>
      <c r="S72" s="1492"/>
      <c r="T72" s="1493"/>
      <c r="U72" s="1491" t="s">
        <v>1153</v>
      </c>
      <c r="V72" s="1492"/>
      <c r="W72" s="1492"/>
    </row>
    <row r="73" spans="1:23" ht="16">
      <c r="A73" s="286"/>
      <c r="B73" s="513" t="s">
        <v>674</v>
      </c>
      <c r="C73" s="566" t="s">
        <v>85</v>
      </c>
      <c r="D73" s="290">
        <v>1200</v>
      </c>
      <c r="E73" s="514"/>
      <c r="F73" s="286"/>
      <c r="G73" s="285"/>
      <c r="H73" s="514"/>
      <c r="I73" s="514"/>
      <c r="J73" s="514"/>
      <c r="K73" s="286"/>
      <c r="L73" s="286"/>
      <c r="M73" s="286"/>
      <c r="N73" s="286"/>
      <c r="O73" s="286"/>
      <c r="P73" s="286"/>
      <c r="Q73" s="286"/>
      <c r="R73" s="1491" t="s">
        <v>1154</v>
      </c>
      <c r="S73" s="1492"/>
      <c r="T73" s="1493"/>
      <c r="U73" s="1491" t="s">
        <v>1155</v>
      </c>
      <c r="V73" s="1492"/>
      <c r="W73" s="1492"/>
    </row>
    <row r="74" spans="1:23" ht="16">
      <c r="A74" s="286"/>
      <c r="B74" s="513" t="s">
        <v>675</v>
      </c>
      <c r="C74" s="566" t="s">
        <v>85</v>
      </c>
      <c r="D74" s="290">
        <v>250</v>
      </c>
      <c r="E74" s="514"/>
      <c r="F74" s="286"/>
      <c r="G74" s="513"/>
      <c r="H74" s="514"/>
      <c r="I74" s="514"/>
      <c r="J74" s="514"/>
      <c r="K74" s="286"/>
      <c r="L74" s="286"/>
      <c r="M74" s="286"/>
      <c r="N74" s="286"/>
      <c r="O74" s="286"/>
      <c r="P74" s="286"/>
      <c r="Q74" s="286"/>
      <c r="R74" s="1491" t="s">
        <v>1156</v>
      </c>
      <c r="S74" s="1492"/>
      <c r="T74" s="1493"/>
      <c r="U74" s="1491" t="s">
        <v>1157</v>
      </c>
      <c r="V74" s="1492"/>
      <c r="W74" s="1492"/>
    </row>
    <row r="75" spans="1:23" ht="16">
      <c r="A75" s="286"/>
      <c r="B75" s="513" t="s">
        <v>676</v>
      </c>
      <c r="C75" s="514" t="s">
        <v>86</v>
      </c>
      <c r="D75" s="290">
        <v>450</v>
      </c>
      <c r="E75" s="514"/>
      <c r="F75" s="286"/>
      <c r="G75" s="286"/>
      <c r="H75" s="286"/>
      <c r="I75" s="286"/>
      <c r="J75" s="286"/>
      <c r="K75" s="286"/>
      <c r="L75" s="286"/>
      <c r="M75" s="286"/>
      <c r="N75" s="286"/>
      <c r="O75" s="286"/>
      <c r="P75" s="286"/>
      <c r="Q75" s="286"/>
      <c r="R75" s="1491" t="s">
        <v>1158</v>
      </c>
      <c r="S75" s="1492"/>
      <c r="T75" s="1493"/>
      <c r="U75" s="1491" t="s">
        <v>1159</v>
      </c>
      <c r="V75" s="1492"/>
      <c r="W75" s="1492"/>
    </row>
    <row r="76" spans="1:23" ht="16">
      <c r="A76" s="286"/>
      <c r="B76" s="285" t="s">
        <v>677</v>
      </c>
      <c r="C76" s="514" t="s">
        <v>63</v>
      </c>
      <c r="D76" s="290">
        <v>500</v>
      </c>
      <c r="E76" s="514"/>
      <c r="F76" s="286"/>
      <c r="G76" s="286"/>
      <c r="H76" s="286"/>
      <c r="I76" s="286"/>
      <c r="J76" s="286"/>
      <c r="K76" s="286"/>
      <c r="L76" s="286"/>
      <c r="M76" s="286"/>
      <c r="N76" s="286"/>
      <c r="O76" s="286"/>
      <c r="P76" s="286"/>
      <c r="Q76" s="286"/>
      <c r="R76" s="1491" t="s">
        <v>1160</v>
      </c>
      <c r="S76" s="1492"/>
      <c r="T76" s="1493"/>
      <c r="U76" s="1491" t="s">
        <v>1161</v>
      </c>
      <c r="V76" s="1492"/>
      <c r="W76" s="1492"/>
    </row>
    <row r="77" spans="1:23" ht="16">
      <c r="A77" s="286"/>
      <c r="B77" s="285" t="s">
        <v>728</v>
      </c>
      <c r="C77" s="514" t="s">
        <v>343</v>
      </c>
      <c r="D77" s="290">
        <v>5000</v>
      </c>
      <c r="E77" s="514"/>
      <c r="F77" s="286"/>
      <c r="G77" s="286"/>
      <c r="H77" s="286"/>
      <c r="I77" s="286"/>
      <c r="J77" s="286"/>
      <c r="K77" s="286"/>
      <c r="L77" s="286"/>
      <c r="M77" s="286"/>
      <c r="N77" s="286"/>
      <c r="O77" s="286"/>
      <c r="P77" s="286"/>
      <c r="Q77" s="286"/>
      <c r="R77" s="1491" t="s">
        <v>1162</v>
      </c>
      <c r="S77" s="1492"/>
      <c r="T77" s="1493"/>
      <c r="U77" s="1491" t="s">
        <v>1163</v>
      </c>
      <c r="V77" s="1492"/>
      <c r="W77" s="1492"/>
    </row>
    <row r="78" spans="1:23" ht="16">
      <c r="A78" s="286"/>
      <c r="B78" s="284"/>
      <c r="C78" s="589"/>
      <c r="D78" s="589"/>
      <c r="E78" s="589"/>
      <c r="F78" s="286"/>
      <c r="G78" s="286"/>
      <c r="H78" s="286"/>
      <c r="I78" s="286"/>
      <c r="J78" s="286"/>
      <c r="K78" s="286"/>
      <c r="L78" s="286"/>
      <c r="M78" s="286"/>
      <c r="N78" s="286"/>
      <c r="O78" s="286"/>
      <c r="P78" s="286"/>
      <c r="Q78" s="286"/>
      <c r="R78" s="1491" t="s">
        <v>1164</v>
      </c>
      <c r="S78" s="1492"/>
      <c r="T78" s="1493"/>
      <c r="U78" s="1491" t="s">
        <v>1165</v>
      </c>
      <c r="V78" s="1492"/>
      <c r="W78" s="1492"/>
    </row>
    <row r="79" spans="1:23" ht="16">
      <c r="A79" s="575"/>
      <c r="B79" s="575"/>
      <c r="C79" s="590"/>
      <c r="D79" s="590"/>
      <c r="E79" s="590"/>
      <c r="F79" s="1202" t="s">
        <v>733</v>
      </c>
      <c r="G79" s="1202"/>
      <c r="H79" s="1202"/>
      <c r="I79" s="1202"/>
      <c r="J79" s="1202"/>
      <c r="K79" s="1202"/>
      <c r="L79" s="1202"/>
      <c r="M79" s="1202"/>
      <c r="N79" s="1202"/>
      <c r="O79" s="575"/>
      <c r="P79" s="575"/>
      <c r="Q79" s="575"/>
      <c r="R79" s="1491" t="s">
        <v>1166</v>
      </c>
      <c r="S79" s="1492"/>
      <c r="T79" s="1493"/>
      <c r="U79" s="1491" t="s">
        <v>1167</v>
      </c>
      <c r="V79" s="1492"/>
      <c r="W79" s="1492"/>
    </row>
    <row r="80" spans="1:23" ht="16">
      <c r="A80" s="575"/>
      <c r="B80" s="575"/>
      <c r="C80" s="590"/>
      <c r="D80" s="590"/>
      <c r="E80" s="590"/>
      <c r="F80" s="1202"/>
      <c r="G80" s="1202"/>
      <c r="H80" s="1202"/>
      <c r="I80" s="1202"/>
      <c r="J80" s="1202"/>
      <c r="K80" s="1202"/>
      <c r="L80" s="1202"/>
      <c r="M80" s="1202"/>
      <c r="N80" s="1202"/>
      <c r="O80" s="575"/>
      <c r="P80" s="575"/>
      <c r="Q80" s="575"/>
      <c r="R80" s="1491" t="s">
        <v>1168</v>
      </c>
      <c r="S80" s="1492"/>
      <c r="T80" s="1493"/>
      <c r="U80" s="1491" t="s">
        <v>1169</v>
      </c>
      <c r="V80" s="1492"/>
      <c r="W80" s="1492"/>
    </row>
    <row r="81" spans="1:23" ht="17" thickBot="1">
      <c r="A81" s="286"/>
      <c r="B81" s="286"/>
      <c r="C81" s="286"/>
      <c r="D81" s="286"/>
      <c r="E81" s="286"/>
      <c r="F81" s="286"/>
      <c r="G81" s="664"/>
      <c r="H81" s="665" t="s">
        <v>344</v>
      </c>
      <c r="I81" s="666" t="s">
        <v>345</v>
      </c>
      <c r="J81" s="666"/>
      <c r="K81" s="666"/>
      <c r="L81" s="664"/>
      <c r="M81" s="286"/>
      <c r="N81" s="286"/>
      <c r="O81" s="286"/>
      <c r="P81" s="286"/>
      <c r="Q81" s="286"/>
      <c r="R81" s="1491" t="s">
        <v>1170</v>
      </c>
      <c r="S81" s="1492"/>
      <c r="T81" s="1493"/>
      <c r="U81" s="1491" t="s">
        <v>1171</v>
      </c>
      <c r="V81" s="1492"/>
      <c r="W81" s="1492"/>
    </row>
    <row r="82" spans="1:23" ht="18" thickBot="1">
      <c r="A82" s="667" t="s">
        <v>786</v>
      </c>
      <c r="B82" s="668" t="s">
        <v>802</v>
      </c>
      <c r="C82" s="669" t="s">
        <v>127</v>
      </c>
      <c r="D82" s="670" t="s">
        <v>803</v>
      </c>
      <c r="E82" s="286"/>
      <c r="F82" s="286"/>
      <c r="G82" s="671" t="s">
        <v>774</v>
      </c>
      <c r="H82" s="672" t="s">
        <v>144</v>
      </c>
      <c r="I82" s="626">
        <v>390</v>
      </c>
      <c r="J82" s="666"/>
      <c r="K82" s="666"/>
      <c r="L82" s="664"/>
      <c r="M82" s="286"/>
      <c r="N82" s="520" t="s">
        <v>735</v>
      </c>
      <c r="O82" s="518" t="s">
        <v>63</v>
      </c>
      <c r="P82" s="556">
        <v>350</v>
      </c>
      <c r="Q82" s="286"/>
      <c r="R82" s="1491" t="s">
        <v>1172</v>
      </c>
      <c r="S82" s="1492"/>
      <c r="T82" s="1493"/>
      <c r="U82" s="1491" t="s">
        <v>1173</v>
      </c>
      <c r="V82" s="1492"/>
      <c r="W82" s="1492"/>
    </row>
    <row r="83" spans="1:23" ht="20" thickBot="1">
      <c r="A83" s="668">
        <v>1</v>
      </c>
      <c r="B83" s="1179" t="s">
        <v>787</v>
      </c>
      <c r="C83" s="1180"/>
      <c r="D83" s="658">
        <v>1</v>
      </c>
      <c r="E83" s="697" t="s">
        <v>819</v>
      </c>
      <c r="F83" s="286"/>
      <c r="G83" s="674" t="s">
        <v>775</v>
      </c>
      <c r="H83" s="672" t="s">
        <v>343</v>
      </c>
      <c r="I83" s="659">
        <v>62780</v>
      </c>
      <c r="J83" s="666"/>
      <c r="K83" s="664"/>
      <c r="L83" s="286"/>
      <c r="M83" s="286"/>
      <c r="N83" s="520" t="s">
        <v>811</v>
      </c>
      <c r="O83" s="518" t="s">
        <v>148</v>
      </c>
      <c r="P83" s="556">
        <v>1250</v>
      </c>
      <c r="Q83" s="286"/>
      <c r="R83" s="1491" t="s">
        <v>1174</v>
      </c>
      <c r="S83" s="1492"/>
      <c r="T83" s="1493"/>
      <c r="U83" s="1491" t="s">
        <v>1175</v>
      </c>
      <c r="V83" s="1492"/>
      <c r="W83" s="1492"/>
    </row>
    <row r="84" spans="1:23" ht="42" customHeight="1" thickBot="1">
      <c r="A84" s="668">
        <v>2</v>
      </c>
      <c r="B84" s="696" t="s">
        <v>788</v>
      </c>
      <c r="C84" s="675" t="s">
        <v>333</v>
      </c>
      <c r="D84" s="1015">
        <v>0.9</v>
      </c>
      <c r="E84" s="1181" t="s">
        <v>1005</v>
      </c>
      <c r="F84" s="1182"/>
      <c r="G84" s="674" t="s">
        <v>776</v>
      </c>
      <c r="H84" s="672" t="s">
        <v>343</v>
      </c>
      <c r="I84" s="659">
        <v>63980</v>
      </c>
      <c r="J84" s="666"/>
      <c r="K84" s="664"/>
      <c r="L84" s="286"/>
      <c r="M84" s="286"/>
      <c r="N84" s="660" t="s">
        <v>810</v>
      </c>
      <c r="O84" s="662" t="s">
        <v>63</v>
      </c>
      <c r="P84" s="661">
        <v>650</v>
      </c>
      <c r="Q84" s="286"/>
      <c r="R84" s="1491" t="s">
        <v>1176</v>
      </c>
      <c r="S84" s="1492"/>
      <c r="T84" s="1493"/>
      <c r="U84" s="1491" t="s">
        <v>1177</v>
      </c>
      <c r="V84" s="1492"/>
      <c r="W84" s="1492"/>
    </row>
    <row r="85" spans="1:23" ht="17">
      <c r="A85" s="1183" t="s">
        <v>789</v>
      </c>
      <c r="B85" s="676" t="s">
        <v>790</v>
      </c>
      <c r="C85" s="677" t="s">
        <v>148</v>
      </c>
      <c r="D85" s="708">
        <v>100</v>
      </c>
      <c r="E85" s="700" t="s">
        <v>819</v>
      </c>
      <c r="F85" s="286"/>
      <c r="G85" s="674" t="s">
        <v>777</v>
      </c>
      <c r="H85" s="672" t="s">
        <v>63</v>
      </c>
      <c r="I85" s="430">
        <v>6300</v>
      </c>
      <c r="J85" s="666"/>
      <c r="K85" s="664"/>
      <c r="L85" s="286"/>
      <c r="M85" s="286"/>
      <c r="N85" s="660" t="s">
        <v>739</v>
      </c>
      <c r="O85" s="518" t="s">
        <v>136</v>
      </c>
      <c r="P85" s="661">
        <v>450</v>
      </c>
      <c r="Q85" s="286"/>
      <c r="R85" s="1491" t="s">
        <v>1178</v>
      </c>
      <c r="S85" s="1492"/>
      <c r="T85" s="1493"/>
      <c r="U85" s="1491" t="s">
        <v>1179</v>
      </c>
      <c r="V85" s="1492"/>
      <c r="W85" s="1492"/>
    </row>
    <row r="86" spans="1:23" ht="17">
      <c r="A86" s="1184"/>
      <c r="B86" s="678" t="s">
        <v>791</v>
      </c>
      <c r="C86" s="511" t="s">
        <v>136</v>
      </c>
      <c r="D86" s="698">
        <v>40</v>
      </c>
      <c r="E86" s="559" t="s">
        <v>864</v>
      </c>
      <c r="F86" s="286"/>
      <c r="G86" s="679" t="s">
        <v>778</v>
      </c>
      <c r="H86" s="672" t="s">
        <v>85</v>
      </c>
      <c r="I86" s="626">
        <v>500</v>
      </c>
      <c r="J86" s="666"/>
      <c r="K86" s="666"/>
      <c r="L86" s="664"/>
      <c r="M86" s="286"/>
      <c r="N86" s="660" t="s">
        <v>812</v>
      </c>
      <c r="O86" s="518" t="s">
        <v>63</v>
      </c>
      <c r="P86" s="661">
        <v>800</v>
      </c>
      <c r="Q86" s="286"/>
      <c r="R86" s="1491" t="s">
        <v>1180</v>
      </c>
      <c r="S86" s="1492"/>
      <c r="T86" s="1493"/>
      <c r="U86" s="1491" t="s">
        <v>1181</v>
      </c>
      <c r="V86" s="1492"/>
      <c r="W86" s="1492"/>
    </row>
    <row r="87" spans="1:23" ht="17">
      <c r="A87" s="1184"/>
      <c r="B87" s="678" t="s">
        <v>792</v>
      </c>
      <c r="C87" s="511" t="s">
        <v>333</v>
      </c>
      <c r="D87" s="698">
        <v>0.35</v>
      </c>
      <c r="E87" s="1175" t="s">
        <v>976</v>
      </c>
      <c r="F87" s="1176"/>
      <c r="G87" s="679" t="s">
        <v>779</v>
      </c>
      <c r="H87" s="672" t="s">
        <v>85</v>
      </c>
      <c r="I87" s="626">
        <v>290</v>
      </c>
      <c r="J87" s="666"/>
      <c r="K87" s="666"/>
      <c r="L87" s="664"/>
      <c r="M87" s="286"/>
      <c r="N87" s="660" t="s">
        <v>747</v>
      </c>
      <c r="O87" s="518" t="s">
        <v>136</v>
      </c>
      <c r="P87" s="661">
        <v>100</v>
      </c>
      <c r="Q87" s="286"/>
      <c r="R87" s="1491" t="s">
        <v>1182</v>
      </c>
      <c r="S87" s="1492"/>
      <c r="T87" s="1493"/>
      <c r="U87" s="1491" t="s">
        <v>1183</v>
      </c>
      <c r="V87" s="1492"/>
      <c r="W87" s="1492"/>
    </row>
    <row r="88" spans="1:23" ht="17">
      <c r="A88" s="1184"/>
      <c r="B88" s="678" t="s">
        <v>793</v>
      </c>
      <c r="C88" s="511"/>
      <c r="D88" s="699">
        <v>1</v>
      </c>
      <c r="E88" s="700" t="s">
        <v>819</v>
      </c>
      <c r="F88" s="286"/>
      <c r="G88" s="680" t="s">
        <v>761</v>
      </c>
      <c r="H88" s="672" t="s">
        <v>85</v>
      </c>
      <c r="I88" s="626">
        <v>100</v>
      </c>
      <c r="J88" s="666"/>
      <c r="K88" s="666"/>
      <c r="L88" s="664"/>
      <c r="M88" s="286"/>
      <c r="N88" s="660" t="s">
        <v>749</v>
      </c>
      <c r="O88" s="518" t="s">
        <v>136</v>
      </c>
      <c r="P88" s="661">
        <v>100</v>
      </c>
      <c r="Q88" s="286"/>
      <c r="R88" s="1491" t="s">
        <v>1184</v>
      </c>
      <c r="S88" s="1492"/>
      <c r="T88" s="1493"/>
      <c r="U88" s="1491" t="s">
        <v>1185</v>
      </c>
      <c r="V88" s="1492"/>
      <c r="W88" s="1492"/>
    </row>
    <row r="89" spans="1:23" ht="17">
      <c r="A89" s="1184"/>
      <c r="B89" s="678" t="s">
        <v>794</v>
      </c>
      <c r="C89" s="511" t="s">
        <v>85</v>
      </c>
      <c r="D89" s="699">
        <v>4</v>
      </c>
      <c r="E89" s="700" t="s">
        <v>819</v>
      </c>
      <c r="F89" s="286"/>
      <c r="G89" s="681" t="s">
        <v>746</v>
      </c>
      <c r="H89" s="672" t="s">
        <v>85</v>
      </c>
      <c r="I89" s="626">
        <v>100</v>
      </c>
      <c r="J89" s="666"/>
      <c r="K89" s="666"/>
      <c r="L89" s="664"/>
      <c r="M89" s="286"/>
      <c r="N89" s="660" t="s">
        <v>751</v>
      </c>
      <c r="O89" s="518" t="s">
        <v>136</v>
      </c>
      <c r="P89" s="661">
        <v>250</v>
      </c>
      <c r="Q89" s="286"/>
      <c r="R89" s="1491" t="s">
        <v>1186</v>
      </c>
      <c r="S89" s="1492"/>
      <c r="T89" s="1493"/>
      <c r="U89" s="1491" t="s">
        <v>1187</v>
      </c>
      <c r="V89" s="1492"/>
      <c r="W89" s="1492"/>
    </row>
    <row r="90" spans="1:23" ht="17">
      <c r="A90" s="1184"/>
      <c r="B90" s="678" t="s">
        <v>339</v>
      </c>
      <c r="C90" s="511" t="s">
        <v>85</v>
      </c>
      <c r="D90" s="699">
        <f>D12</f>
        <v>2</v>
      </c>
      <c r="E90" s="700" t="s">
        <v>819</v>
      </c>
      <c r="F90" s="286"/>
      <c r="G90" s="681" t="s">
        <v>762</v>
      </c>
      <c r="H90" s="672" t="s">
        <v>85</v>
      </c>
      <c r="I90" s="626">
        <v>100</v>
      </c>
      <c r="J90" s="666"/>
      <c r="K90" s="666"/>
      <c r="L90" s="664"/>
      <c r="M90" s="286"/>
      <c r="N90" s="660" t="s">
        <v>753</v>
      </c>
      <c r="O90" s="518" t="s">
        <v>63</v>
      </c>
      <c r="P90" s="661">
        <v>650</v>
      </c>
      <c r="Q90" s="286"/>
      <c r="R90" s="1491" t="s">
        <v>1188</v>
      </c>
      <c r="S90" s="1492"/>
      <c r="T90" s="1493"/>
      <c r="U90" s="1491" t="s">
        <v>1189</v>
      </c>
      <c r="V90" s="1492"/>
      <c r="W90" s="1492"/>
    </row>
    <row r="91" spans="1:23" ht="33" thickBot="1">
      <c r="A91" s="1184"/>
      <c r="B91" s="682" t="s">
        <v>795</v>
      </c>
      <c r="C91" s="511" t="s">
        <v>333</v>
      </c>
      <c r="D91" s="699">
        <v>0.05</v>
      </c>
      <c r="E91" s="709"/>
      <c r="F91" s="286"/>
      <c r="G91" s="681" t="s">
        <v>752</v>
      </c>
      <c r="H91" s="683" t="s">
        <v>85</v>
      </c>
      <c r="I91" s="627">
        <v>100</v>
      </c>
      <c r="J91" s="666"/>
      <c r="K91" s="666"/>
      <c r="L91" s="664"/>
      <c r="M91" s="286"/>
      <c r="N91" s="660" t="s">
        <v>759</v>
      </c>
      <c r="O91" s="662" t="s">
        <v>148</v>
      </c>
      <c r="P91" s="661">
        <v>120</v>
      </c>
      <c r="Q91" s="286"/>
      <c r="R91" s="1491" t="s">
        <v>1190</v>
      </c>
      <c r="S91" s="1492"/>
      <c r="T91" s="1493"/>
      <c r="U91" s="1491" t="s">
        <v>1191</v>
      </c>
      <c r="V91" s="1492"/>
      <c r="W91" s="1492"/>
    </row>
    <row r="92" spans="1:23" ht="17">
      <c r="A92" s="1185" t="s">
        <v>796</v>
      </c>
      <c r="B92" s="684" t="s">
        <v>340</v>
      </c>
      <c r="C92" s="685" t="s">
        <v>333</v>
      </c>
      <c r="D92" s="758">
        <v>0.2</v>
      </c>
      <c r="E92" s="697" t="s">
        <v>819</v>
      </c>
      <c r="F92" s="286"/>
      <c r="G92" s="681" t="s">
        <v>780</v>
      </c>
      <c r="H92" s="672" t="s">
        <v>85</v>
      </c>
      <c r="I92" s="626">
        <v>265</v>
      </c>
      <c r="J92" s="666"/>
      <c r="K92" s="666"/>
      <c r="L92" s="664"/>
      <c r="M92" s="286"/>
      <c r="N92" s="660" t="s">
        <v>815</v>
      </c>
      <c r="O92" s="662" t="s">
        <v>63</v>
      </c>
      <c r="P92" s="661">
        <v>6500</v>
      </c>
      <c r="Q92" s="286"/>
      <c r="R92" s="1491" t="s">
        <v>1192</v>
      </c>
      <c r="S92" s="1492"/>
      <c r="T92" s="1493"/>
      <c r="U92" s="1491" t="s">
        <v>1193</v>
      </c>
      <c r="V92" s="1492"/>
      <c r="W92" s="1492"/>
    </row>
    <row r="93" spans="1:23" ht="17">
      <c r="A93" s="1186"/>
      <c r="B93" s="686" t="s">
        <v>341</v>
      </c>
      <c r="C93" s="687" t="s">
        <v>333</v>
      </c>
      <c r="D93" s="705">
        <v>0.2</v>
      </c>
      <c r="E93" s="697" t="s">
        <v>819</v>
      </c>
      <c r="F93" s="286"/>
      <c r="G93" s="681" t="s">
        <v>748</v>
      </c>
      <c r="H93" s="672" t="s">
        <v>85</v>
      </c>
      <c r="I93" s="626">
        <v>120</v>
      </c>
      <c r="J93" s="666"/>
      <c r="K93" s="666"/>
      <c r="L93" s="664"/>
      <c r="M93" s="286"/>
      <c r="N93" s="660" t="s">
        <v>763</v>
      </c>
      <c r="O93" s="518" t="s">
        <v>148</v>
      </c>
      <c r="P93" s="661">
        <v>450</v>
      </c>
      <c r="Q93" s="286"/>
      <c r="R93" s="1491" t="s">
        <v>1194</v>
      </c>
      <c r="S93" s="1492"/>
      <c r="T93" s="1493"/>
      <c r="U93" s="1491" t="s">
        <v>1195</v>
      </c>
      <c r="V93" s="1492"/>
      <c r="W93" s="1492"/>
    </row>
    <row r="94" spans="1:23" ht="17">
      <c r="A94" s="1186"/>
      <c r="B94" s="686" t="s">
        <v>797</v>
      </c>
      <c r="C94" s="687" t="s">
        <v>333</v>
      </c>
      <c r="D94" s="705">
        <v>0.1</v>
      </c>
      <c r="E94" s="697" t="s">
        <v>819</v>
      </c>
      <c r="F94" s="286"/>
      <c r="G94" s="681" t="s">
        <v>740</v>
      </c>
      <c r="H94" s="672" t="s">
        <v>85</v>
      </c>
      <c r="I94" s="626">
        <v>72</v>
      </c>
      <c r="J94" s="666"/>
      <c r="K94" s="666"/>
      <c r="L94" s="664"/>
      <c r="M94" s="286"/>
      <c r="N94" s="660" t="s">
        <v>817</v>
      </c>
      <c r="O94" s="518" t="s">
        <v>343</v>
      </c>
      <c r="P94" s="980">
        <f>P12</f>
        <v>17500</v>
      </c>
      <c r="Q94" s="286"/>
      <c r="R94" s="1491" t="s">
        <v>1196</v>
      </c>
      <c r="S94" s="1492"/>
      <c r="T94" s="1493"/>
      <c r="U94" s="1491" t="s">
        <v>1197</v>
      </c>
      <c r="V94" s="1492"/>
      <c r="W94" s="1492"/>
    </row>
    <row r="95" spans="1:23" ht="30">
      <c r="A95" s="1186"/>
      <c r="B95" s="701" t="s">
        <v>804</v>
      </c>
      <c r="C95" s="687" t="s">
        <v>333</v>
      </c>
      <c r="D95" s="705">
        <v>0.05</v>
      </c>
      <c r="E95" s="697" t="s">
        <v>819</v>
      </c>
      <c r="F95" s="286"/>
      <c r="G95" s="688" t="s">
        <v>781</v>
      </c>
      <c r="H95" s="673" t="s">
        <v>85</v>
      </c>
      <c r="I95" s="626">
        <v>96</v>
      </c>
      <c r="J95" s="666"/>
      <c r="K95" s="666"/>
      <c r="L95" s="664"/>
      <c r="M95" s="286"/>
      <c r="N95" s="660" t="s">
        <v>769</v>
      </c>
      <c r="O95" s="662" t="s">
        <v>85</v>
      </c>
      <c r="P95" s="661">
        <v>12</v>
      </c>
      <c r="Q95" s="286"/>
      <c r="R95" s="1491" t="s">
        <v>1198</v>
      </c>
      <c r="S95" s="1492"/>
      <c r="T95" s="1493"/>
      <c r="U95" s="1491" t="s">
        <v>1199</v>
      </c>
      <c r="V95" s="1492"/>
      <c r="W95" s="1492"/>
    </row>
    <row r="96" spans="1:23" ht="32" thickBot="1">
      <c r="A96" s="1187"/>
      <c r="B96" s="1188" t="s">
        <v>798</v>
      </c>
      <c r="C96" s="1189"/>
      <c r="D96" s="702">
        <v>1</v>
      </c>
      <c r="E96" s="703" t="s">
        <v>819</v>
      </c>
      <c r="F96" s="286"/>
      <c r="G96" s="689" t="s">
        <v>782</v>
      </c>
      <c r="H96" s="673" t="s">
        <v>743</v>
      </c>
      <c r="I96" s="626">
        <v>350</v>
      </c>
      <c r="J96" s="666"/>
      <c r="K96" s="666"/>
      <c r="L96" s="664"/>
      <c r="M96" s="286"/>
      <c r="N96" s="660" t="s">
        <v>770</v>
      </c>
      <c r="O96" s="662" t="s">
        <v>85</v>
      </c>
      <c r="P96" s="661">
        <v>12</v>
      </c>
      <c r="Q96" s="286"/>
      <c r="R96" s="1491" t="s">
        <v>1200</v>
      </c>
      <c r="S96" s="1492"/>
      <c r="T96" s="1493"/>
      <c r="U96" s="1491" t="s">
        <v>1201</v>
      </c>
      <c r="V96" s="1492"/>
      <c r="W96" s="1492"/>
    </row>
    <row r="97" spans="1:23" ht="17">
      <c r="A97" s="1198" t="s">
        <v>807</v>
      </c>
      <c r="B97" s="690" t="s">
        <v>799</v>
      </c>
      <c r="C97" s="691" t="s">
        <v>136</v>
      </c>
      <c r="D97" s="704">
        <v>5</v>
      </c>
      <c r="E97" s="703" t="s">
        <v>819</v>
      </c>
      <c r="F97" s="286"/>
      <c r="G97" s="692" t="s">
        <v>783</v>
      </c>
      <c r="H97" s="672" t="s">
        <v>168</v>
      </c>
      <c r="I97" s="626">
        <v>2250</v>
      </c>
      <c r="J97" s="666"/>
      <c r="K97" s="666"/>
      <c r="L97" s="664"/>
      <c r="M97" s="286"/>
      <c r="N97" s="660" t="s">
        <v>818</v>
      </c>
      <c r="O97" s="518" t="s">
        <v>63</v>
      </c>
      <c r="P97" s="661">
        <v>5850</v>
      </c>
      <c r="Q97" s="286"/>
      <c r="R97" s="1491" t="s">
        <v>1202</v>
      </c>
      <c r="S97" s="1492"/>
      <c r="T97" s="1493"/>
      <c r="U97" s="1491" t="s">
        <v>1203</v>
      </c>
      <c r="V97" s="1492"/>
      <c r="W97" s="1492"/>
    </row>
    <row r="98" spans="1:23" ht="17">
      <c r="A98" s="1199"/>
      <c r="B98" s="686" t="s">
        <v>800</v>
      </c>
      <c r="C98" s="687" t="s">
        <v>136</v>
      </c>
      <c r="D98" s="705">
        <v>5</v>
      </c>
      <c r="E98" s="703" t="s">
        <v>819</v>
      </c>
      <c r="F98" s="286"/>
      <c r="G98" s="692" t="s">
        <v>784</v>
      </c>
      <c r="H98" s="672" t="s">
        <v>168</v>
      </c>
      <c r="I98" s="626">
        <v>2680</v>
      </c>
      <c r="J98" s="666"/>
      <c r="K98" s="666"/>
      <c r="L98" s="664"/>
      <c r="M98" s="286"/>
      <c r="N98" s="660" t="s">
        <v>974</v>
      </c>
      <c r="O98" s="518"/>
      <c r="P98" s="661">
        <v>450</v>
      </c>
      <c r="Q98" s="286"/>
      <c r="R98" s="1491" t="s">
        <v>1204</v>
      </c>
      <c r="S98" s="1492"/>
      <c r="T98" s="1493"/>
      <c r="U98" s="1491" t="s">
        <v>1205</v>
      </c>
      <c r="V98" s="1492"/>
      <c r="W98" s="1492"/>
    </row>
    <row r="99" spans="1:23" ht="17">
      <c r="A99" s="1199"/>
      <c r="B99" s="686" t="s">
        <v>801</v>
      </c>
      <c r="C99" s="687" t="s">
        <v>136</v>
      </c>
      <c r="D99" s="705">
        <v>5</v>
      </c>
      <c r="E99" s="703" t="s">
        <v>819</v>
      </c>
      <c r="F99" s="286"/>
      <c r="G99" s="693" t="s">
        <v>785</v>
      </c>
      <c r="H99" s="683" t="s">
        <v>766</v>
      </c>
      <c r="I99" s="627">
        <v>1350</v>
      </c>
      <c r="J99" s="666"/>
      <c r="K99" s="666"/>
      <c r="L99" s="664"/>
      <c r="M99" s="286"/>
      <c r="N99" s="660" t="s">
        <v>972</v>
      </c>
      <c r="O99" s="518"/>
      <c r="P99" s="661">
        <v>2500</v>
      </c>
      <c r="Q99" s="286"/>
      <c r="R99" s="1491" t="s">
        <v>1206</v>
      </c>
      <c r="S99" s="1492"/>
      <c r="T99" s="1493"/>
      <c r="U99" s="1491" t="s">
        <v>1207</v>
      </c>
      <c r="V99" s="1492"/>
      <c r="W99" s="1492"/>
    </row>
    <row r="100" spans="1:23" ht="34" thickBot="1">
      <c r="A100" s="1199"/>
      <c r="B100" s="694" t="s">
        <v>805</v>
      </c>
      <c r="C100" s="687" t="s">
        <v>136</v>
      </c>
      <c r="D100" s="705">
        <v>5</v>
      </c>
      <c r="E100" s="703" t="s">
        <v>819</v>
      </c>
      <c r="F100" s="286"/>
      <c r="G100" s="663" t="s">
        <v>773</v>
      </c>
      <c r="H100" s="294">
        <v>5000</v>
      </c>
      <c r="I100" s="539" t="s">
        <v>155</v>
      </c>
      <c r="J100" s="666"/>
      <c r="K100" s="666"/>
      <c r="L100" s="664"/>
      <c r="M100" s="286"/>
      <c r="N100" s="520" t="s">
        <v>734</v>
      </c>
      <c r="O100" s="518"/>
      <c r="P100" s="980" t="e">
        <f>#REF!</f>
        <v>#REF!</v>
      </c>
      <c r="Q100" s="286"/>
      <c r="R100" s="1491" t="s">
        <v>1208</v>
      </c>
      <c r="S100" s="1492"/>
      <c r="T100" s="1493"/>
      <c r="U100" s="1491" t="s">
        <v>1209</v>
      </c>
      <c r="V100" s="1492"/>
      <c r="W100" s="1492"/>
    </row>
    <row r="101" spans="1:23" ht="18" thickBot="1">
      <c r="A101" s="695"/>
      <c r="B101" s="1190" t="s">
        <v>906</v>
      </c>
      <c r="C101" s="1191"/>
      <c r="D101" s="1110">
        <v>1</v>
      </c>
      <c r="E101" s="703" t="s">
        <v>819</v>
      </c>
      <c r="F101" s="286"/>
      <c r="G101" s="286"/>
      <c r="H101" s="664"/>
      <c r="I101" s="286"/>
      <c r="J101" s="706">
        <v>120</v>
      </c>
      <c r="K101" s="1200" t="s">
        <v>819</v>
      </c>
      <c r="L101" s="1201"/>
      <c r="M101" s="286"/>
      <c r="N101" s="520" t="s">
        <v>1009</v>
      </c>
      <c r="O101" s="518" t="s">
        <v>148</v>
      </c>
      <c r="P101" s="227">
        <v>35</v>
      </c>
      <c r="Q101" s="286"/>
      <c r="R101" s="1491" t="s">
        <v>1210</v>
      </c>
      <c r="S101" s="1492"/>
      <c r="T101" s="1493"/>
      <c r="U101" s="1491" t="s">
        <v>1211</v>
      </c>
      <c r="V101" s="1492"/>
      <c r="W101" s="1492"/>
    </row>
    <row r="102" spans="1:23">
      <c r="A102" s="695"/>
      <c r="B102" s="286"/>
      <c r="C102" s="286"/>
      <c r="D102" s="286"/>
      <c r="E102" s="286"/>
      <c r="F102" s="286"/>
      <c r="G102" s="286"/>
      <c r="H102" s="664"/>
      <c r="I102" s="286"/>
      <c r="J102" s="666"/>
      <c r="K102" s="664"/>
      <c r="L102" s="286"/>
      <c r="M102" s="286"/>
      <c r="N102" s="286"/>
      <c r="O102" s="286"/>
      <c r="P102" s="286"/>
      <c r="Q102" s="286"/>
    </row>
    <row r="103" spans="1:23">
      <c r="A103" s="286"/>
      <c r="B103" s="286"/>
      <c r="C103" s="286"/>
      <c r="D103" s="286"/>
      <c r="E103" s="286"/>
      <c r="F103" s="286"/>
      <c r="G103" s="286"/>
      <c r="H103" s="664"/>
      <c r="I103" s="286"/>
      <c r="J103" s="666"/>
      <c r="K103" s="664"/>
      <c r="L103" s="286"/>
      <c r="M103" s="286"/>
      <c r="N103" s="286"/>
      <c r="O103" s="286"/>
      <c r="P103" s="286"/>
      <c r="Q103" s="286"/>
    </row>
    <row r="104" spans="1:23">
      <c r="A104" s="286"/>
      <c r="B104" s="286"/>
      <c r="C104" s="286"/>
      <c r="D104" s="286"/>
      <c r="E104" s="286"/>
      <c r="F104" s="286"/>
      <c r="G104" s="286"/>
      <c r="H104" s="286"/>
      <c r="I104" s="286"/>
      <c r="J104" s="666"/>
      <c r="K104" s="664"/>
      <c r="L104" s="286"/>
      <c r="M104" s="286"/>
      <c r="N104" s="286"/>
      <c r="O104" s="286"/>
      <c r="P104" s="286"/>
      <c r="Q104" s="286"/>
    </row>
    <row r="105" spans="1:23">
      <c r="A105" s="286"/>
      <c r="B105" s="286"/>
      <c r="C105" s="286"/>
      <c r="D105" s="286"/>
      <c r="E105" s="286"/>
      <c r="F105" s="286"/>
      <c r="G105" s="286"/>
      <c r="H105" s="286"/>
      <c r="I105" s="286"/>
      <c r="J105" s="666"/>
      <c r="K105" s="664"/>
      <c r="L105" s="286"/>
      <c r="M105" s="286"/>
      <c r="N105" s="286"/>
      <c r="O105" s="286"/>
      <c r="P105" s="286"/>
      <c r="Q105" s="286"/>
    </row>
    <row r="106" spans="1:23">
      <c r="A106" s="286"/>
      <c r="B106" s="286"/>
      <c r="C106" s="286"/>
      <c r="D106" s="286"/>
      <c r="E106" s="286"/>
      <c r="F106" s="286"/>
      <c r="G106" s="286"/>
      <c r="H106" s="286"/>
      <c r="I106" s="286"/>
      <c r="J106" s="666"/>
      <c r="K106" s="664"/>
      <c r="L106" s="286"/>
      <c r="M106" s="286"/>
      <c r="N106" s="286"/>
      <c r="O106" s="286"/>
      <c r="P106" s="286"/>
      <c r="Q106" s="286"/>
    </row>
    <row r="107" spans="1:23">
      <c r="A107" s="286"/>
      <c r="B107" s="286"/>
      <c r="C107" s="286"/>
      <c r="D107" s="286"/>
      <c r="E107" s="286"/>
      <c r="F107" s="286"/>
      <c r="G107" s="286"/>
      <c r="H107" s="286"/>
      <c r="I107" s="286"/>
      <c r="J107" s="286"/>
      <c r="K107" s="664"/>
      <c r="L107" s="286"/>
      <c r="M107" s="286"/>
      <c r="N107" s="286"/>
      <c r="O107" s="286"/>
      <c r="P107" s="286"/>
      <c r="Q107" s="286"/>
    </row>
    <row r="108" spans="1:23">
      <c r="A108" s="286"/>
      <c r="B108" s="286"/>
      <c r="C108" s="286"/>
      <c r="D108" s="286"/>
      <c r="E108" s="286"/>
      <c r="F108" s="286"/>
      <c r="G108" s="286"/>
      <c r="H108" s="286"/>
      <c r="I108" s="286"/>
      <c r="J108" s="286"/>
      <c r="K108" s="286"/>
      <c r="L108" s="664"/>
      <c r="M108" s="286"/>
      <c r="N108" s="286"/>
      <c r="O108" s="286"/>
      <c r="P108" s="286"/>
      <c r="Q108" s="286"/>
    </row>
    <row r="109" spans="1:23">
      <c r="A109" s="286"/>
      <c r="B109" s="286"/>
      <c r="C109" s="286"/>
      <c r="D109" s="286"/>
      <c r="E109" s="286"/>
      <c r="F109" s="286"/>
      <c r="G109" s="286"/>
      <c r="H109" s="286"/>
      <c r="I109" s="286"/>
      <c r="J109" s="286"/>
      <c r="K109" s="286"/>
      <c r="L109" s="664"/>
      <c r="M109" s="286"/>
      <c r="N109" s="286"/>
      <c r="O109" s="286"/>
      <c r="P109" s="286"/>
      <c r="Q109" s="286"/>
    </row>
    <row r="110" spans="1:23" ht="24">
      <c r="A110" s="786"/>
      <c r="B110" s="786"/>
      <c r="C110" s="786"/>
      <c r="D110" s="786"/>
      <c r="E110" s="786"/>
      <c r="F110" s="734"/>
      <c r="G110" s="1196" t="s">
        <v>865</v>
      </c>
      <c r="H110" s="1196"/>
      <c r="I110" s="1196"/>
      <c r="J110" s="1196"/>
      <c r="K110" s="1196"/>
      <c r="L110" s="1196"/>
      <c r="M110" s="785"/>
      <c r="N110" s="785"/>
      <c r="O110" s="785"/>
      <c r="P110" s="785"/>
      <c r="Q110" s="575"/>
    </row>
    <row r="111" spans="1:23" ht="14.5" customHeight="1">
      <c r="A111" s="786"/>
      <c r="B111" s="786"/>
      <c r="C111" s="786"/>
      <c r="D111" s="786"/>
      <c r="E111" s="786"/>
      <c r="F111" s="575"/>
      <c r="G111" s="1196"/>
      <c r="H111" s="1196"/>
      <c r="I111" s="1196"/>
      <c r="J111" s="1196"/>
      <c r="K111" s="1196"/>
      <c r="L111" s="1196"/>
      <c r="M111" s="785"/>
      <c r="N111" s="785"/>
      <c r="O111" s="785"/>
      <c r="P111" s="785"/>
      <c r="Q111" s="575"/>
    </row>
    <row r="112" spans="1:23" ht="24">
      <c r="A112" s="759"/>
      <c r="B112" s="760" t="s">
        <v>839</v>
      </c>
      <c r="C112" s="757">
        <f>D4</f>
        <v>102.75</v>
      </c>
      <c r="D112" s="797" t="s">
        <v>714</v>
      </c>
      <c r="E112" s="286"/>
      <c r="F112" s="286"/>
      <c r="G112" s="761" t="s">
        <v>327</v>
      </c>
      <c r="H112" s="762" t="s">
        <v>148</v>
      </c>
      <c r="I112" s="809"/>
      <c r="J112" s="838" t="s">
        <v>864</v>
      </c>
      <c r="K112" s="287"/>
      <c r="L112" s="287"/>
      <c r="M112" s="287"/>
      <c r="N112" s="287"/>
      <c r="O112" s="287"/>
      <c r="P112" s="287"/>
      <c r="Q112" s="287"/>
    </row>
    <row r="113" spans="1:17" ht="24">
      <c r="A113" s="759"/>
      <c r="B113" s="760" t="s">
        <v>840</v>
      </c>
      <c r="C113" s="743">
        <v>37.03</v>
      </c>
      <c r="D113" s="837" t="s">
        <v>864</v>
      </c>
      <c r="E113" s="286"/>
      <c r="F113" s="286"/>
      <c r="G113" s="761" t="s">
        <v>328</v>
      </c>
      <c r="H113" s="762" t="s">
        <v>148</v>
      </c>
      <c r="I113" s="809">
        <v>85.3</v>
      </c>
      <c r="J113" s="838" t="s">
        <v>864</v>
      </c>
      <c r="K113" s="286"/>
      <c r="L113" s="286"/>
      <c r="M113" s="286"/>
      <c r="N113" s="286"/>
      <c r="O113" s="286"/>
      <c r="P113" s="286"/>
      <c r="Q113" s="286"/>
    </row>
    <row r="114" spans="1:17" ht="24">
      <c r="A114" s="759"/>
      <c r="B114" s="760" t="s">
        <v>841</v>
      </c>
      <c r="C114" s="743">
        <v>38.78</v>
      </c>
      <c r="D114" s="837" t="s">
        <v>864</v>
      </c>
      <c r="E114" s="286"/>
      <c r="F114" s="286"/>
      <c r="G114" s="761" t="s">
        <v>329</v>
      </c>
      <c r="H114" s="762" t="s">
        <v>148</v>
      </c>
      <c r="I114" s="809">
        <v>55</v>
      </c>
      <c r="J114" s="838" t="s">
        <v>864</v>
      </c>
      <c r="K114" s="286"/>
      <c r="L114" s="664"/>
      <c r="M114" s="286"/>
      <c r="N114" s="286"/>
      <c r="O114" s="286"/>
      <c r="P114" s="286"/>
      <c r="Q114" s="286"/>
    </row>
    <row r="115" spans="1:17" ht="24">
      <c r="A115" s="759"/>
      <c r="B115" s="760" t="s">
        <v>862</v>
      </c>
      <c r="C115" s="743">
        <v>5</v>
      </c>
      <c r="D115" s="837" t="s">
        <v>864</v>
      </c>
      <c r="E115" s="286"/>
      <c r="F115" s="286"/>
      <c r="G115" s="761" t="s">
        <v>330</v>
      </c>
      <c r="H115" s="762" t="s">
        <v>148</v>
      </c>
      <c r="I115" s="809">
        <v>80</v>
      </c>
      <c r="J115" s="838" t="s">
        <v>864</v>
      </c>
      <c r="K115" s="286"/>
      <c r="L115" s="664"/>
      <c r="M115" s="286"/>
      <c r="N115" s="286"/>
      <c r="O115" s="286"/>
      <c r="P115" s="286"/>
      <c r="Q115" s="286"/>
    </row>
    <row r="116" spans="1:17" ht="19">
      <c r="A116" s="286"/>
      <c r="B116" s="760" t="s">
        <v>837</v>
      </c>
      <c r="C116" s="760" t="s">
        <v>838</v>
      </c>
      <c r="D116" s="760" t="s">
        <v>185</v>
      </c>
      <c r="E116" s="286"/>
      <c r="F116" s="286"/>
      <c r="G116" s="761" t="s">
        <v>331</v>
      </c>
      <c r="H116" s="762" t="s">
        <v>148</v>
      </c>
      <c r="I116" s="809">
        <v>19.88</v>
      </c>
      <c r="J116" s="838" t="s">
        <v>864</v>
      </c>
      <c r="K116" s="286"/>
      <c r="L116" s="664"/>
      <c r="M116" s="286"/>
      <c r="N116" s="286"/>
      <c r="O116" s="286"/>
      <c r="P116" s="286"/>
      <c r="Q116" s="286"/>
    </row>
    <row r="117" spans="1:17" ht="30">
      <c r="A117" s="286"/>
      <c r="B117" s="764" t="s">
        <v>135</v>
      </c>
      <c r="C117" s="765"/>
      <c r="D117" s="763" t="e">
        <f>#REF!</f>
        <v>#REF!</v>
      </c>
      <c r="E117" s="286"/>
      <c r="F117" s="286"/>
      <c r="G117" s="286"/>
      <c r="H117" s="286"/>
      <c r="I117" s="286"/>
      <c r="J117" s="286"/>
      <c r="K117" s="286"/>
      <c r="L117" s="664"/>
      <c r="M117" s="286"/>
      <c r="N117" s="286"/>
      <c r="O117" s="286"/>
      <c r="P117" s="286"/>
      <c r="Q117" s="286"/>
    </row>
    <row r="118" spans="1:17">
      <c r="A118" s="286"/>
      <c r="B118" s="766" t="s">
        <v>842</v>
      </c>
      <c r="C118" s="765" t="s">
        <v>86</v>
      </c>
      <c r="D118" s="753">
        <v>8</v>
      </c>
      <c r="E118" s="286"/>
      <c r="F118" s="286"/>
      <c r="G118" s="780" t="s">
        <v>375</v>
      </c>
      <c r="H118" s="781" t="s">
        <v>851</v>
      </c>
      <c r="I118" s="285"/>
      <c r="J118" s="781" t="s">
        <v>345</v>
      </c>
      <c r="K118" s="286"/>
      <c r="L118" s="664"/>
      <c r="M118" s="286"/>
      <c r="N118" s="286"/>
      <c r="O118" s="286"/>
      <c r="P118" s="286"/>
      <c r="Q118" s="286"/>
    </row>
    <row r="119" spans="1:17">
      <c r="A119" s="286"/>
      <c r="B119" s="767" t="s">
        <v>843</v>
      </c>
      <c r="C119" s="765" t="s">
        <v>86</v>
      </c>
      <c r="D119" s="753">
        <v>9</v>
      </c>
      <c r="E119" s="286"/>
      <c r="F119" s="286"/>
      <c r="G119" s="761" t="s">
        <v>444</v>
      </c>
      <c r="H119" s="765" t="s">
        <v>63</v>
      </c>
      <c r="I119" s="763"/>
      <c r="J119" s="752">
        <v>5000</v>
      </c>
      <c r="K119" s="286"/>
      <c r="L119" s="664"/>
      <c r="M119" s="286"/>
      <c r="N119" s="286"/>
      <c r="O119" s="286"/>
      <c r="P119" s="286"/>
      <c r="Q119" s="286"/>
    </row>
    <row r="120" spans="1:17">
      <c r="A120" s="286"/>
      <c r="B120" s="767" t="s">
        <v>844</v>
      </c>
      <c r="C120" s="765" t="s">
        <v>86</v>
      </c>
      <c r="D120" s="753">
        <v>12</v>
      </c>
      <c r="E120" s="286"/>
      <c r="F120" s="286"/>
      <c r="G120" s="761" t="s">
        <v>433</v>
      </c>
      <c r="H120" s="765" t="s">
        <v>63</v>
      </c>
      <c r="I120" s="763"/>
      <c r="J120" s="752">
        <v>6000</v>
      </c>
      <c r="K120" s="286"/>
      <c r="L120" s="664"/>
      <c r="M120" s="286"/>
      <c r="N120" s="286"/>
      <c r="O120" s="286"/>
      <c r="P120" s="286"/>
      <c r="Q120" s="286"/>
    </row>
    <row r="121" spans="1:17">
      <c r="A121" s="286"/>
      <c r="B121" s="768" t="s">
        <v>166</v>
      </c>
      <c r="C121" s="769" t="s">
        <v>168</v>
      </c>
      <c r="D121" s="754">
        <v>60</v>
      </c>
      <c r="E121" s="286"/>
      <c r="F121" s="286"/>
      <c r="G121" s="761" t="s">
        <v>443</v>
      </c>
      <c r="H121" s="765" t="s">
        <v>63</v>
      </c>
      <c r="I121" s="763"/>
      <c r="J121" s="752">
        <v>5500</v>
      </c>
      <c r="K121" s="286"/>
      <c r="L121" s="286"/>
      <c r="M121" s="286"/>
      <c r="N121" s="286"/>
      <c r="O121" s="286"/>
      <c r="P121" s="286"/>
      <c r="Q121" s="286"/>
    </row>
    <row r="122" spans="1:17">
      <c r="A122" s="286"/>
      <c r="B122" s="770" t="s">
        <v>175</v>
      </c>
      <c r="C122" s="769" t="s">
        <v>85</v>
      </c>
      <c r="D122" s="754">
        <v>240</v>
      </c>
      <c r="E122" s="286"/>
      <c r="F122" s="286"/>
      <c r="G122" s="761" t="s">
        <v>191</v>
      </c>
      <c r="H122" s="765" t="s">
        <v>86</v>
      </c>
      <c r="I122" s="763"/>
      <c r="J122" s="752">
        <v>5</v>
      </c>
      <c r="K122" s="286"/>
      <c r="L122" s="286"/>
      <c r="M122" s="286"/>
      <c r="N122" s="286"/>
      <c r="O122" s="286"/>
      <c r="P122" s="286"/>
      <c r="Q122" s="286"/>
    </row>
    <row r="123" spans="1:17">
      <c r="A123" s="286"/>
      <c r="B123" s="771" t="s">
        <v>171</v>
      </c>
      <c r="C123" s="769" t="s">
        <v>85</v>
      </c>
      <c r="D123" s="754">
        <v>4</v>
      </c>
      <c r="E123" s="286"/>
      <c r="F123" s="286"/>
      <c r="G123" s="761" t="s">
        <v>186</v>
      </c>
      <c r="H123" s="765" t="s">
        <v>85</v>
      </c>
      <c r="I123" s="763"/>
      <c r="J123" s="752">
        <v>1500</v>
      </c>
      <c r="K123" s="286"/>
      <c r="L123" s="286"/>
      <c r="M123" s="286"/>
      <c r="N123" s="286"/>
      <c r="O123" s="286"/>
      <c r="P123" s="286"/>
      <c r="Q123" s="286"/>
    </row>
    <row r="124" spans="1:17">
      <c r="A124" s="286"/>
      <c r="B124" s="771" t="s">
        <v>176</v>
      </c>
      <c r="C124" s="769" t="s">
        <v>85</v>
      </c>
      <c r="D124" s="754">
        <v>7</v>
      </c>
      <c r="E124" s="286"/>
      <c r="F124" s="286"/>
      <c r="G124" s="761" t="s">
        <v>142</v>
      </c>
      <c r="H124" s="765" t="s">
        <v>138</v>
      </c>
      <c r="I124" s="753">
        <v>1</v>
      </c>
      <c r="J124" s="752">
        <v>300</v>
      </c>
      <c r="K124" s="286"/>
      <c r="L124" s="286"/>
      <c r="M124" s="286"/>
      <c r="N124" s="286"/>
      <c r="O124" s="286"/>
      <c r="P124" s="286"/>
      <c r="Q124" s="286"/>
    </row>
    <row r="125" spans="1:17">
      <c r="A125" s="286"/>
      <c r="B125" s="770" t="s">
        <v>172</v>
      </c>
      <c r="C125" s="769" t="s">
        <v>85</v>
      </c>
      <c r="D125" s="754">
        <v>35</v>
      </c>
      <c r="E125" s="286"/>
      <c r="F125" s="286"/>
      <c r="G125" s="761" t="s">
        <v>187</v>
      </c>
      <c r="H125" s="765" t="s">
        <v>148</v>
      </c>
      <c r="I125" s="763"/>
      <c r="J125" s="752">
        <v>600</v>
      </c>
      <c r="K125" s="286"/>
      <c r="L125" s="286"/>
      <c r="M125" s="286"/>
      <c r="N125" s="286"/>
      <c r="O125" s="286"/>
      <c r="P125" s="286"/>
      <c r="Q125" s="286"/>
    </row>
    <row r="126" spans="1:17" ht="31">
      <c r="A126" s="286"/>
      <c r="B126" s="772" t="s">
        <v>140</v>
      </c>
      <c r="C126" s="769" t="s">
        <v>85</v>
      </c>
      <c r="D126" s="754">
        <v>1200</v>
      </c>
      <c r="E126" s="286"/>
      <c r="F126" s="286"/>
      <c r="G126" s="761" t="s">
        <v>188</v>
      </c>
      <c r="H126" s="765" t="s">
        <v>63</v>
      </c>
      <c r="I126" s="763"/>
      <c r="J126" s="752">
        <v>500</v>
      </c>
      <c r="K126" s="286"/>
      <c r="L126" s="286"/>
      <c r="M126" s="286"/>
      <c r="N126" s="286"/>
      <c r="O126" s="286"/>
      <c r="P126" s="286"/>
      <c r="Q126" s="286"/>
    </row>
    <row r="127" spans="1:17">
      <c r="A127" s="286"/>
      <c r="B127" s="773" t="s">
        <v>850</v>
      </c>
      <c r="C127" s="769" t="s">
        <v>85</v>
      </c>
      <c r="D127" s="754">
        <v>13</v>
      </c>
      <c r="E127" s="286"/>
      <c r="F127" s="286"/>
      <c r="G127" s="761" t="s">
        <v>190</v>
      </c>
      <c r="H127" s="765" t="s">
        <v>138</v>
      </c>
      <c r="I127" s="753">
        <v>1</v>
      </c>
      <c r="J127" s="752">
        <v>2000</v>
      </c>
      <c r="K127" s="286"/>
      <c r="L127" s="286"/>
      <c r="M127" s="286"/>
      <c r="N127" s="286"/>
      <c r="O127" s="286"/>
      <c r="P127" s="286"/>
      <c r="Q127" s="286"/>
    </row>
    <row r="128" spans="1:17" ht="30">
      <c r="A128" s="286"/>
      <c r="B128" s="773" t="s">
        <v>181</v>
      </c>
      <c r="C128" s="774"/>
      <c r="D128" s="754">
        <v>680</v>
      </c>
      <c r="E128" s="286"/>
      <c r="F128" s="286"/>
      <c r="G128" s="761" t="s">
        <v>192</v>
      </c>
      <c r="H128" s="765" t="s">
        <v>86</v>
      </c>
      <c r="I128" s="763"/>
      <c r="J128" s="752">
        <v>100</v>
      </c>
      <c r="K128" s="286"/>
      <c r="L128" s="286"/>
      <c r="M128" s="286"/>
      <c r="N128" s="286"/>
      <c r="O128" s="286"/>
      <c r="P128" s="286"/>
      <c r="Q128" s="286"/>
    </row>
    <row r="129" spans="1:17">
      <c r="A129" s="286"/>
      <c r="B129" s="773" t="s">
        <v>849</v>
      </c>
      <c r="C129" s="769" t="s">
        <v>85</v>
      </c>
      <c r="D129" s="754">
        <v>12</v>
      </c>
      <c r="E129" s="286"/>
      <c r="F129" s="286"/>
      <c r="G129" s="796" t="s">
        <v>912</v>
      </c>
      <c r="H129" s="865" t="s">
        <v>148</v>
      </c>
      <c r="I129" s="864"/>
      <c r="J129" s="752">
        <v>45</v>
      </c>
      <c r="K129" s="286"/>
      <c r="L129" s="286"/>
      <c r="M129" s="286"/>
      <c r="N129" s="286"/>
      <c r="O129" s="286"/>
      <c r="P129" s="286"/>
      <c r="Q129" s="286"/>
    </row>
    <row r="130" spans="1:17" ht="30">
      <c r="A130" s="286"/>
      <c r="B130" s="775" t="s">
        <v>169</v>
      </c>
      <c r="C130" s="769" t="s">
        <v>85</v>
      </c>
      <c r="D130" s="754">
        <v>3659</v>
      </c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</row>
    <row r="131" spans="1:17">
      <c r="A131" s="286"/>
      <c r="B131" s="761" t="s">
        <v>149</v>
      </c>
      <c r="C131" s="769" t="s">
        <v>144</v>
      </c>
      <c r="D131" s="754">
        <v>380</v>
      </c>
      <c r="E131" s="286"/>
      <c r="F131" s="286"/>
      <c r="G131" s="286"/>
      <c r="H131" s="227" t="s">
        <v>88</v>
      </c>
      <c r="I131" s="1173" t="s">
        <v>429</v>
      </c>
      <c r="J131" s="1171" t="s">
        <v>860</v>
      </c>
      <c r="K131" s="1169" t="s">
        <v>324</v>
      </c>
      <c r="L131" s="1169" t="s">
        <v>325</v>
      </c>
      <c r="M131" s="286"/>
      <c r="N131" s="286"/>
      <c r="O131" s="286"/>
      <c r="P131" s="286"/>
      <c r="Q131" s="286"/>
    </row>
    <row r="132" spans="1:17">
      <c r="A132" s="286"/>
      <c r="B132" s="768" t="s">
        <v>179</v>
      </c>
      <c r="C132" s="776" t="s">
        <v>63</v>
      </c>
      <c r="D132" s="755">
        <v>24000</v>
      </c>
      <c r="E132" s="286"/>
      <c r="F132" s="286"/>
      <c r="G132" s="286"/>
      <c r="H132" s="227"/>
      <c r="I132" s="1174"/>
      <c r="J132" s="1172"/>
      <c r="K132" s="1170"/>
      <c r="L132" s="1170"/>
      <c r="M132" s="286"/>
      <c r="N132" s="286"/>
      <c r="O132" s="286"/>
      <c r="P132" s="286"/>
      <c r="Q132" s="286"/>
    </row>
    <row r="133" spans="1:17">
      <c r="A133" s="286"/>
      <c r="B133" s="768" t="s">
        <v>326</v>
      </c>
      <c r="C133" s="776" t="s">
        <v>63</v>
      </c>
      <c r="D133" s="755">
        <v>24000</v>
      </c>
      <c r="E133" s="286"/>
      <c r="F133" s="286"/>
      <c r="G133" s="276" t="s">
        <v>201</v>
      </c>
      <c r="H133" s="276" t="s">
        <v>93</v>
      </c>
      <c r="I133" s="736">
        <v>27000</v>
      </c>
      <c r="J133" s="736">
        <v>12</v>
      </c>
      <c r="K133" s="736">
        <v>150000</v>
      </c>
      <c r="L133" s="739">
        <v>130000</v>
      </c>
      <c r="M133" s="784"/>
      <c r="N133" s="286"/>
      <c r="O133" s="286"/>
      <c r="P133" s="286"/>
      <c r="Q133" s="286"/>
    </row>
    <row r="134" spans="1:17">
      <c r="A134" s="286"/>
      <c r="B134" s="768" t="s">
        <v>428</v>
      </c>
      <c r="C134" s="776" t="s">
        <v>63</v>
      </c>
      <c r="D134" s="755">
        <v>17000</v>
      </c>
      <c r="E134" s="286"/>
      <c r="F134" s="286"/>
      <c r="G134" s="276" t="s">
        <v>201</v>
      </c>
      <c r="H134" s="276" t="s">
        <v>94</v>
      </c>
      <c r="I134" s="736">
        <v>27000</v>
      </c>
      <c r="J134" s="736">
        <v>12</v>
      </c>
      <c r="K134" s="736">
        <v>150000</v>
      </c>
      <c r="L134" s="739">
        <v>130000</v>
      </c>
      <c r="M134" s="427"/>
      <c r="N134" s="286"/>
      <c r="O134" s="286"/>
      <c r="P134" s="286"/>
      <c r="Q134" s="286"/>
    </row>
    <row r="135" spans="1:17">
      <c r="A135" s="286"/>
      <c r="B135" s="770" t="s">
        <v>859</v>
      </c>
      <c r="C135" s="769" t="s">
        <v>63</v>
      </c>
      <c r="D135" s="754">
        <v>17000</v>
      </c>
      <c r="E135" s="286"/>
      <c r="F135" s="286"/>
      <c r="G135" s="276" t="s">
        <v>201</v>
      </c>
      <c r="H135" s="276" t="s">
        <v>95</v>
      </c>
      <c r="I135" s="736">
        <v>27000</v>
      </c>
      <c r="J135" s="736">
        <v>12</v>
      </c>
      <c r="K135" s="736">
        <v>150000</v>
      </c>
      <c r="L135" s="739">
        <v>130000</v>
      </c>
      <c r="M135" s="427"/>
      <c r="N135" s="286"/>
      <c r="O135" s="286"/>
      <c r="P135" s="286"/>
      <c r="Q135" s="286"/>
    </row>
    <row r="136" spans="1:17">
      <c r="A136" s="286"/>
      <c r="B136" s="761" t="s">
        <v>173</v>
      </c>
      <c r="C136" s="769" t="s">
        <v>144</v>
      </c>
      <c r="D136" s="754">
        <v>150</v>
      </c>
      <c r="E136" s="286"/>
      <c r="F136" s="286"/>
      <c r="G136" s="276" t="s">
        <v>202</v>
      </c>
      <c r="H136" s="276" t="s">
        <v>93</v>
      </c>
      <c r="I136" s="736">
        <v>27500</v>
      </c>
      <c r="J136" s="736">
        <v>12</v>
      </c>
      <c r="K136" s="736">
        <v>150000</v>
      </c>
      <c r="L136" s="739">
        <v>130000</v>
      </c>
      <c r="M136" s="427"/>
      <c r="N136" s="286"/>
      <c r="O136" s="286"/>
      <c r="P136" s="286"/>
      <c r="Q136" s="286"/>
    </row>
    <row r="137" spans="1:17" ht="30">
      <c r="A137" s="286"/>
      <c r="B137" s="764" t="s">
        <v>846</v>
      </c>
      <c r="C137" s="769" t="s">
        <v>85</v>
      </c>
      <c r="D137" s="754">
        <v>55</v>
      </c>
      <c r="E137" s="286"/>
      <c r="F137" s="286"/>
      <c r="G137" s="276" t="s">
        <v>202</v>
      </c>
      <c r="H137" s="276" t="s">
        <v>94</v>
      </c>
      <c r="I137" s="736">
        <v>27500</v>
      </c>
      <c r="J137" s="736">
        <v>12</v>
      </c>
      <c r="K137" s="736">
        <v>150000</v>
      </c>
      <c r="L137" s="739">
        <v>130000</v>
      </c>
      <c r="M137" s="427"/>
      <c r="N137" s="286"/>
      <c r="O137" s="286"/>
      <c r="P137" s="286"/>
      <c r="Q137" s="286"/>
    </row>
    <row r="138" spans="1:17">
      <c r="A138" s="286"/>
      <c r="B138" s="764" t="s">
        <v>848</v>
      </c>
      <c r="C138" s="776" t="s">
        <v>85</v>
      </c>
      <c r="D138" s="755">
        <v>8</v>
      </c>
      <c r="E138" s="286"/>
      <c r="F138" s="286"/>
      <c r="G138" s="276" t="s">
        <v>202</v>
      </c>
      <c r="H138" s="276" t="s">
        <v>95</v>
      </c>
      <c r="I138" s="736">
        <v>27500</v>
      </c>
      <c r="J138" s="736">
        <v>12</v>
      </c>
      <c r="K138" s="736">
        <v>150000</v>
      </c>
      <c r="L138" s="739">
        <v>130000</v>
      </c>
      <c r="M138" s="427"/>
      <c r="N138" s="286"/>
      <c r="O138" s="286"/>
      <c r="P138" s="286"/>
      <c r="Q138" s="286"/>
    </row>
    <row r="139" spans="1:17">
      <c r="A139" s="286"/>
      <c r="B139" s="764" t="s">
        <v>847</v>
      </c>
      <c r="C139" s="776" t="s">
        <v>144</v>
      </c>
      <c r="D139" s="755">
        <v>380</v>
      </c>
      <c r="E139" s="286"/>
      <c r="F139" s="286"/>
      <c r="G139" s="782"/>
      <c r="H139" s="782"/>
      <c r="I139" s="286"/>
      <c r="J139" s="286"/>
      <c r="K139" s="783"/>
      <c r="L139" s="783"/>
      <c r="M139" s="286"/>
      <c r="N139" s="286"/>
      <c r="O139" s="286"/>
      <c r="P139" s="286"/>
      <c r="Q139" s="286"/>
    </row>
    <row r="140" spans="1:17" ht="30">
      <c r="A140" s="286"/>
      <c r="B140" s="764" t="s">
        <v>845</v>
      </c>
      <c r="C140" s="769" t="s">
        <v>85</v>
      </c>
      <c r="D140" s="755">
        <v>65</v>
      </c>
      <c r="E140" s="286"/>
      <c r="F140" s="286"/>
      <c r="G140" s="150" t="s">
        <v>89</v>
      </c>
      <c r="H140" s="150" t="s">
        <v>90</v>
      </c>
      <c r="I140" s="737">
        <v>26000</v>
      </c>
      <c r="J140" s="737">
        <v>9</v>
      </c>
      <c r="K140" s="736">
        <v>80000</v>
      </c>
      <c r="L140" s="740">
        <v>70000</v>
      </c>
      <c r="M140" s="428"/>
      <c r="N140" s="286"/>
      <c r="O140" s="286"/>
      <c r="P140" s="286"/>
      <c r="Q140" s="286"/>
    </row>
    <row r="141" spans="1:17">
      <c r="A141" s="286"/>
      <c r="B141" s="777" t="s">
        <v>858</v>
      </c>
      <c r="C141" s="769" t="s">
        <v>85</v>
      </c>
      <c r="D141" s="754">
        <v>25</v>
      </c>
      <c r="E141" s="287" t="s">
        <v>155</v>
      </c>
      <c r="F141" s="286"/>
      <c r="G141" s="150" t="s">
        <v>89</v>
      </c>
      <c r="H141" s="150" t="s">
        <v>91</v>
      </c>
      <c r="I141" s="737">
        <v>26000</v>
      </c>
      <c r="J141" s="737">
        <v>9</v>
      </c>
      <c r="K141" s="736">
        <v>80000</v>
      </c>
      <c r="L141" s="740">
        <v>70000</v>
      </c>
      <c r="M141" s="428"/>
      <c r="N141" s="286"/>
      <c r="O141" s="286"/>
      <c r="P141" s="286"/>
      <c r="Q141" s="286"/>
    </row>
    <row r="142" spans="1:17">
      <c r="A142" s="286"/>
      <c r="B142" s="778" t="s">
        <v>151</v>
      </c>
      <c r="C142" s="769" t="s">
        <v>155</v>
      </c>
      <c r="D142" s="930">
        <v>8000</v>
      </c>
      <c r="E142" s="931">
        <v>1</v>
      </c>
      <c r="F142" s="286"/>
      <c r="G142" s="735" t="s">
        <v>92</v>
      </c>
      <c r="H142" s="735" t="s">
        <v>93</v>
      </c>
      <c r="I142" s="738">
        <v>19000</v>
      </c>
      <c r="J142" s="738">
        <v>12</v>
      </c>
      <c r="K142" s="741">
        <v>80000</v>
      </c>
      <c r="L142" s="742">
        <v>70000</v>
      </c>
      <c r="M142" s="428"/>
      <c r="N142" s="286"/>
      <c r="O142" s="286"/>
      <c r="P142" s="286"/>
      <c r="Q142" s="286"/>
    </row>
    <row r="143" spans="1:17" ht="30">
      <c r="A143" s="286"/>
      <c r="B143" s="779" t="s">
        <v>322</v>
      </c>
      <c r="C143" s="769" t="s">
        <v>155</v>
      </c>
      <c r="D143" s="754">
        <v>10000</v>
      </c>
      <c r="E143" s="286"/>
      <c r="F143" s="286"/>
      <c r="G143" s="150" t="s">
        <v>92</v>
      </c>
      <c r="H143" s="150" t="s">
        <v>94</v>
      </c>
      <c r="I143" s="737">
        <v>19000</v>
      </c>
      <c r="J143" s="737">
        <v>12</v>
      </c>
      <c r="K143" s="736">
        <v>80000</v>
      </c>
      <c r="L143" s="740">
        <v>70000</v>
      </c>
      <c r="M143" s="428"/>
      <c r="N143" s="286"/>
      <c r="O143" s="286"/>
      <c r="P143" s="286"/>
      <c r="Q143" s="286"/>
    </row>
    <row r="144" spans="1:17">
      <c r="A144" s="286"/>
      <c r="B144" s="777"/>
      <c r="C144" s="769"/>
      <c r="D144" s="754"/>
      <c r="E144" s="286"/>
      <c r="F144" s="286"/>
      <c r="G144" s="150" t="s">
        <v>92</v>
      </c>
      <c r="H144" s="150" t="s">
        <v>95</v>
      </c>
      <c r="I144" s="737">
        <v>19000</v>
      </c>
      <c r="J144" s="737">
        <v>12</v>
      </c>
      <c r="K144" s="736">
        <v>80000</v>
      </c>
      <c r="L144" s="740">
        <v>70000</v>
      </c>
      <c r="M144" s="428"/>
      <c r="N144" s="286"/>
      <c r="O144" s="286"/>
      <c r="P144" s="286"/>
      <c r="Q144" s="286"/>
    </row>
    <row r="145" spans="1:17" ht="30">
      <c r="A145" s="286"/>
      <c r="B145" s="863" t="s">
        <v>601</v>
      </c>
      <c r="C145" s="769" t="s">
        <v>85</v>
      </c>
      <c r="D145" s="754">
        <v>3500</v>
      </c>
      <c r="E145" s="286"/>
      <c r="F145" s="286"/>
      <c r="G145" s="150" t="s">
        <v>89</v>
      </c>
      <c r="H145" s="150" t="s">
        <v>96</v>
      </c>
      <c r="I145" s="737">
        <v>26000</v>
      </c>
      <c r="J145" s="737">
        <v>12</v>
      </c>
      <c r="K145" s="736">
        <v>80000</v>
      </c>
      <c r="L145" s="740">
        <v>70000</v>
      </c>
      <c r="M145" s="428"/>
      <c r="N145" s="286"/>
      <c r="O145" s="286"/>
      <c r="P145" s="286"/>
      <c r="Q145" s="286"/>
    </row>
    <row r="146" spans="1:17">
      <c r="A146" s="286"/>
      <c r="B146" s="287"/>
      <c r="C146" s="286"/>
      <c r="D146" s="286"/>
      <c r="E146" s="286"/>
      <c r="F146" s="286"/>
      <c r="G146" s="150" t="s">
        <v>89</v>
      </c>
      <c r="H146" s="150" t="s">
        <v>97</v>
      </c>
      <c r="I146" s="737">
        <v>26000</v>
      </c>
      <c r="J146" s="737">
        <v>12</v>
      </c>
      <c r="K146" s="736">
        <v>80000</v>
      </c>
      <c r="L146" s="740">
        <v>70000</v>
      </c>
      <c r="M146" s="428"/>
      <c r="N146" s="286"/>
      <c r="O146" s="286"/>
      <c r="P146" s="286"/>
      <c r="Q146" s="286"/>
    </row>
    <row r="147" spans="1:17">
      <c r="A147" s="286"/>
      <c r="B147" s="286"/>
      <c r="C147" s="286"/>
      <c r="D147" s="286"/>
      <c r="E147" s="286"/>
      <c r="F147" s="286"/>
      <c r="G147" s="150" t="s">
        <v>89</v>
      </c>
      <c r="H147" s="150" t="s">
        <v>98</v>
      </c>
      <c r="I147" s="737">
        <v>26000</v>
      </c>
      <c r="J147" s="737">
        <v>12</v>
      </c>
      <c r="K147" s="736">
        <v>80000</v>
      </c>
      <c r="L147" s="740">
        <v>70000</v>
      </c>
      <c r="M147" s="428"/>
      <c r="N147" s="286"/>
      <c r="O147" s="286"/>
      <c r="P147" s="286"/>
      <c r="Q147" s="286"/>
    </row>
    <row r="148" spans="1:17">
      <c r="A148" s="286"/>
      <c r="B148" s="286"/>
      <c r="C148" s="286"/>
      <c r="D148" s="286"/>
      <c r="E148" s="286"/>
      <c r="F148" s="286"/>
      <c r="G148" s="782"/>
      <c r="H148" s="782"/>
      <c r="I148" s="286"/>
      <c r="J148" s="286"/>
      <c r="K148" s="783"/>
      <c r="L148" s="783"/>
      <c r="M148" s="286"/>
      <c r="N148" s="286"/>
      <c r="O148" s="286"/>
      <c r="P148" s="286"/>
      <c r="Q148" s="286"/>
    </row>
    <row r="149" spans="1:17">
      <c r="A149" s="286"/>
      <c r="B149" s="286"/>
      <c r="C149" s="286"/>
      <c r="D149" s="286"/>
      <c r="E149" s="286"/>
      <c r="F149" s="286"/>
      <c r="G149" s="277" t="s">
        <v>99</v>
      </c>
      <c r="H149" s="277" t="s">
        <v>100</v>
      </c>
      <c r="I149" s="737">
        <v>47000</v>
      </c>
      <c r="J149" s="737">
        <v>12</v>
      </c>
      <c r="K149" s="736">
        <v>90000</v>
      </c>
      <c r="L149" s="740">
        <v>80000</v>
      </c>
      <c r="M149" s="429"/>
      <c r="N149" s="286"/>
      <c r="O149" s="286"/>
      <c r="P149" s="286"/>
      <c r="Q149" s="286"/>
    </row>
    <row r="150" spans="1:17">
      <c r="A150" s="286"/>
      <c r="B150" s="286"/>
      <c r="C150" s="286"/>
      <c r="D150" s="286"/>
      <c r="E150" s="286"/>
      <c r="F150" s="286"/>
      <c r="G150" s="277" t="s">
        <v>99</v>
      </c>
      <c r="H150" s="277" t="s">
        <v>101</v>
      </c>
      <c r="I150" s="737">
        <v>47000</v>
      </c>
      <c r="J150" s="737">
        <v>12</v>
      </c>
      <c r="K150" s="736">
        <v>90000</v>
      </c>
      <c r="L150" s="740">
        <v>80000</v>
      </c>
      <c r="M150" s="429"/>
      <c r="N150" s="286"/>
      <c r="O150" s="286"/>
      <c r="P150" s="286"/>
      <c r="Q150" s="286"/>
    </row>
    <row r="151" spans="1:17">
      <c r="A151" s="286"/>
      <c r="B151" s="286"/>
      <c r="C151" s="286"/>
      <c r="D151" s="286"/>
      <c r="E151" s="286"/>
      <c r="F151" s="286"/>
      <c r="G151" s="277" t="s">
        <v>99</v>
      </c>
      <c r="H151" s="277" t="s">
        <v>102</v>
      </c>
      <c r="I151" s="737">
        <v>47000</v>
      </c>
      <c r="J151" s="737">
        <v>12</v>
      </c>
      <c r="K151" s="736">
        <v>90000</v>
      </c>
      <c r="L151" s="740">
        <v>80000</v>
      </c>
      <c r="M151" s="429"/>
      <c r="N151" s="286"/>
      <c r="O151" s="286"/>
      <c r="P151" s="286"/>
      <c r="Q151" s="286"/>
    </row>
    <row r="152" spans="1:17">
      <c r="A152" s="286"/>
      <c r="B152" s="286"/>
      <c r="C152" s="286"/>
      <c r="D152" s="286"/>
      <c r="E152" s="286"/>
      <c r="F152" s="286"/>
      <c r="G152" s="277" t="s">
        <v>99</v>
      </c>
      <c r="H152" s="277" t="s">
        <v>103</v>
      </c>
      <c r="I152" s="737">
        <v>47000</v>
      </c>
      <c r="J152" s="737">
        <v>12</v>
      </c>
      <c r="K152" s="736">
        <v>90000</v>
      </c>
      <c r="L152" s="740">
        <v>80000</v>
      </c>
      <c r="M152" s="429"/>
      <c r="N152" s="286"/>
      <c r="O152" s="286"/>
      <c r="P152" s="286"/>
      <c r="Q152" s="286"/>
    </row>
    <row r="153" spans="1:17">
      <c r="A153" s="286"/>
      <c r="B153" s="286"/>
      <c r="C153" s="286"/>
      <c r="D153" s="286"/>
      <c r="E153" s="286"/>
      <c r="F153" s="286"/>
      <c r="G153" s="277" t="s">
        <v>99</v>
      </c>
      <c r="H153" s="277" t="s">
        <v>104</v>
      </c>
      <c r="I153" s="737">
        <v>47000</v>
      </c>
      <c r="J153" s="737">
        <v>12</v>
      </c>
      <c r="K153" s="736">
        <v>90000</v>
      </c>
      <c r="L153" s="740">
        <v>80000</v>
      </c>
      <c r="M153" s="429"/>
      <c r="N153" s="286"/>
      <c r="O153" s="286"/>
      <c r="P153" s="286"/>
      <c r="Q153" s="286"/>
    </row>
    <row r="154" spans="1:17">
      <c r="A154" s="286"/>
      <c r="B154" s="286"/>
      <c r="C154" s="286"/>
      <c r="D154" s="286"/>
      <c r="E154" s="286"/>
      <c r="F154" s="286"/>
      <c r="G154" s="277" t="s">
        <v>99</v>
      </c>
      <c r="H154" s="277" t="s">
        <v>105</v>
      </c>
      <c r="I154" s="737">
        <v>47000</v>
      </c>
      <c r="J154" s="737">
        <v>12</v>
      </c>
      <c r="K154" s="736">
        <v>90000</v>
      </c>
      <c r="L154" s="740">
        <v>80000</v>
      </c>
      <c r="M154" s="429"/>
      <c r="N154" s="286"/>
      <c r="O154" s="286"/>
      <c r="P154" s="286"/>
      <c r="Q154" s="286"/>
    </row>
    <row r="155" spans="1:17">
      <c r="A155" s="286"/>
      <c r="B155" s="286"/>
      <c r="C155" s="286"/>
      <c r="D155" s="286"/>
      <c r="E155" s="286"/>
      <c r="F155" s="286"/>
      <c r="G155" s="277" t="s">
        <v>99</v>
      </c>
      <c r="H155" s="277" t="s">
        <v>106</v>
      </c>
      <c r="I155" s="737">
        <v>47000</v>
      </c>
      <c r="J155" s="737">
        <v>12</v>
      </c>
      <c r="K155" s="736">
        <v>90000</v>
      </c>
      <c r="L155" s="740">
        <v>80000</v>
      </c>
      <c r="M155" s="429"/>
      <c r="N155" s="286"/>
      <c r="O155" s="286"/>
      <c r="P155" s="286"/>
      <c r="Q155" s="286"/>
    </row>
    <row r="156" spans="1:17">
      <c r="A156" s="286"/>
      <c r="B156" s="286"/>
      <c r="C156" s="286"/>
      <c r="D156" s="286"/>
      <c r="E156" s="286"/>
      <c r="F156" s="286"/>
      <c r="G156" s="277" t="s">
        <v>99</v>
      </c>
      <c r="H156" s="277" t="s">
        <v>107</v>
      </c>
      <c r="I156" s="737">
        <v>47000</v>
      </c>
      <c r="J156" s="737">
        <v>12</v>
      </c>
      <c r="K156" s="736">
        <v>90000</v>
      </c>
      <c r="L156" s="740">
        <v>80000</v>
      </c>
      <c r="M156" s="429"/>
      <c r="N156" s="286"/>
      <c r="O156" s="286"/>
      <c r="P156" s="286"/>
      <c r="Q156" s="286"/>
    </row>
    <row r="157" spans="1:17">
      <c r="A157" s="286"/>
      <c r="B157" s="286"/>
      <c r="C157" s="286"/>
      <c r="D157" s="286"/>
      <c r="E157" s="286"/>
      <c r="F157" s="286"/>
      <c r="G157" s="277" t="s">
        <v>99</v>
      </c>
      <c r="H157" s="277" t="s">
        <v>108</v>
      </c>
      <c r="I157" s="737">
        <v>47000</v>
      </c>
      <c r="J157" s="737">
        <v>12</v>
      </c>
      <c r="K157" s="736">
        <v>90000</v>
      </c>
      <c r="L157" s="740">
        <v>80000</v>
      </c>
      <c r="M157" s="429"/>
      <c r="N157" s="286"/>
      <c r="O157" s="286"/>
      <c r="P157" s="286"/>
      <c r="Q157" s="286"/>
    </row>
    <row r="158" spans="1:17">
      <c r="A158" s="286"/>
      <c r="B158" s="286"/>
      <c r="C158" s="286"/>
      <c r="D158" s="286"/>
      <c r="E158" s="286"/>
      <c r="F158" s="286"/>
      <c r="G158" s="277" t="s">
        <v>99</v>
      </c>
      <c r="H158" s="277" t="s">
        <v>109</v>
      </c>
      <c r="I158" s="737">
        <v>47000</v>
      </c>
      <c r="J158" s="737">
        <v>12</v>
      </c>
      <c r="K158" s="736">
        <v>90000</v>
      </c>
      <c r="L158" s="740">
        <v>80000</v>
      </c>
      <c r="M158" s="429"/>
      <c r="N158" s="286"/>
      <c r="O158" s="286"/>
      <c r="P158" s="286"/>
      <c r="Q158" s="286"/>
    </row>
    <row r="159" spans="1:17">
      <c r="A159" s="286"/>
      <c r="B159" s="286"/>
      <c r="C159" s="286"/>
      <c r="D159" s="286"/>
      <c r="E159" s="286"/>
      <c r="F159" s="286"/>
      <c r="G159" s="277" t="s">
        <v>99</v>
      </c>
      <c r="H159" s="277" t="s">
        <v>110</v>
      </c>
      <c r="I159" s="737">
        <v>47000</v>
      </c>
      <c r="J159" s="737">
        <v>12</v>
      </c>
      <c r="K159" s="736">
        <v>90000</v>
      </c>
      <c r="L159" s="740">
        <v>80000</v>
      </c>
      <c r="M159" s="429"/>
      <c r="N159" s="286"/>
      <c r="O159" s="286"/>
      <c r="P159" s="286"/>
      <c r="Q159" s="286"/>
    </row>
    <row r="160" spans="1:17">
      <c r="A160" s="286"/>
      <c r="B160" s="286"/>
      <c r="C160" s="286"/>
      <c r="D160" s="286"/>
      <c r="E160" s="286"/>
      <c r="F160" s="286"/>
      <c r="G160" s="277" t="s">
        <v>99</v>
      </c>
      <c r="H160" s="277" t="s">
        <v>111</v>
      </c>
      <c r="I160" s="737">
        <v>47000</v>
      </c>
      <c r="J160" s="737">
        <v>12</v>
      </c>
      <c r="K160" s="736">
        <v>90000</v>
      </c>
      <c r="L160" s="740">
        <v>80000</v>
      </c>
      <c r="M160" s="429"/>
      <c r="N160" s="286"/>
      <c r="O160" s="286"/>
      <c r="P160" s="286"/>
      <c r="Q160" s="286"/>
    </row>
    <row r="161" spans="1:17">
      <c r="A161" s="286"/>
      <c r="B161" s="286"/>
      <c r="C161" s="286"/>
      <c r="D161" s="286"/>
      <c r="E161" s="286"/>
      <c r="F161" s="286"/>
      <c r="G161" s="286"/>
      <c r="H161" s="286"/>
      <c r="I161" s="286"/>
      <c r="J161" s="286"/>
      <c r="K161" s="286"/>
      <c r="L161" s="286"/>
      <c r="M161" s="286"/>
      <c r="N161" s="286"/>
      <c r="O161" s="286"/>
      <c r="P161" s="286"/>
      <c r="Q161" s="286"/>
    </row>
    <row r="162" spans="1:17">
      <c r="A162" s="286"/>
      <c r="B162" s="286"/>
      <c r="C162" s="286"/>
      <c r="D162" s="286"/>
      <c r="E162" s="286"/>
      <c r="F162" s="286"/>
      <c r="G162" s="286"/>
      <c r="H162" s="286"/>
      <c r="I162" s="286"/>
      <c r="J162" s="286"/>
      <c r="K162" s="286"/>
      <c r="L162" s="286"/>
      <c r="M162" s="286"/>
      <c r="N162" s="286"/>
      <c r="O162" s="286"/>
      <c r="P162" s="286"/>
      <c r="Q162" s="286"/>
    </row>
    <row r="163" spans="1:17">
      <c r="A163" s="286"/>
      <c r="B163" s="286"/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86"/>
      <c r="Q163" s="286"/>
    </row>
    <row r="164" spans="1:17">
      <c r="A164" s="286"/>
      <c r="B164" s="286"/>
      <c r="C164" s="286"/>
      <c r="D164" s="286"/>
      <c r="E164" s="286"/>
      <c r="F164" s="286"/>
      <c r="G164" s="286"/>
      <c r="H164" s="286"/>
      <c r="I164" s="286"/>
      <c r="J164" s="286"/>
      <c r="K164" s="286"/>
      <c r="L164" s="286"/>
      <c r="M164" s="286"/>
      <c r="N164" s="286"/>
      <c r="O164" s="286"/>
      <c r="P164" s="286"/>
      <c r="Q164" s="286"/>
    </row>
    <row r="165" spans="1:17">
      <c r="A165" s="1197" t="s">
        <v>866</v>
      </c>
      <c r="B165" s="1197"/>
      <c r="C165" s="1197"/>
      <c r="D165" s="1197"/>
      <c r="E165" s="1197"/>
      <c r="F165" s="1197"/>
      <c r="G165" s="1197"/>
      <c r="H165" s="1197"/>
      <c r="I165" s="1197"/>
      <c r="J165" s="1197"/>
      <c r="K165" s="1197"/>
      <c r="L165" s="1197"/>
      <c r="M165" s="1197"/>
      <c r="N165" s="1197"/>
      <c r="O165" s="1197"/>
      <c r="P165" s="1197"/>
      <c r="Q165" s="1197"/>
    </row>
    <row r="166" spans="1:17" ht="20.5" customHeight="1">
      <c r="A166" s="1197"/>
      <c r="B166" s="1197"/>
      <c r="C166" s="1197"/>
      <c r="D166" s="1197"/>
      <c r="E166" s="1197"/>
      <c r="F166" s="1197"/>
      <c r="G166" s="1197"/>
      <c r="H166" s="1197"/>
      <c r="I166" s="1197"/>
      <c r="J166" s="1197"/>
      <c r="K166" s="1197"/>
      <c r="L166" s="1197"/>
      <c r="M166" s="1197"/>
      <c r="N166" s="1197"/>
      <c r="O166" s="1197"/>
      <c r="P166" s="1197"/>
      <c r="Q166" s="1197"/>
    </row>
    <row r="167" spans="1:17">
      <c r="A167" s="286"/>
      <c r="B167" s="286"/>
      <c r="C167" s="286"/>
      <c r="D167" s="286"/>
      <c r="E167" s="286"/>
      <c r="F167" s="286"/>
      <c r="G167" s="286"/>
      <c r="H167" s="286"/>
      <c r="I167" s="286"/>
      <c r="J167" s="286"/>
      <c r="K167" s="286"/>
      <c r="L167" s="286"/>
      <c r="M167" s="286"/>
      <c r="N167" s="286"/>
      <c r="O167" s="286"/>
      <c r="P167" s="286"/>
      <c r="Q167" s="286"/>
    </row>
    <row r="168" spans="1:17">
      <c r="A168" s="286"/>
      <c r="B168" s="286"/>
      <c r="C168" s="286"/>
      <c r="D168" s="286"/>
      <c r="E168" s="286"/>
      <c r="F168" s="286"/>
      <c r="G168" s="286"/>
      <c r="H168" s="286"/>
      <c r="I168" s="286"/>
      <c r="J168" s="286"/>
      <c r="K168" s="286"/>
      <c r="L168" s="286"/>
      <c r="M168" s="286"/>
      <c r="N168" s="286"/>
      <c r="O168" s="286"/>
      <c r="P168" s="286"/>
      <c r="Q168" s="286"/>
    </row>
    <row r="169" spans="1:17">
      <c r="A169" s="286"/>
      <c r="B169" s="285" t="s">
        <v>458</v>
      </c>
      <c r="C169" s="762" t="s">
        <v>63</v>
      </c>
      <c r="D169" s="798">
        <v>45.1</v>
      </c>
      <c r="E169" s="559" t="s">
        <v>864</v>
      </c>
      <c r="F169" s="286"/>
      <c r="G169" s="286"/>
      <c r="H169" s="286"/>
      <c r="I169" s="1167" t="s">
        <v>868</v>
      </c>
      <c r="J169" s="1167" t="s">
        <v>867</v>
      </c>
      <c r="K169" s="1167" t="s">
        <v>869</v>
      </c>
      <c r="L169" s="286"/>
      <c r="M169" s="286"/>
      <c r="N169" s="286"/>
      <c r="O169" s="286"/>
      <c r="P169" s="286"/>
      <c r="Q169" s="286"/>
    </row>
    <row r="170" spans="1:17">
      <c r="A170" s="286"/>
      <c r="B170" s="804" t="s">
        <v>459</v>
      </c>
      <c r="C170" s="805" t="s">
        <v>63</v>
      </c>
      <c r="D170" s="806">
        <v>47.1</v>
      </c>
      <c r="E170" s="559" t="s">
        <v>864</v>
      </c>
      <c r="F170" s="286"/>
      <c r="G170" s="286"/>
      <c r="H170" s="286"/>
      <c r="I170" s="1168"/>
      <c r="J170" s="1168"/>
      <c r="K170" s="1168"/>
      <c r="L170" s="286"/>
      <c r="M170" s="286"/>
      <c r="N170" s="286"/>
      <c r="O170" s="286"/>
      <c r="P170" s="286"/>
      <c r="Q170" s="286"/>
    </row>
    <row r="171" spans="1:17">
      <c r="A171" s="286"/>
      <c r="B171" s="686"/>
      <c r="C171" s="807" t="s">
        <v>316</v>
      </c>
      <c r="D171" s="686"/>
      <c r="E171" s="807" t="s">
        <v>345</v>
      </c>
      <c r="F171" s="286"/>
      <c r="G171" s="47" t="s">
        <v>313</v>
      </c>
      <c r="H171" s="48">
        <v>180</v>
      </c>
      <c r="I171" s="808">
        <v>80000</v>
      </c>
      <c r="J171" s="808">
        <v>70000</v>
      </c>
      <c r="K171" s="808">
        <v>16000</v>
      </c>
      <c r="L171" s="286"/>
      <c r="M171" s="286"/>
      <c r="N171" s="286"/>
      <c r="O171" s="286"/>
      <c r="P171" s="286"/>
      <c r="Q171" s="286"/>
    </row>
    <row r="172" spans="1:17">
      <c r="A172" s="286"/>
      <c r="B172" s="787" t="s">
        <v>480</v>
      </c>
      <c r="C172" s="788">
        <v>180</v>
      </c>
      <c r="D172" s="789"/>
      <c r="E172" s="799">
        <v>9</v>
      </c>
      <c r="F172" s="286"/>
      <c r="G172" s="47" t="s">
        <v>313</v>
      </c>
      <c r="H172" s="48">
        <v>200</v>
      </c>
      <c r="I172" s="808">
        <v>80000</v>
      </c>
      <c r="J172" s="808">
        <v>70000</v>
      </c>
      <c r="K172" s="808">
        <v>16000</v>
      </c>
      <c r="L172" s="286"/>
      <c r="M172" s="286"/>
      <c r="N172" s="286"/>
      <c r="O172" s="286"/>
      <c r="P172" s="286"/>
      <c r="Q172" s="286"/>
    </row>
    <row r="173" spans="1:17">
      <c r="A173" s="286"/>
      <c r="B173" s="790" t="s">
        <v>474</v>
      </c>
      <c r="C173" s="791">
        <v>200</v>
      </c>
      <c r="D173" s="792"/>
      <c r="E173" s="800">
        <v>10</v>
      </c>
      <c r="F173" s="286"/>
      <c r="G173" s="47" t="s">
        <v>313</v>
      </c>
      <c r="H173" s="48">
        <v>220</v>
      </c>
      <c r="I173" s="808">
        <v>80000</v>
      </c>
      <c r="J173" s="808">
        <v>70000</v>
      </c>
      <c r="K173" s="808">
        <v>16000</v>
      </c>
      <c r="L173" s="286"/>
      <c r="M173" s="286"/>
      <c r="N173" s="286"/>
      <c r="O173" s="286"/>
      <c r="P173" s="286"/>
      <c r="Q173" s="286"/>
    </row>
    <row r="174" spans="1:17">
      <c r="A174" s="286"/>
      <c r="B174" s="790" t="s">
        <v>475</v>
      </c>
      <c r="C174" s="791">
        <v>220</v>
      </c>
      <c r="D174" s="792"/>
      <c r="E174" s="800">
        <v>10</v>
      </c>
      <c r="F174" s="286"/>
      <c r="G174" s="47" t="s">
        <v>313</v>
      </c>
      <c r="H174" s="48">
        <v>240</v>
      </c>
      <c r="I174" s="808">
        <v>80000</v>
      </c>
      <c r="J174" s="808">
        <v>70000</v>
      </c>
      <c r="K174" s="808">
        <v>16000</v>
      </c>
      <c r="L174" s="286"/>
      <c r="M174" s="286"/>
      <c r="N174" s="286"/>
      <c r="O174" s="286"/>
      <c r="P174" s="286"/>
      <c r="Q174" s="286"/>
    </row>
    <row r="175" spans="1:17">
      <c r="A175" s="286"/>
      <c r="B175" s="790" t="s">
        <v>476</v>
      </c>
      <c r="C175" s="791">
        <v>240</v>
      </c>
      <c r="D175" s="792"/>
      <c r="E175" s="800">
        <v>11</v>
      </c>
      <c r="F175" s="286"/>
      <c r="G175" s="47" t="s">
        <v>313</v>
      </c>
      <c r="H175" s="48">
        <v>260</v>
      </c>
      <c r="I175" s="808">
        <v>80000</v>
      </c>
      <c r="J175" s="808">
        <v>70000</v>
      </c>
      <c r="K175" s="808">
        <v>16500</v>
      </c>
      <c r="L175" s="286"/>
      <c r="M175" s="286"/>
      <c r="N175" s="286"/>
      <c r="O175" s="286"/>
      <c r="P175" s="286"/>
      <c r="Q175" s="286"/>
    </row>
    <row r="176" spans="1:17">
      <c r="A176" s="286"/>
      <c r="B176" s="790" t="s">
        <v>477</v>
      </c>
      <c r="C176" s="791">
        <v>260</v>
      </c>
      <c r="D176" s="792"/>
      <c r="E176" s="800">
        <v>12</v>
      </c>
      <c r="F176" s="286"/>
      <c r="G176" s="47" t="s">
        <v>313</v>
      </c>
      <c r="H176" s="48">
        <v>280</v>
      </c>
      <c r="I176" s="808">
        <v>80000</v>
      </c>
      <c r="J176" s="808">
        <v>70000</v>
      </c>
      <c r="K176" s="808">
        <v>16500</v>
      </c>
      <c r="L176" s="286"/>
      <c r="M176" s="286"/>
      <c r="N176" s="286"/>
      <c r="O176" s="286"/>
      <c r="P176" s="286"/>
      <c r="Q176" s="286"/>
    </row>
    <row r="177" spans="1:17">
      <c r="A177" s="286"/>
      <c r="B177" s="790" t="s">
        <v>478</v>
      </c>
      <c r="C177" s="791">
        <v>280</v>
      </c>
      <c r="D177" s="792"/>
      <c r="E177" s="800">
        <v>13</v>
      </c>
      <c r="F177" s="286"/>
      <c r="G177" s="47" t="s">
        <v>313</v>
      </c>
      <c r="H177" s="48">
        <v>300</v>
      </c>
      <c r="I177" s="808">
        <v>80000</v>
      </c>
      <c r="J177" s="808">
        <v>70000</v>
      </c>
      <c r="K177" s="808">
        <v>17000</v>
      </c>
      <c r="L177" s="286"/>
      <c r="M177" s="286"/>
      <c r="N177" s="286"/>
      <c r="O177" s="286"/>
      <c r="P177" s="286"/>
      <c r="Q177" s="286"/>
    </row>
    <row r="178" spans="1:17">
      <c r="A178" s="286"/>
      <c r="B178" s="790" t="s">
        <v>479</v>
      </c>
      <c r="C178" s="791">
        <v>300</v>
      </c>
      <c r="D178" s="792"/>
      <c r="E178" s="800">
        <v>14</v>
      </c>
      <c r="F178" s="286"/>
      <c r="G178" s="275"/>
      <c r="H178" s="275"/>
      <c r="I178" s="422"/>
      <c r="J178" s="422"/>
      <c r="K178" s="422"/>
      <c r="L178" s="286"/>
      <c r="M178" s="286"/>
      <c r="N178" s="286"/>
      <c r="O178" s="286"/>
      <c r="P178" s="286"/>
      <c r="Q178" s="286"/>
    </row>
    <row r="179" spans="1:17">
      <c r="A179" s="286"/>
      <c r="B179" s="286"/>
      <c r="C179" s="286"/>
      <c r="D179" s="286"/>
      <c r="E179" s="286"/>
      <c r="F179" s="286"/>
      <c r="G179" s="47" t="s">
        <v>314</v>
      </c>
      <c r="H179" s="48">
        <v>200</v>
      </c>
      <c r="I179" s="808">
        <v>150000</v>
      </c>
      <c r="J179" s="808">
        <v>130000</v>
      </c>
      <c r="K179" s="808">
        <v>23000</v>
      </c>
      <c r="L179" s="286"/>
      <c r="M179" s="286"/>
      <c r="N179" s="286"/>
      <c r="O179" s="286"/>
      <c r="P179" s="286"/>
      <c r="Q179" s="286"/>
    </row>
    <row r="180" spans="1:17">
      <c r="A180" s="286"/>
      <c r="B180" s="793" t="s">
        <v>200</v>
      </c>
      <c r="C180" s="793"/>
      <c r="D180" s="794"/>
      <c r="E180" s="803" t="s">
        <v>185</v>
      </c>
      <c r="F180" s="286"/>
      <c r="G180" s="47" t="s">
        <v>314</v>
      </c>
      <c r="H180" s="48">
        <v>220</v>
      </c>
      <c r="I180" s="808">
        <v>150000</v>
      </c>
      <c r="J180" s="808">
        <v>130000</v>
      </c>
      <c r="K180" s="808">
        <v>23000</v>
      </c>
      <c r="L180" s="286"/>
      <c r="M180" s="286"/>
      <c r="N180" s="286"/>
      <c r="O180" s="286"/>
      <c r="P180" s="286"/>
      <c r="Q180" s="286"/>
    </row>
    <row r="181" spans="1:17">
      <c r="A181" s="286"/>
      <c r="B181" s="793" t="s">
        <v>473</v>
      </c>
      <c r="C181" s="793"/>
      <c r="D181" s="794"/>
      <c r="E181" s="794"/>
      <c r="F181" s="286"/>
      <c r="G181" s="47" t="s">
        <v>314</v>
      </c>
      <c r="H181" s="48">
        <v>240</v>
      </c>
      <c r="I181" s="808">
        <v>150000</v>
      </c>
      <c r="J181" s="808">
        <v>130000</v>
      </c>
      <c r="K181" s="808">
        <v>23000</v>
      </c>
      <c r="L181" s="286"/>
      <c r="M181" s="286"/>
      <c r="N181" s="286"/>
      <c r="O181" s="286"/>
      <c r="P181" s="286"/>
      <c r="Q181" s="286"/>
    </row>
    <row r="182" spans="1:17">
      <c r="A182" s="286"/>
      <c r="B182" s="761" t="s">
        <v>466</v>
      </c>
      <c r="C182" s="765" t="s">
        <v>63</v>
      </c>
      <c r="D182" s="763"/>
      <c r="E182" s="801">
        <v>5000</v>
      </c>
      <c r="F182" s="286"/>
      <c r="G182" s="47" t="s">
        <v>314</v>
      </c>
      <c r="H182" s="48">
        <v>260</v>
      </c>
      <c r="I182" s="808">
        <v>150000</v>
      </c>
      <c r="J182" s="808">
        <v>130000</v>
      </c>
      <c r="K182" s="808">
        <v>23500</v>
      </c>
      <c r="L182" s="286"/>
      <c r="M182" s="286"/>
      <c r="N182" s="286"/>
      <c r="O182" s="286"/>
      <c r="P182" s="286"/>
      <c r="Q182" s="286"/>
    </row>
    <row r="183" spans="1:17">
      <c r="A183" s="286"/>
      <c r="B183" s="761" t="s">
        <v>467</v>
      </c>
      <c r="C183" s="765" t="s">
        <v>63</v>
      </c>
      <c r="D183" s="763"/>
      <c r="E183" s="801">
        <v>5000</v>
      </c>
      <c r="F183" s="286"/>
      <c r="G183" s="47" t="s">
        <v>314</v>
      </c>
      <c r="H183" s="48">
        <v>280</v>
      </c>
      <c r="I183" s="808">
        <v>150000</v>
      </c>
      <c r="J183" s="808">
        <v>130000</v>
      </c>
      <c r="K183" s="808">
        <v>23500</v>
      </c>
      <c r="L183" s="286"/>
      <c r="M183" s="286"/>
      <c r="N183" s="286"/>
      <c r="O183" s="286"/>
      <c r="P183" s="286"/>
      <c r="Q183" s="286"/>
    </row>
    <row r="184" spans="1:17">
      <c r="A184" s="286"/>
      <c r="B184" s="761" t="s">
        <v>468</v>
      </c>
      <c r="C184" s="765" t="s">
        <v>63</v>
      </c>
      <c r="D184" s="763"/>
      <c r="E184" s="801">
        <v>5000</v>
      </c>
      <c r="F184" s="286"/>
      <c r="G184" s="47" t="s">
        <v>314</v>
      </c>
      <c r="H184" s="48">
        <v>300</v>
      </c>
      <c r="I184" s="808">
        <v>150000</v>
      </c>
      <c r="J184" s="808">
        <v>130000</v>
      </c>
      <c r="K184" s="808">
        <v>24000</v>
      </c>
      <c r="L184" s="286"/>
      <c r="M184" s="286"/>
      <c r="N184" s="286"/>
      <c r="O184" s="286"/>
      <c r="P184" s="286"/>
      <c r="Q184" s="286"/>
    </row>
    <row r="185" spans="1:17">
      <c r="A185" s="286"/>
      <c r="B185" s="761" t="s">
        <v>469</v>
      </c>
      <c r="C185" s="765" t="s">
        <v>63</v>
      </c>
      <c r="D185" s="763"/>
      <c r="E185" s="801">
        <v>5000</v>
      </c>
      <c r="F185" s="286"/>
      <c r="G185" s="275"/>
      <c r="H185" s="275"/>
      <c r="I185" s="422"/>
      <c r="J185" s="422"/>
      <c r="K185" s="422"/>
      <c r="L185" s="286"/>
      <c r="M185" s="286"/>
      <c r="N185" s="286"/>
      <c r="O185" s="286"/>
      <c r="P185" s="286"/>
      <c r="Q185" s="286"/>
    </row>
    <row r="186" spans="1:17">
      <c r="A186" s="286"/>
      <c r="B186" s="761" t="s">
        <v>470</v>
      </c>
      <c r="C186" s="765" t="s">
        <v>63</v>
      </c>
      <c r="D186" s="763"/>
      <c r="E186" s="801">
        <v>5000</v>
      </c>
      <c r="F186" s="286"/>
      <c r="G186" s="47" t="s">
        <v>315</v>
      </c>
      <c r="H186" s="48">
        <v>200</v>
      </c>
      <c r="I186" s="808">
        <v>150000</v>
      </c>
      <c r="J186" s="808">
        <v>130000</v>
      </c>
      <c r="K186" s="808">
        <v>23000</v>
      </c>
      <c r="L186" s="286"/>
      <c r="M186" s="286"/>
      <c r="N186" s="286"/>
      <c r="O186" s="286"/>
      <c r="P186" s="286"/>
      <c r="Q186" s="286"/>
    </row>
    <row r="187" spans="1:17">
      <c r="A187" s="286"/>
      <c r="B187" s="761" t="s">
        <v>471</v>
      </c>
      <c r="C187" s="765" t="s">
        <v>63</v>
      </c>
      <c r="D187" s="763"/>
      <c r="E187" s="801">
        <v>5000</v>
      </c>
      <c r="F187" s="286"/>
      <c r="G187" s="47" t="s">
        <v>315</v>
      </c>
      <c r="H187" s="48">
        <v>220</v>
      </c>
      <c r="I187" s="808">
        <v>150000</v>
      </c>
      <c r="J187" s="808">
        <v>130000</v>
      </c>
      <c r="K187" s="808">
        <v>23000</v>
      </c>
      <c r="L187" s="286"/>
      <c r="M187" s="286"/>
      <c r="N187" s="286"/>
      <c r="O187" s="286"/>
      <c r="P187" s="286"/>
      <c r="Q187" s="286"/>
    </row>
    <row r="188" spans="1:17">
      <c r="A188" s="286"/>
      <c r="B188" s="761" t="s">
        <v>472</v>
      </c>
      <c r="C188" s="765" t="s">
        <v>63</v>
      </c>
      <c r="D188" s="763"/>
      <c r="E188" s="801">
        <v>5000</v>
      </c>
      <c r="F188" s="286"/>
      <c r="G188" s="47" t="s">
        <v>315</v>
      </c>
      <c r="H188" s="48">
        <v>240</v>
      </c>
      <c r="I188" s="808">
        <v>150000</v>
      </c>
      <c r="J188" s="808">
        <v>130000</v>
      </c>
      <c r="K188" s="808">
        <v>23000</v>
      </c>
      <c r="L188" s="286"/>
      <c r="M188" s="286"/>
      <c r="N188" s="286"/>
      <c r="O188" s="286"/>
      <c r="P188" s="286"/>
      <c r="Q188" s="286"/>
    </row>
    <row r="189" spans="1:17">
      <c r="A189" s="286"/>
      <c r="B189" s="765" t="s">
        <v>314</v>
      </c>
      <c r="C189" s="765"/>
      <c r="D189" s="763"/>
      <c r="E189" s="795"/>
      <c r="F189" s="286"/>
      <c r="G189" s="47" t="s">
        <v>315</v>
      </c>
      <c r="H189" s="48">
        <v>260</v>
      </c>
      <c r="I189" s="808">
        <v>150000</v>
      </c>
      <c r="J189" s="808">
        <v>130000</v>
      </c>
      <c r="K189" s="808">
        <v>23500</v>
      </c>
      <c r="L189" s="286"/>
      <c r="M189" s="286"/>
      <c r="N189" s="286"/>
      <c r="O189" s="286"/>
      <c r="P189" s="286"/>
      <c r="Q189" s="286"/>
    </row>
    <row r="190" spans="1:17">
      <c r="A190" s="286"/>
      <c r="B190" s="796" t="s">
        <v>460</v>
      </c>
      <c r="C190" s="765" t="s">
        <v>63</v>
      </c>
      <c r="D190" s="763"/>
      <c r="E190" s="801">
        <v>5000</v>
      </c>
      <c r="F190" s="286"/>
      <c r="G190" s="47" t="s">
        <v>315</v>
      </c>
      <c r="H190" s="48">
        <v>280</v>
      </c>
      <c r="I190" s="808">
        <v>150000</v>
      </c>
      <c r="J190" s="808">
        <v>130000</v>
      </c>
      <c r="K190" s="808">
        <v>23500</v>
      </c>
      <c r="L190" s="286"/>
      <c r="M190" s="286"/>
      <c r="N190" s="286"/>
      <c r="O190" s="286"/>
      <c r="P190" s="286"/>
      <c r="Q190" s="286"/>
    </row>
    <row r="191" spans="1:17">
      <c r="A191" s="286"/>
      <c r="B191" s="796" t="s">
        <v>461</v>
      </c>
      <c r="C191" s="765" t="s">
        <v>63</v>
      </c>
      <c r="D191" s="763"/>
      <c r="E191" s="801">
        <v>5000</v>
      </c>
      <c r="F191" s="286"/>
      <c r="G191" s="47" t="s">
        <v>315</v>
      </c>
      <c r="H191" s="48">
        <v>300</v>
      </c>
      <c r="I191" s="808">
        <v>150000</v>
      </c>
      <c r="J191" s="808">
        <v>130000</v>
      </c>
      <c r="K191" s="808">
        <v>24000</v>
      </c>
      <c r="L191" s="286"/>
      <c r="M191" s="286"/>
      <c r="N191" s="286"/>
      <c r="O191" s="286"/>
      <c r="P191" s="286"/>
      <c r="Q191" s="286"/>
    </row>
    <row r="192" spans="1:17">
      <c r="A192" s="286"/>
      <c r="B192" s="796" t="s">
        <v>462</v>
      </c>
      <c r="C192" s="765" t="s">
        <v>63</v>
      </c>
      <c r="D192" s="763"/>
      <c r="E192" s="801">
        <v>5000</v>
      </c>
      <c r="F192" s="286"/>
      <c r="G192" s="47"/>
      <c r="H192" s="48"/>
      <c r="I192" s="808"/>
      <c r="J192" s="808"/>
      <c r="K192" s="808"/>
      <c r="L192" s="286"/>
      <c r="M192" s="286"/>
      <c r="N192" s="286"/>
      <c r="O192" s="286"/>
      <c r="P192" s="286"/>
      <c r="Q192" s="286"/>
    </row>
    <row r="193" spans="1:17">
      <c r="A193" s="286"/>
      <c r="B193" s="796" t="s">
        <v>463</v>
      </c>
      <c r="C193" s="765" t="s">
        <v>63</v>
      </c>
      <c r="D193" s="763"/>
      <c r="E193" s="801">
        <v>5000</v>
      </c>
      <c r="F193" s="286"/>
      <c r="G193" s="286"/>
      <c r="H193" s="286"/>
      <c r="I193" s="286"/>
      <c r="J193" s="286"/>
      <c r="K193" s="286"/>
      <c r="L193" s="286"/>
      <c r="M193" s="286"/>
      <c r="N193" s="286"/>
      <c r="O193" s="286"/>
      <c r="P193" s="286"/>
      <c r="Q193" s="286"/>
    </row>
    <row r="194" spans="1:17">
      <c r="A194" s="286"/>
      <c r="B194" s="796" t="s">
        <v>464</v>
      </c>
      <c r="C194" s="765" t="s">
        <v>63</v>
      </c>
      <c r="D194" s="763"/>
      <c r="E194" s="801">
        <v>5000</v>
      </c>
      <c r="F194" s="286"/>
      <c r="G194" s="286"/>
      <c r="H194" s="286"/>
      <c r="I194" s="286"/>
      <c r="J194" s="286"/>
      <c r="K194" s="286"/>
      <c r="L194" s="286"/>
      <c r="M194" s="286"/>
      <c r="N194" s="286"/>
      <c r="O194" s="286"/>
      <c r="P194" s="286"/>
      <c r="Q194" s="286"/>
    </row>
    <row r="195" spans="1:17">
      <c r="A195" s="286"/>
      <c r="B195" s="796" t="s">
        <v>465</v>
      </c>
      <c r="C195" s="765" t="s">
        <v>63</v>
      </c>
      <c r="D195" s="763"/>
      <c r="E195" s="801">
        <v>5000</v>
      </c>
      <c r="F195" s="286"/>
      <c r="G195" s="286"/>
      <c r="H195" s="286"/>
      <c r="I195" s="286"/>
      <c r="J195" s="286"/>
      <c r="K195" s="286"/>
      <c r="L195" s="286"/>
      <c r="M195" s="286"/>
      <c r="N195" s="286"/>
      <c r="O195" s="286"/>
      <c r="P195" s="286"/>
      <c r="Q195" s="286"/>
    </row>
    <row r="196" spans="1:17">
      <c r="A196" s="286"/>
      <c r="B196" s="765" t="s">
        <v>315</v>
      </c>
      <c r="C196" s="765"/>
      <c r="D196" s="763"/>
      <c r="E196" s="795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86"/>
      <c r="Q196" s="286"/>
    </row>
    <row r="197" spans="1:17">
      <c r="A197" s="286"/>
      <c r="B197" s="796" t="s">
        <v>460</v>
      </c>
      <c r="C197" s="765" t="s">
        <v>63</v>
      </c>
      <c r="D197" s="763"/>
      <c r="E197" s="801">
        <v>5000</v>
      </c>
      <c r="F197" s="286"/>
      <c r="G197" s="286"/>
      <c r="H197" s="286"/>
      <c r="I197" s="286"/>
      <c r="J197" s="286"/>
      <c r="K197" s="286"/>
      <c r="L197" s="286"/>
      <c r="M197" s="286"/>
      <c r="N197" s="286"/>
      <c r="O197" s="286"/>
      <c r="P197" s="286"/>
      <c r="Q197" s="286"/>
    </row>
    <row r="198" spans="1:17">
      <c r="A198" s="286"/>
      <c r="B198" s="796" t="s">
        <v>461</v>
      </c>
      <c r="C198" s="765" t="s">
        <v>63</v>
      </c>
      <c r="D198" s="763"/>
      <c r="E198" s="801">
        <v>5000</v>
      </c>
      <c r="F198" s="286"/>
      <c r="G198" s="286"/>
      <c r="H198" s="286"/>
      <c r="I198" s="286"/>
      <c r="J198" s="286"/>
      <c r="K198" s="286"/>
      <c r="L198" s="286"/>
      <c r="M198" s="286"/>
      <c r="N198" s="286"/>
      <c r="O198" s="286"/>
      <c r="P198" s="286"/>
      <c r="Q198" s="286"/>
    </row>
    <row r="199" spans="1:17">
      <c r="A199" s="286"/>
      <c r="B199" s="796" t="s">
        <v>462</v>
      </c>
      <c r="C199" s="765" t="s">
        <v>63</v>
      </c>
      <c r="D199" s="763"/>
      <c r="E199" s="801">
        <v>5000</v>
      </c>
      <c r="F199" s="286"/>
      <c r="G199" s="286"/>
      <c r="H199" s="286"/>
      <c r="I199" s="286"/>
      <c r="J199" s="286"/>
      <c r="K199" s="286"/>
      <c r="L199" s="286"/>
      <c r="M199" s="286"/>
      <c r="N199" s="286"/>
      <c r="O199" s="286"/>
      <c r="P199" s="286"/>
      <c r="Q199" s="286"/>
    </row>
    <row r="200" spans="1:17">
      <c r="A200" s="286"/>
      <c r="B200" s="796" t="s">
        <v>463</v>
      </c>
      <c r="C200" s="765" t="s">
        <v>63</v>
      </c>
      <c r="D200" s="763"/>
      <c r="E200" s="801">
        <v>5000</v>
      </c>
      <c r="F200" s="286"/>
      <c r="G200" s="286"/>
      <c r="H200" s="286"/>
      <c r="I200" s="286"/>
      <c r="J200" s="286"/>
      <c r="K200" s="286"/>
      <c r="L200" s="286"/>
      <c r="M200" s="286"/>
      <c r="N200" s="286"/>
      <c r="O200" s="286"/>
      <c r="P200" s="286"/>
      <c r="Q200" s="286"/>
    </row>
    <row r="201" spans="1:17">
      <c r="A201" s="286"/>
      <c r="B201" s="796" t="s">
        <v>464</v>
      </c>
      <c r="C201" s="765" t="s">
        <v>63</v>
      </c>
      <c r="D201" s="763"/>
      <c r="E201" s="801">
        <v>5000</v>
      </c>
      <c r="F201" s="286"/>
      <c r="G201" s="286"/>
      <c r="H201" s="286"/>
      <c r="I201" s="286"/>
      <c r="J201" s="286"/>
      <c r="K201" s="286"/>
      <c r="L201" s="286"/>
      <c r="M201" s="286"/>
      <c r="N201" s="286"/>
      <c r="O201" s="286"/>
      <c r="P201" s="286"/>
      <c r="Q201" s="286"/>
    </row>
    <row r="202" spans="1:17">
      <c r="A202" s="286"/>
      <c r="B202" s="796" t="s">
        <v>465</v>
      </c>
      <c r="C202" s="765" t="s">
        <v>63</v>
      </c>
      <c r="D202" s="763"/>
      <c r="E202" s="801">
        <v>5000</v>
      </c>
      <c r="F202" s="286"/>
      <c r="G202" s="286"/>
      <c r="H202" s="286"/>
      <c r="I202" s="286"/>
      <c r="J202" s="286"/>
      <c r="K202" s="286"/>
      <c r="L202" s="286"/>
      <c r="M202" s="286"/>
      <c r="N202" s="286"/>
      <c r="O202" s="286"/>
      <c r="P202" s="286"/>
      <c r="Q202" s="286"/>
    </row>
    <row r="203" spans="1:17">
      <c r="A203" s="286"/>
      <c r="B203" s="286"/>
      <c r="C203" s="286"/>
      <c r="D203" s="286"/>
      <c r="E203" s="286"/>
      <c r="F203" s="286"/>
      <c r="G203" s="286"/>
      <c r="H203" s="286"/>
      <c r="I203" s="286"/>
      <c r="J203" s="286"/>
      <c r="K203" s="286"/>
      <c r="L203" s="286"/>
      <c r="M203" s="286"/>
      <c r="N203" s="286"/>
      <c r="O203" s="286"/>
      <c r="P203" s="286"/>
      <c r="Q203" s="286"/>
    </row>
    <row r="204" spans="1:17">
      <c r="A204" s="286"/>
      <c r="B204" s="686" t="s">
        <v>919</v>
      </c>
      <c r="C204" s="686" t="s">
        <v>155</v>
      </c>
      <c r="D204" s="686"/>
      <c r="E204" s="802">
        <v>22000</v>
      </c>
      <c r="F204" s="286"/>
      <c r="G204" s="286"/>
      <c r="H204" s="286"/>
      <c r="I204" s="286"/>
      <c r="J204" s="286"/>
      <c r="K204" s="286"/>
      <c r="L204" s="286"/>
      <c r="M204" s="286"/>
      <c r="N204" s="286"/>
      <c r="O204" s="286"/>
      <c r="P204" s="286"/>
      <c r="Q204" s="286"/>
    </row>
    <row r="205" spans="1:17" ht="30">
      <c r="A205" s="286"/>
      <c r="B205" s="863" t="s">
        <v>601</v>
      </c>
      <c r="C205" s="769" t="s">
        <v>85</v>
      </c>
      <c r="D205" s="888"/>
      <c r="E205" s="982">
        <f>D145</f>
        <v>3500</v>
      </c>
      <c r="F205" s="286"/>
      <c r="G205" s="286"/>
      <c r="H205" s="286"/>
      <c r="I205" s="286"/>
      <c r="J205" s="286"/>
      <c r="K205" s="286"/>
      <c r="L205" s="286"/>
      <c r="M205" s="286"/>
      <c r="N205" s="286"/>
      <c r="O205" s="286"/>
      <c r="P205" s="286"/>
      <c r="Q205" s="286"/>
    </row>
    <row r="206" spans="1:17">
      <c r="A206" s="286"/>
      <c r="B206" s="796" t="s">
        <v>576</v>
      </c>
      <c r="C206" s="865" t="s">
        <v>148</v>
      </c>
      <c r="D206" s="864"/>
      <c r="E206" s="893">
        <f>J129</f>
        <v>45</v>
      </c>
      <c r="F206" s="286"/>
      <c r="G206" s="286"/>
      <c r="H206" s="286"/>
      <c r="I206" s="286"/>
      <c r="J206" s="286"/>
      <c r="K206" s="286"/>
      <c r="L206" s="286"/>
      <c r="M206" s="286"/>
      <c r="N206" s="286"/>
      <c r="O206" s="286"/>
      <c r="P206" s="286"/>
      <c r="Q206" s="286"/>
    </row>
    <row r="207" spans="1:17">
      <c r="A207" s="286"/>
      <c r="B207" s="286"/>
      <c r="C207" s="286"/>
      <c r="D207" s="286"/>
      <c r="E207" s="286"/>
      <c r="F207" s="286"/>
      <c r="G207" s="286"/>
      <c r="H207" s="286"/>
      <c r="I207" s="286"/>
      <c r="J207" s="286"/>
      <c r="K207" s="286"/>
      <c r="L207" s="286"/>
      <c r="M207" s="286"/>
      <c r="N207" s="286"/>
      <c r="O207" s="286"/>
      <c r="P207" s="286"/>
      <c r="Q207" s="286"/>
    </row>
    <row r="208" spans="1:17">
      <c r="A208" s="1195" t="s">
        <v>870</v>
      </c>
      <c r="B208" s="1195"/>
      <c r="C208" s="1195"/>
      <c r="D208" s="1195"/>
      <c r="E208" s="1195"/>
      <c r="F208" s="1195"/>
      <c r="G208" s="1195"/>
      <c r="H208" s="1195"/>
      <c r="I208" s="1195"/>
      <c r="J208" s="1195"/>
      <c r="K208" s="1195"/>
      <c r="L208" s="1195"/>
      <c r="M208" s="1195"/>
      <c r="N208" s="1195"/>
      <c r="O208" s="1195"/>
      <c r="P208" s="1195"/>
      <c r="Q208" s="1195"/>
    </row>
    <row r="209" spans="1:17">
      <c r="A209" s="1195"/>
      <c r="B209" s="1195"/>
      <c r="C209" s="1195"/>
      <c r="D209" s="1195"/>
      <c r="E209" s="1195"/>
      <c r="F209" s="1195"/>
      <c r="G209" s="1195"/>
      <c r="H209" s="1195"/>
      <c r="I209" s="1195"/>
      <c r="J209" s="1195"/>
      <c r="K209" s="1195"/>
      <c r="L209" s="1195"/>
      <c r="M209" s="1195"/>
      <c r="N209" s="1195"/>
      <c r="O209" s="1195"/>
      <c r="P209" s="1195"/>
      <c r="Q209" s="1195"/>
    </row>
    <row r="210" spans="1:17">
      <c r="A210" s="286"/>
      <c r="B210" s="286"/>
      <c r="C210" s="286"/>
      <c r="D210" s="286"/>
      <c r="E210" s="286"/>
      <c r="F210" s="286"/>
      <c r="G210" s="286"/>
      <c r="H210" s="286"/>
      <c r="I210" s="286"/>
      <c r="J210" s="286"/>
      <c r="K210" s="286"/>
      <c r="L210" s="286"/>
      <c r="M210" s="286"/>
      <c r="N210" s="286"/>
      <c r="O210" s="286"/>
      <c r="P210" s="286"/>
      <c r="Q210" s="286"/>
    </row>
    <row r="211" spans="1:17">
      <c r="A211" s="286"/>
      <c r="B211" s="286"/>
      <c r="C211" s="286"/>
      <c r="D211" s="286"/>
      <c r="E211" s="286"/>
      <c r="F211" s="286"/>
      <c r="G211" s="286"/>
      <c r="H211" s="286"/>
      <c r="I211" s="286"/>
      <c r="J211" s="286"/>
      <c r="K211" s="286"/>
      <c r="L211" s="286"/>
      <c r="M211" s="286"/>
      <c r="N211" s="286"/>
      <c r="O211" s="286"/>
      <c r="P211" s="286"/>
      <c r="Q211" s="286"/>
    </row>
    <row r="212" spans="1:17">
      <c r="A212" s="286"/>
      <c r="B212" s="285" t="s">
        <v>458</v>
      </c>
      <c r="C212" s="762" t="s">
        <v>63</v>
      </c>
      <c r="D212" s="908">
        <f>D169</f>
        <v>45.1</v>
      </c>
      <c r="E212" s="542" t="s">
        <v>714</v>
      </c>
      <c r="F212" s="286"/>
      <c r="G212" s="286"/>
      <c r="H212" s="286"/>
      <c r="I212" s="1167" t="s">
        <v>868</v>
      </c>
      <c r="J212" s="1167" t="s">
        <v>867</v>
      </c>
      <c r="K212" s="1167" t="s">
        <v>869</v>
      </c>
      <c r="L212" s="286"/>
      <c r="M212" s="286"/>
      <c r="N212" s="286"/>
      <c r="O212" s="286"/>
      <c r="P212" s="286"/>
      <c r="Q212" s="286"/>
    </row>
    <row r="213" spans="1:17">
      <c r="A213" s="286"/>
      <c r="B213" s="804" t="s">
        <v>459</v>
      </c>
      <c r="C213" s="805" t="s">
        <v>63</v>
      </c>
      <c r="D213" s="909">
        <f>D170</f>
        <v>47.1</v>
      </c>
      <c r="E213" s="542" t="s">
        <v>714</v>
      </c>
      <c r="F213" s="286"/>
      <c r="G213" s="286"/>
      <c r="H213" s="286"/>
      <c r="I213" s="1168"/>
      <c r="J213" s="1168"/>
      <c r="K213" s="1168"/>
      <c r="L213" s="286"/>
      <c r="M213" s="286"/>
      <c r="N213" s="286"/>
      <c r="O213" s="286"/>
      <c r="P213" s="286"/>
      <c r="Q213" s="286"/>
    </row>
    <row r="214" spans="1:17">
      <c r="A214" s="286"/>
      <c r="B214" s="686"/>
      <c r="C214" s="807" t="s">
        <v>316</v>
      </c>
      <c r="D214" s="686"/>
      <c r="E214" s="807" t="s">
        <v>345</v>
      </c>
      <c r="F214" s="286"/>
      <c r="G214" s="47" t="s">
        <v>313</v>
      </c>
      <c r="H214" s="48">
        <v>180</v>
      </c>
      <c r="I214" s="808">
        <v>80000</v>
      </c>
      <c r="J214" s="808">
        <v>70000</v>
      </c>
      <c r="K214" s="808">
        <v>8000</v>
      </c>
      <c r="L214" s="286"/>
      <c r="M214" s="286"/>
      <c r="N214" s="286"/>
      <c r="O214" s="286"/>
      <c r="P214" s="286"/>
      <c r="Q214" s="286"/>
    </row>
    <row r="215" spans="1:17">
      <c r="A215" s="286"/>
      <c r="B215" s="787" t="s">
        <v>480</v>
      </c>
      <c r="C215" s="788">
        <v>180</v>
      </c>
      <c r="D215" s="789"/>
      <c r="E215" s="984">
        <f t="shared" ref="E215:E221" si="0">E172</f>
        <v>9</v>
      </c>
      <c r="F215" s="286"/>
      <c r="G215" s="47" t="s">
        <v>313</v>
      </c>
      <c r="H215" s="48">
        <v>200</v>
      </c>
      <c r="I215" s="808">
        <v>80000</v>
      </c>
      <c r="J215" s="808">
        <v>70000</v>
      </c>
      <c r="K215" s="808">
        <v>8000</v>
      </c>
      <c r="L215" s="286"/>
      <c r="M215" s="286"/>
      <c r="N215" s="286"/>
      <c r="O215" s="286"/>
      <c r="P215" s="286"/>
      <c r="Q215" s="286"/>
    </row>
    <row r="216" spans="1:17">
      <c r="A216" s="286"/>
      <c r="B216" s="790" t="s">
        <v>474</v>
      </c>
      <c r="C216" s="791">
        <v>200</v>
      </c>
      <c r="D216" s="792"/>
      <c r="E216" s="985">
        <f t="shared" si="0"/>
        <v>10</v>
      </c>
      <c r="F216" s="286"/>
      <c r="G216" s="47" t="s">
        <v>313</v>
      </c>
      <c r="H216" s="48">
        <v>220</v>
      </c>
      <c r="I216" s="808">
        <v>80000</v>
      </c>
      <c r="J216" s="808">
        <v>70000</v>
      </c>
      <c r="K216" s="808">
        <v>8000</v>
      </c>
      <c r="L216" s="286"/>
      <c r="M216" s="286"/>
      <c r="N216" s="286"/>
      <c r="O216" s="286"/>
      <c r="P216" s="286"/>
      <c r="Q216" s="286"/>
    </row>
    <row r="217" spans="1:17">
      <c r="A217" s="286"/>
      <c r="B217" s="790" t="s">
        <v>475</v>
      </c>
      <c r="C217" s="791">
        <v>220</v>
      </c>
      <c r="D217" s="792"/>
      <c r="E217" s="985">
        <f t="shared" si="0"/>
        <v>10</v>
      </c>
      <c r="F217" s="286"/>
      <c r="G217" s="47" t="s">
        <v>313</v>
      </c>
      <c r="H217" s="48">
        <v>240</v>
      </c>
      <c r="I217" s="808">
        <v>80000</v>
      </c>
      <c r="J217" s="808">
        <v>70000</v>
      </c>
      <c r="K217" s="808">
        <v>8000</v>
      </c>
      <c r="L217" s="286"/>
      <c r="M217" s="286"/>
      <c r="N217" s="286"/>
      <c r="O217" s="286"/>
      <c r="P217" s="286"/>
      <c r="Q217" s="286"/>
    </row>
    <row r="218" spans="1:17">
      <c r="A218" s="286"/>
      <c r="B218" s="790" t="s">
        <v>476</v>
      </c>
      <c r="C218" s="791">
        <v>240</v>
      </c>
      <c r="D218" s="792"/>
      <c r="E218" s="985">
        <f t="shared" si="0"/>
        <v>11</v>
      </c>
      <c r="F218" s="286"/>
      <c r="G218" s="47" t="s">
        <v>313</v>
      </c>
      <c r="H218" s="48">
        <v>260</v>
      </c>
      <c r="I218" s="808">
        <v>80000</v>
      </c>
      <c r="J218" s="808">
        <v>70000</v>
      </c>
      <c r="K218" s="808">
        <v>8000</v>
      </c>
      <c r="L218" s="286"/>
      <c r="M218" s="286"/>
      <c r="N218" s="286"/>
      <c r="O218" s="286"/>
      <c r="P218" s="286"/>
      <c r="Q218" s="286"/>
    </row>
    <row r="219" spans="1:17">
      <c r="A219" s="286"/>
      <c r="B219" s="790" t="s">
        <v>477</v>
      </c>
      <c r="C219" s="791">
        <v>260</v>
      </c>
      <c r="D219" s="792"/>
      <c r="E219" s="985">
        <f t="shared" si="0"/>
        <v>12</v>
      </c>
      <c r="F219" s="286"/>
      <c r="G219" s="47" t="s">
        <v>313</v>
      </c>
      <c r="H219" s="48">
        <v>280</v>
      </c>
      <c r="I219" s="808">
        <v>80000</v>
      </c>
      <c r="J219" s="808">
        <v>70000</v>
      </c>
      <c r="K219" s="808">
        <v>8000</v>
      </c>
      <c r="L219" s="286"/>
      <c r="M219" s="286"/>
      <c r="N219" s="286"/>
      <c r="O219" s="286"/>
      <c r="P219" s="286"/>
      <c r="Q219" s="286"/>
    </row>
    <row r="220" spans="1:17">
      <c r="A220" s="286"/>
      <c r="B220" s="790" t="s">
        <v>478</v>
      </c>
      <c r="C220" s="791">
        <v>280</v>
      </c>
      <c r="D220" s="792"/>
      <c r="E220" s="985">
        <f t="shared" si="0"/>
        <v>13</v>
      </c>
      <c r="F220" s="286"/>
      <c r="G220" s="47" t="s">
        <v>313</v>
      </c>
      <c r="H220" s="48">
        <v>300</v>
      </c>
      <c r="I220" s="808">
        <v>80000</v>
      </c>
      <c r="J220" s="808">
        <v>70000</v>
      </c>
      <c r="K220" s="808">
        <v>8000</v>
      </c>
      <c r="L220" s="286"/>
      <c r="M220" s="286"/>
      <c r="N220" s="286"/>
      <c r="O220" s="286"/>
      <c r="P220" s="286"/>
      <c r="Q220" s="286"/>
    </row>
    <row r="221" spans="1:17">
      <c r="A221" s="286"/>
      <c r="B221" s="790" t="s">
        <v>479</v>
      </c>
      <c r="C221" s="791">
        <v>300</v>
      </c>
      <c r="D221" s="792"/>
      <c r="E221" s="985">
        <f t="shared" si="0"/>
        <v>14</v>
      </c>
      <c r="F221" s="286"/>
      <c r="G221" s="47" t="s">
        <v>313</v>
      </c>
      <c r="H221" s="48">
        <v>320</v>
      </c>
      <c r="I221" s="808">
        <v>80000</v>
      </c>
      <c r="J221" s="808">
        <v>70000</v>
      </c>
      <c r="K221" s="808">
        <v>8000</v>
      </c>
      <c r="L221" s="286"/>
      <c r="M221" s="286"/>
      <c r="N221" s="286"/>
      <c r="O221" s="286"/>
      <c r="P221" s="286"/>
      <c r="Q221" s="286"/>
    </row>
    <row r="222" spans="1:17">
      <c r="A222" s="286"/>
      <c r="B222" s="790" t="s">
        <v>890</v>
      </c>
      <c r="C222" s="791">
        <v>320</v>
      </c>
      <c r="D222" s="792"/>
      <c r="E222" s="800">
        <v>15</v>
      </c>
      <c r="F222" s="286"/>
      <c r="G222" s="47" t="s">
        <v>313</v>
      </c>
      <c r="H222" s="48">
        <v>340</v>
      </c>
      <c r="I222" s="808">
        <v>80000</v>
      </c>
      <c r="J222" s="808">
        <v>70000</v>
      </c>
      <c r="K222" s="808">
        <v>8000</v>
      </c>
      <c r="L222" s="286"/>
      <c r="M222" s="286"/>
      <c r="N222" s="286"/>
      <c r="O222" s="286"/>
      <c r="P222" s="286"/>
      <c r="Q222" s="286"/>
    </row>
    <row r="223" spans="1:17">
      <c r="A223" s="286"/>
      <c r="B223" s="790" t="s">
        <v>891</v>
      </c>
      <c r="C223" s="791">
        <v>340</v>
      </c>
      <c r="D223" s="792"/>
      <c r="E223" s="800">
        <v>16</v>
      </c>
      <c r="F223" s="286"/>
      <c r="G223" s="47" t="s">
        <v>313</v>
      </c>
      <c r="H223" s="48">
        <v>360</v>
      </c>
      <c r="I223" s="808">
        <v>80000</v>
      </c>
      <c r="J223" s="808">
        <v>70000</v>
      </c>
      <c r="K223" s="808">
        <v>8000</v>
      </c>
      <c r="L223" s="286"/>
      <c r="M223" s="286"/>
      <c r="N223" s="286"/>
      <c r="O223" s="286"/>
      <c r="P223" s="286"/>
      <c r="Q223" s="286"/>
    </row>
    <row r="224" spans="1:17">
      <c r="A224" s="286"/>
      <c r="B224" s="790" t="s">
        <v>892</v>
      </c>
      <c r="C224" s="791">
        <v>360</v>
      </c>
      <c r="D224" s="792"/>
      <c r="E224" s="800">
        <v>17</v>
      </c>
      <c r="F224" s="286"/>
      <c r="G224" s="47" t="s">
        <v>313</v>
      </c>
      <c r="H224" s="48">
        <v>380</v>
      </c>
      <c r="I224" s="808">
        <v>80000</v>
      </c>
      <c r="J224" s="808">
        <v>70000</v>
      </c>
      <c r="K224" s="808">
        <v>8000</v>
      </c>
      <c r="L224" s="286"/>
      <c r="M224" s="286"/>
      <c r="N224" s="286"/>
      <c r="O224" s="286"/>
      <c r="P224" s="286"/>
      <c r="Q224" s="286"/>
    </row>
    <row r="225" spans="1:17">
      <c r="A225" s="286"/>
      <c r="B225" s="790" t="s">
        <v>893</v>
      </c>
      <c r="C225" s="791">
        <v>380</v>
      </c>
      <c r="D225" s="792"/>
      <c r="E225" s="800">
        <v>18</v>
      </c>
      <c r="F225" s="286"/>
      <c r="G225" s="47" t="s">
        <v>313</v>
      </c>
      <c r="H225" s="48">
        <v>400</v>
      </c>
      <c r="I225" s="808">
        <v>80000</v>
      </c>
      <c r="J225" s="808">
        <v>70000</v>
      </c>
      <c r="K225" s="808">
        <v>8000</v>
      </c>
      <c r="L225" s="286"/>
      <c r="M225" s="286"/>
      <c r="N225" s="286"/>
      <c r="O225" s="286"/>
      <c r="P225" s="286"/>
      <c r="Q225" s="286"/>
    </row>
    <row r="226" spans="1:17">
      <c r="A226" s="286"/>
      <c r="B226" s="790" t="s">
        <v>894</v>
      </c>
      <c r="C226" s="791">
        <v>400</v>
      </c>
      <c r="D226" s="792"/>
      <c r="E226" s="800">
        <v>19</v>
      </c>
      <c r="F226" s="286"/>
      <c r="L226" s="286"/>
      <c r="M226" s="286"/>
      <c r="N226" s="286"/>
      <c r="O226" s="286"/>
      <c r="P226" s="286"/>
      <c r="Q226" s="286"/>
    </row>
    <row r="227" spans="1:17">
      <c r="A227" s="286"/>
      <c r="B227" s="790"/>
      <c r="C227" s="791"/>
      <c r="D227" s="792"/>
      <c r="E227" s="800"/>
      <c r="F227" s="286"/>
      <c r="G227" s="47" t="s">
        <v>314</v>
      </c>
      <c r="H227" s="48">
        <v>200</v>
      </c>
      <c r="I227" s="808">
        <v>150000</v>
      </c>
      <c r="J227" s="808">
        <v>130000</v>
      </c>
      <c r="K227" s="808">
        <v>23000</v>
      </c>
      <c r="L227" s="286"/>
      <c r="M227" s="286"/>
      <c r="N227" s="286"/>
      <c r="O227" s="286"/>
      <c r="P227" s="286"/>
      <c r="Q227" s="286"/>
    </row>
    <row r="228" spans="1:17">
      <c r="A228" s="286"/>
      <c r="B228" s="790"/>
      <c r="C228" s="791"/>
      <c r="D228" s="792"/>
      <c r="E228" s="800"/>
      <c r="F228" s="286"/>
      <c r="G228" s="47" t="s">
        <v>314</v>
      </c>
      <c r="H228" s="48">
        <v>220</v>
      </c>
      <c r="I228" s="808">
        <v>150000</v>
      </c>
      <c r="J228" s="808">
        <v>130000</v>
      </c>
      <c r="K228" s="808">
        <v>23000</v>
      </c>
      <c r="L228" s="286"/>
      <c r="M228" s="286"/>
      <c r="N228" s="286"/>
      <c r="O228" s="286"/>
      <c r="P228" s="286"/>
      <c r="Q228" s="286"/>
    </row>
    <row r="229" spans="1:17">
      <c r="A229" s="286"/>
      <c r="B229" s="793" t="s">
        <v>200</v>
      </c>
      <c r="C229" s="793"/>
      <c r="D229" s="803" t="s">
        <v>185</v>
      </c>
      <c r="E229" s="803" t="s">
        <v>185</v>
      </c>
      <c r="F229" s="286"/>
      <c r="G229" s="47" t="s">
        <v>314</v>
      </c>
      <c r="H229" s="48">
        <v>240</v>
      </c>
      <c r="I229" s="808">
        <v>150000</v>
      </c>
      <c r="J229" s="808">
        <v>130000</v>
      </c>
      <c r="K229" s="808">
        <v>23000</v>
      </c>
      <c r="L229" s="286"/>
      <c r="M229" s="286"/>
      <c r="N229" s="286"/>
      <c r="O229" s="286"/>
      <c r="P229" s="286"/>
      <c r="Q229" s="286"/>
    </row>
    <row r="230" spans="1:17">
      <c r="A230" s="286"/>
      <c r="B230" s="932" t="s">
        <v>916</v>
      </c>
      <c r="C230" s="793"/>
      <c r="D230" s="926" t="s">
        <v>910</v>
      </c>
      <c r="E230" s="926" t="s">
        <v>911</v>
      </c>
      <c r="F230" s="286"/>
      <c r="G230" s="47" t="s">
        <v>314</v>
      </c>
      <c r="H230" s="48">
        <v>260</v>
      </c>
      <c r="I230" s="808">
        <v>150000</v>
      </c>
      <c r="J230" s="808">
        <v>130000</v>
      </c>
      <c r="K230" s="808">
        <v>23500</v>
      </c>
      <c r="L230" s="286"/>
      <c r="M230" s="286"/>
      <c r="N230" s="286"/>
      <c r="O230" s="286"/>
      <c r="P230" s="286"/>
      <c r="Q230" s="286"/>
    </row>
    <row r="231" spans="1:17">
      <c r="A231" s="286"/>
      <c r="B231" s="761" t="s">
        <v>466</v>
      </c>
      <c r="C231" s="765" t="s">
        <v>63</v>
      </c>
      <c r="D231" s="927">
        <v>6000</v>
      </c>
      <c r="E231" s="801">
        <v>5000</v>
      </c>
      <c r="F231" s="286"/>
      <c r="G231" s="47" t="s">
        <v>314</v>
      </c>
      <c r="H231" s="48">
        <v>280</v>
      </c>
      <c r="I231" s="808">
        <v>150000</v>
      </c>
      <c r="J231" s="808">
        <v>130000</v>
      </c>
      <c r="K231" s="808">
        <v>23500</v>
      </c>
      <c r="L231" s="286"/>
      <c r="M231" s="286"/>
      <c r="N231" s="286"/>
      <c r="O231" s="286"/>
      <c r="P231" s="286"/>
      <c r="Q231" s="286"/>
    </row>
    <row r="232" spans="1:17">
      <c r="A232" s="286"/>
      <c r="B232" s="761" t="s">
        <v>467</v>
      </c>
      <c r="C232" s="765" t="s">
        <v>63</v>
      </c>
      <c r="D232" s="927">
        <v>6000</v>
      </c>
      <c r="E232" s="801">
        <v>5000</v>
      </c>
      <c r="F232" s="286"/>
      <c r="G232" s="47" t="s">
        <v>314</v>
      </c>
      <c r="H232" s="48">
        <v>300</v>
      </c>
      <c r="I232" s="808">
        <v>150000</v>
      </c>
      <c r="J232" s="808">
        <v>130000</v>
      </c>
      <c r="K232" s="808">
        <v>24000</v>
      </c>
      <c r="L232" s="286"/>
      <c r="M232" s="286"/>
      <c r="N232" s="286"/>
      <c r="O232" s="286"/>
      <c r="P232" s="286"/>
      <c r="Q232" s="286"/>
    </row>
    <row r="233" spans="1:17">
      <c r="A233" s="286"/>
      <c r="B233" s="761" t="s">
        <v>468</v>
      </c>
      <c r="C233" s="765" t="s">
        <v>63</v>
      </c>
      <c r="D233" s="927">
        <v>6000</v>
      </c>
      <c r="E233" s="801">
        <v>5000</v>
      </c>
      <c r="F233" s="286"/>
      <c r="G233" s="47" t="s">
        <v>314</v>
      </c>
      <c r="H233" s="48">
        <v>320</v>
      </c>
      <c r="I233" s="808">
        <v>150000</v>
      </c>
      <c r="J233" s="808">
        <v>130000</v>
      </c>
      <c r="K233" s="808">
        <v>24000</v>
      </c>
      <c r="L233" s="286"/>
      <c r="M233" s="286"/>
      <c r="N233" s="286"/>
      <c r="O233" s="286"/>
      <c r="P233" s="286"/>
      <c r="Q233" s="286"/>
    </row>
    <row r="234" spans="1:17">
      <c r="A234" s="286"/>
      <c r="B234" s="761" t="s">
        <v>469</v>
      </c>
      <c r="C234" s="765" t="s">
        <v>63</v>
      </c>
      <c r="D234" s="927">
        <v>6000</v>
      </c>
      <c r="E234" s="801">
        <v>5000</v>
      </c>
      <c r="F234" s="286"/>
      <c r="G234" s="47" t="s">
        <v>314</v>
      </c>
      <c r="H234" s="48">
        <v>340</v>
      </c>
      <c r="I234" s="808">
        <v>150000</v>
      </c>
      <c r="J234" s="808">
        <v>130000</v>
      </c>
      <c r="K234" s="808">
        <v>24000</v>
      </c>
      <c r="L234" s="286"/>
      <c r="M234" s="286"/>
      <c r="N234" s="286"/>
      <c r="O234" s="286"/>
      <c r="P234" s="286"/>
      <c r="Q234" s="286"/>
    </row>
    <row r="235" spans="1:17">
      <c r="A235" s="286"/>
      <c r="B235" s="761" t="s">
        <v>470</v>
      </c>
      <c r="C235" s="765" t="s">
        <v>63</v>
      </c>
      <c r="D235" s="927">
        <v>6000</v>
      </c>
      <c r="E235" s="801">
        <v>5000</v>
      </c>
      <c r="F235" s="286"/>
      <c r="G235" s="47" t="s">
        <v>314</v>
      </c>
      <c r="H235" s="48">
        <v>360</v>
      </c>
      <c r="I235" s="808">
        <v>150000</v>
      </c>
      <c r="J235" s="808">
        <v>130000</v>
      </c>
      <c r="K235" s="808">
        <v>24000</v>
      </c>
      <c r="L235" s="286"/>
      <c r="M235" s="286"/>
      <c r="N235" s="286"/>
      <c r="O235" s="286"/>
      <c r="P235" s="286"/>
      <c r="Q235" s="286"/>
    </row>
    <row r="236" spans="1:17">
      <c r="A236" s="286"/>
      <c r="B236" s="761" t="s">
        <v>471</v>
      </c>
      <c r="C236" s="765" t="s">
        <v>63</v>
      </c>
      <c r="D236" s="927">
        <v>6000</v>
      </c>
      <c r="E236" s="801">
        <v>5000</v>
      </c>
      <c r="F236" s="286"/>
      <c r="G236" s="47" t="s">
        <v>314</v>
      </c>
      <c r="H236" s="48">
        <v>380</v>
      </c>
      <c r="I236" s="808">
        <v>150000</v>
      </c>
      <c r="J236" s="808">
        <v>130000</v>
      </c>
      <c r="K236" s="808">
        <v>24000</v>
      </c>
      <c r="L236" s="286"/>
      <c r="M236" s="286"/>
      <c r="N236" s="286"/>
      <c r="O236" s="286"/>
      <c r="P236" s="286"/>
      <c r="Q236" s="286"/>
    </row>
    <row r="237" spans="1:17">
      <c r="A237" s="286"/>
      <c r="B237" s="761" t="s">
        <v>472</v>
      </c>
      <c r="C237" s="765" t="s">
        <v>63</v>
      </c>
      <c r="D237" s="927">
        <v>6000</v>
      </c>
      <c r="E237" s="801">
        <v>5000</v>
      </c>
      <c r="F237" s="286"/>
      <c r="G237" s="47" t="s">
        <v>314</v>
      </c>
      <c r="H237" s="48">
        <v>400</v>
      </c>
      <c r="I237" s="808">
        <v>150000</v>
      </c>
      <c r="J237" s="808">
        <v>130000</v>
      </c>
      <c r="K237" s="808">
        <v>24000</v>
      </c>
      <c r="L237" s="286"/>
      <c r="M237" s="286"/>
      <c r="N237" s="286"/>
      <c r="O237" s="286"/>
      <c r="P237" s="286"/>
      <c r="Q237" s="286"/>
    </row>
    <row r="238" spans="1:17">
      <c r="A238" s="286"/>
      <c r="B238" s="761" t="s">
        <v>895</v>
      </c>
      <c r="C238" s="765" t="s">
        <v>63</v>
      </c>
      <c r="D238" s="927">
        <v>6000</v>
      </c>
      <c r="E238" s="801">
        <v>5000</v>
      </c>
      <c r="F238" s="286"/>
      <c r="L238" s="286"/>
      <c r="M238" s="286"/>
      <c r="N238" s="286"/>
      <c r="O238" s="286"/>
      <c r="P238" s="286"/>
      <c r="Q238" s="286"/>
    </row>
    <row r="239" spans="1:17">
      <c r="A239" s="286"/>
      <c r="B239" s="761" t="s">
        <v>896</v>
      </c>
      <c r="C239" s="765" t="s">
        <v>63</v>
      </c>
      <c r="D239" s="927">
        <v>6000</v>
      </c>
      <c r="E239" s="801">
        <v>5000</v>
      </c>
      <c r="F239" s="286"/>
      <c r="G239" s="47" t="s">
        <v>315</v>
      </c>
      <c r="H239" s="48">
        <v>200</v>
      </c>
      <c r="I239" s="808">
        <v>150000</v>
      </c>
      <c r="J239" s="808">
        <v>130000</v>
      </c>
      <c r="K239" s="808">
        <v>14000</v>
      </c>
      <c r="L239" s="286"/>
      <c r="M239" s="286"/>
      <c r="N239" s="286"/>
      <c r="O239" s="286"/>
      <c r="P239" s="286"/>
      <c r="Q239" s="286"/>
    </row>
    <row r="240" spans="1:17">
      <c r="A240" s="286"/>
      <c r="B240" s="761" t="s">
        <v>897</v>
      </c>
      <c r="C240" s="765" t="s">
        <v>63</v>
      </c>
      <c r="D240" s="927">
        <v>6000</v>
      </c>
      <c r="E240" s="801">
        <v>5000</v>
      </c>
      <c r="F240" s="286"/>
      <c r="G240" s="47" t="s">
        <v>315</v>
      </c>
      <c r="H240" s="48">
        <v>220</v>
      </c>
      <c r="I240" s="808">
        <v>150000</v>
      </c>
      <c r="J240" s="808">
        <v>130000</v>
      </c>
      <c r="K240" s="808">
        <v>14000</v>
      </c>
      <c r="L240" s="286"/>
      <c r="M240" s="286"/>
      <c r="N240" s="286"/>
      <c r="O240" s="286"/>
      <c r="P240" s="286"/>
      <c r="Q240" s="286"/>
    </row>
    <row r="241" spans="1:17">
      <c r="A241" s="286"/>
      <c r="B241" s="761" t="s">
        <v>898</v>
      </c>
      <c r="C241" s="765" t="s">
        <v>63</v>
      </c>
      <c r="D241" s="927">
        <v>6000</v>
      </c>
      <c r="E241" s="801">
        <v>5000</v>
      </c>
      <c r="F241" s="286"/>
      <c r="G241" s="47" t="s">
        <v>315</v>
      </c>
      <c r="H241" s="48">
        <v>240</v>
      </c>
      <c r="I241" s="808">
        <v>150000</v>
      </c>
      <c r="J241" s="808">
        <v>130000</v>
      </c>
      <c r="K241" s="808">
        <v>14000</v>
      </c>
      <c r="L241" s="286"/>
      <c r="M241" s="286"/>
      <c r="N241" s="286"/>
      <c r="O241" s="286"/>
      <c r="P241" s="286"/>
      <c r="Q241" s="286"/>
    </row>
    <row r="242" spans="1:17">
      <c r="A242" s="286"/>
      <c r="B242" s="761" t="s">
        <v>899</v>
      </c>
      <c r="C242" s="765" t="s">
        <v>63</v>
      </c>
      <c r="D242" s="927">
        <v>6000</v>
      </c>
      <c r="E242" s="801">
        <v>5000</v>
      </c>
      <c r="F242" s="286"/>
      <c r="G242" s="47" t="s">
        <v>315</v>
      </c>
      <c r="H242" s="48">
        <v>260</v>
      </c>
      <c r="I242" s="808">
        <v>150000</v>
      </c>
      <c r="J242" s="808">
        <v>130000</v>
      </c>
      <c r="K242" s="808">
        <v>14000</v>
      </c>
      <c r="L242" s="286"/>
      <c r="M242" s="286"/>
      <c r="N242" s="286"/>
      <c r="O242" s="286"/>
      <c r="P242" s="286"/>
      <c r="Q242" s="286"/>
    </row>
    <row r="243" spans="1:17">
      <c r="A243" s="286"/>
      <c r="B243" s="286"/>
      <c r="C243" s="286"/>
      <c r="D243" s="928"/>
      <c r="E243" s="286"/>
      <c r="F243" s="286"/>
      <c r="G243" s="47" t="s">
        <v>315</v>
      </c>
      <c r="H243" s="48">
        <v>280</v>
      </c>
      <c r="I243" s="808">
        <v>150000</v>
      </c>
      <c r="J243" s="808">
        <v>130000</v>
      </c>
      <c r="K243" s="808">
        <v>14000</v>
      </c>
      <c r="L243" s="286"/>
      <c r="M243" s="286"/>
      <c r="N243" s="286"/>
      <c r="O243" s="286"/>
      <c r="P243" s="286"/>
      <c r="Q243" s="286"/>
    </row>
    <row r="244" spans="1:17">
      <c r="A244" s="286"/>
      <c r="B244" s="780" t="s">
        <v>917</v>
      </c>
      <c r="C244" s="765"/>
      <c r="D244" s="929"/>
      <c r="E244" s="795"/>
      <c r="F244" s="286"/>
      <c r="G244" s="47" t="s">
        <v>315</v>
      </c>
      <c r="H244" s="48">
        <v>300</v>
      </c>
      <c r="I244" s="808">
        <v>150000</v>
      </c>
      <c r="J244" s="808">
        <v>130000</v>
      </c>
      <c r="K244" s="808">
        <v>14000</v>
      </c>
      <c r="L244" s="286"/>
      <c r="M244" s="286"/>
      <c r="N244" s="286"/>
      <c r="O244" s="286"/>
      <c r="P244" s="286"/>
      <c r="Q244" s="286"/>
    </row>
    <row r="245" spans="1:17">
      <c r="A245" s="286"/>
      <c r="B245" s="796" t="s">
        <v>460</v>
      </c>
      <c r="C245" s="765" t="s">
        <v>63</v>
      </c>
      <c r="D245" s="927">
        <v>6000</v>
      </c>
      <c r="E245" s="801">
        <v>5000</v>
      </c>
      <c r="F245" s="286"/>
      <c r="G245" s="47" t="s">
        <v>315</v>
      </c>
      <c r="H245" s="48">
        <v>320</v>
      </c>
      <c r="I245" s="808">
        <v>150000</v>
      </c>
      <c r="J245" s="808">
        <v>130000</v>
      </c>
      <c r="K245" s="808">
        <v>14000</v>
      </c>
      <c r="L245" s="286"/>
      <c r="M245" s="286"/>
      <c r="N245" s="286"/>
      <c r="O245" s="286"/>
      <c r="P245" s="286"/>
      <c r="Q245" s="286"/>
    </row>
    <row r="246" spans="1:17">
      <c r="A246" s="286"/>
      <c r="B246" s="796" t="s">
        <v>461</v>
      </c>
      <c r="C246" s="765" t="s">
        <v>63</v>
      </c>
      <c r="D246" s="927">
        <v>6000</v>
      </c>
      <c r="E246" s="801">
        <v>5000</v>
      </c>
      <c r="F246" s="286"/>
      <c r="G246" s="47" t="s">
        <v>315</v>
      </c>
      <c r="H246" s="48">
        <v>340</v>
      </c>
      <c r="I246" s="808">
        <v>150000</v>
      </c>
      <c r="J246" s="808">
        <v>130000</v>
      </c>
      <c r="K246" s="808">
        <v>14000</v>
      </c>
      <c r="L246" s="286"/>
      <c r="M246" s="286"/>
      <c r="N246" s="286"/>
      <c r="O246" s="286"/>
      <c r="P246" s="286"/>
      <c r="Q246" s="286"/>
    </row>
    <row r="247" spans="1:17">
      <c r="A247" s="286"/>
      <c r="B247" s="796" t="s">
        <v>462</v>
      </c>
      <c r="C247" s="765" t="s">
        <v>63</v>
      </c>
      <c r="D247" s="927">
        <v>6000</v>
      </c>
      <c r="E247" s="801">
        <v>5000</v>
      </c>
      <c r="F247" s="286"/>
      <c r="G247" s="47" t="s">
        <v>315</v>
      </c>
      <c r="H247" s="48">
        <v>360</v>
      </c>
      <c r="I247" s="808">
        <v>150000</v>
      </c>
      <c r="J247" s="808">
        <v>130000</v>
      </c>
      <c r="K247" s="808">
        <v>14000</v>
      </c>
      <c r="L247" s="286"/>
      <c r="M247" s="286"/>
      <c r="N247" s="286"/>
      <c r="O247" s="286"/>
      <c r="P247" s="286"/>
      <c r="Q247" s="286"/>
    </row>
    <row r="248" spans="1:17">
      <c r="A248" s="286"/>
      <c r="B248" s="796" t="s">
        <v>463</v>
      </c>
      <c r="C248" s="765" t="s">
        <v>63</v>
      </c>
      <c r="D248" s="927">
        <v>6000</v>
      </c>
      <c r="E248" s="801">
        <v>5000</v>
      </c>
      <c r="F248" s="286"/>
      <c r="G248" s="47" t="s">
        <v>315</v>
      </c>
      <c r="H248" s="48">
        <v>380</v>
      </c>
      <c r="I248" s="808">
        <v>150000</v>
      </c>
      <c r="J248" s="808">
        <v>130000</v>
      </c>
      <c r="K248" s="808">
        <v>14000</v>
      </c>
      <c r="L248" s="286"/>
      <c r="M248" s="286"/>
      <c r="N248" s="286"/>
      <c r="O248" s="286"/>
      <c r="P248" s="286"/>
      <c r="Q248" s="286"/>
    </row>
    <row r="249" spans="1:17">
      <c r="A249" s="286"/>
      <c r="B249" s="796" t="s">
        <v>464</v>
      </c>
      <c r="C249" s="765" t="s">
        <v>63</v>
      </c>
      <c r="D249" s="927">
        <v>6000</v>
      </c>
      <c r="E249" s="801">
        <v>5000</v>
      </c>
      <c r="F249" s="286"/>
      <c r="G249" s="47" t="s">
        <v>315</v>
      </c>
      <c r="H249" s="48">
        <v>400</v>
      </c>
      <c r="I249" s="808">
        <v>150000</v>
      </c>
      <c r="J249" s="808">
        <v>130000</v>
      </c>
      <c r="K249" s="808">
        <v>14000</v>
      </c>
      <c r="L249" s="286"/>
      <c r="M249" s="286"/>
      <c r="N249" s="286"/>
      <c r="O249" s="286"/>
      <c r="P249" s="286"/>
      <c r="Q249" s="286"/>
    </row>
    <row r="250" spans="1:17">
      <c r="A250" s="286"/>
      <c r="B250" s="796" t="s">
        <v>465</v>
      </c>
      <c r="C250" s="765" t="s">
        <v>63</v>
      </c>
      <c r="D250" s="927">
        <v>6000</v>
      </c>
      <c r="E250" s="801">
        <v>5000</v>
      </c>
      <c r="F250" s="286"/>
      <c r="G250" s="286"/>
      <c r="H250" s="286"/>
      <c r="I250" s="286"/>
      <c r="J250" s="286"/>
      <c r="K250" s="286"/>
      <c r="L250" s="286"/>
      <c r="M250" s="286"/>
      <c r="N250" s="286"/>
      <c r="O250" s="286"/>
      <c r="P250" s="286"/>
      <c r="Q250" s="286"/>
    </row>
    <row r="251" spans="1:17">
      <c r="A251" s="286"/>
      <c r="B251" s="796" t="s">
        <v>900</v>
      </c>
      <c r="C251" s="765" t="s">
        <v>63</v>
      </c>
      <c r="D251" s="927">
        <v>6000</v>
      </c>
      <c r="E251" s="801">
        <v>5000</v>
      </c>
      <c r="F251" s="286"/>
      <c r="G251" s="286"/>
      <c r="H251" s="286"/>
      <c r="I251" s="286"/>
      <c r="J251" s="286"/>
      <c r="K251" s="286"/>
      <c r="L251" s="286"/>
      <c r="M251" s="286"/>
      <c r="N251" s="286"/>
      <c r="O251" s="286"/>
      <c r="P251" s="286"/>
      <c r="Q251" s="286"/>
    </row>
    <row r="252" spans="1:17">
      <c r="A252" s="286"/>
      <c r="B252" s="796" t="s">
        <v>901</v>
      </c>
      <c r="C252" s="765" t="s">
        <v>63</v>
      </c>
      <c r="D252" s="927">
        <v>6000</v>
      </c>
      <c r="E252" s="801">
        <v>5000</v>
      </c>
      <c r="F252" s="286"/>
      <c r="G252" s="286"/>
      <c r="H252" s="286"/>
      <c r="I252" s="286"/>
      <c r="J252" s="286"/>
      <c r="K252" s="286"/>
      <c r="L252" s="286"/>
      <c r="M252" s="286"/>
      <c r="N252" s="286"/>
      <c r="O252" s="286"/>
      <c r="P252" s="286"/>
      <c r="Q252" s="286"/>
    </row>
    <row r="253" spans="1:17">
      <c r="A253" s="286"/>
      <c r="B253" s="796" t="s">
        <v>902</v>
      </c>
      <c r="C253" s="765" t="s">
        <v>63</v>
      </c>
      <c r="D253" s="927">
        <v>6000</v>
      </c>
      <c r="E253" s="801">
        <v>5000</v>
      </c>
      <c r="F253" s="286"/>
      <c r="G253" s="286"/>
      <c r="H253" s="286"/>
      <c r="I253" s="286"/>
      <c r="J253" s="286"/>
      <c r="K253" s="286"/>
      <c r="L253" s="286"/>
      <c r="M253" s="286"/>
      <c r="N253" s="286"/>
      <c r="O253" s="286"/>
      <c r="P253" s="286"/>
      <c r="Q253" s="286"/>
    </row>
    <row r="254" spans="1:17">
      <c r="A254" s="286"/>
      <c r="B254" s="796" t="s">
        <v>903</v>
      </c>
      <c r="C254" s="765" t="s">
        <v>63</v>
      </c>
      <c r="D254" s="927">
        <v>6000</v>
      </c>
      <c r="E254" s="801">
        <v>5000</v>
      </c>
      <c r="F254" s="286"/>
      <c r="G254" s="286"/>
      <c r="H254" s="286"/>
      <c r="I254" s="286"/>
      <c r="J254" s="286"/>
      <c r="K254" s="286"/>
      <c r="L254" s="286"/>
      <c r="M254" s="286"/>
      <c r="N254" s="286"/>
      <c r="O254" s="286"/>
      <c r="P254" s="286"/>
      <c r="Q254" s="286"/>
    </row>
    <row r="255" spans="1:17">
      <c r="A255" s="286"/>
      <c r="B255" s="796" t="s">
        <v>904</v>
      </c>
      <c r="C255" s="765" t="s">
        <v>63</v>
      </c>
      <c r="D255" s="927">
        <v>6000</v>
      </c>
      <c r="E255" s="801">
        <v>5000</v>
      </c>
      <c r="F255" s="286"/>
      <c r="G255" s="286"/>
      <c r="H255" s="286"/>
      <c r="I255" s="286"/>
      <c r="J255" s="286"/>
      <c r="K255" s="286"/>
      <c r="L255" s="286"/>
      <c r="M255" s="286"/>
      <c r="N255" s="286"/>
      <c r="O255" s="286"/>
      <c r="P255" s="286"/>
      <c r="Q255" s="286"/>
    </row>
    <row r="256" spans="1:17">
      <c r="A256" s="286"/>
      <c r="B256" s="286"/>
      <c r="C256" s="286"/>
      <c r="D256" s="928"/>
      <c r="E256" s="286"/>
      <c r="F256" s="286"/>
      <c r="G256" s="286"/>
      <c r="H256" s="286"/>
      <c r="I256" s="286"/>
      <c r="J256" s="286"/>
      <c r="K256" s="286"/>
      <c r="L256" s="286"/>
      <c r="M256" s="286"/>
      <c r="N256" s="286"/>
      <c r="O256" s="286"/>
      <c r="P256" s="286"/>
      <c r="Q256" s="286"/>
    </row>
    <row r="257" spans="1:17">
      <c r="A257" s="286"/>
      <c r="B257" s="780" t="s">
        <v>918</v>
      </c>
      <c r="C257" s="765"/>
      <c r="D257" s="929"/>
      <c r="E257" s="795"/>
      <c r="F257" s="286"/>
      <c r="G257" s="286"/>
      <c r="H257" s="286"/>
      <c r="I257" s="286"/>
      <c r="J257" s="286"/>
      <c r="K257" s="286"/>
      <c r="L257" s="286"/>
      <c r="M257" s="286"/>
      <c r="N257" s="286"/>
      <c r="O257" s="286"/>
      <c r="P257" s="286"/>
      <c r="Q257" s="286"/>
    </row>
    <row r="258" spans="1:17">
      <c r="A258" s="286"/>
      <c r="B258" s="796" t="s">
        <v>460</v>
      </c>
      <c r="C258" s="765" t="s">
        <v>63</v>
      </c>
      <c r="D258" s="927">
        <v>6000</v>
      </c>
      <c r="E258" s="801">
        <v>5000</v>
      </c>
      <c r="F258" s="286"/>
      <c r="G258" s="286"/>
      <c r="H258" s="286"/>
      <c r="I258" s="286"/>
      <c r="J258" s="286"/>
      <c r="K258" s="286"/>
      <c r="L258" s="286"/>
      <c r="M258" s="286"/>
      <c r="N258" s="286"/>
      <c r="O258" s="286"/>
      <c r="P258" s="286"/>
      <c r="Q258" s="286"/>
    </row>
    <row r="259" spans="1:17">
      <c r="A259" s="286"/>
      <c r="B259" s="796" t="s">
        <v>461</v>
      </c>
      <c r="C259" s="765" t="s">
        <v>63</v>
      </c>
      <c r="D259" s="927">
        <v>6000</v>
      </c>
      <c r="E259" s="801">
        <v>5000</v>
      </c>
      <c r="F259" s="286"/>
      <c r="G259" s="286"/>
      <c r="H259" s="286"/>
      <c r="I259" s="286"/>
      <c r="J259" s="286"/>
      <c r="K259" s="286"/>
      <c r="L259" s="286"/>
      <c r="M259" s="286"/>
      <c r="N259" s="286"/>
      <c r="O259" s="286"/>
      <c r="P259" s="286"/>
      <c r="Q259" s="286"/>
    </row>
    <row r="260" spans="1:17">
      <c r="A260" s="286"/>
      <c r="B260" s="796" t="s">
        <v>462</v>
      </c>
      <c r="C260" s="765" t="s">
        <v>63</v>
      </c>
      <c r="D260" s="927">
        <v>6000</v>
      </c>
      <c r="E260" s="801">
        <v>5000</v>
      </c>
      <c r="F260" s="286"/>
      <c r="G260" s="286"/>
      <c r="H260" s="286"/>
      <c r="I260" s="286"/>
      <c r="J260" s="286"/>
      <c r="K260" s="286"/>
      <c r="L260" s="286"/>
      <c r="M260" s="286"/>
      <c r="N260" s="286"/>
      <c r="O260" s="286"/>
      <c r="P260" s="286"/>
      <c r="Q260" s="286"/>
    </row>
    <row r="261" spans="1:17">
      <c r="A261" s="286"/>
      <c r="B261" s="796" t="s">
        <v>463</v>
      </c>
      <c r="C261" s="765" t="s">
        <v>63</v>
      </c>
      <c r="D261" s="927">
        <v>6000</v>
      </c>
      <c r="E261" s="801">
        <v>5000</v>
      </c>
      <c r="F261" s="286"/>
      <c r="G261" s="286"/>
      <c r="H261" s="286"/>
      <c r="I261" s="286"/>
      <c r="J261" s="286"/>
      <c r="K261" s="286"/>
      <c r="L261" s="286"/>
      <c r="M261" s="286"/>
      <c r="N261" s="286"/>
      <c r="O261" s="286"/>
      <c r="P261" s="286"/>
      <c r="Q261" s="286"/>
    </row>
    <row r="262" spans="1:17">
      <c r="A262" s="286"/>
      <c r="B262" s="796" t="s">
        <v>464</v>
      </c>
      <c r="C262" s="765" t="s">
        <v>63</v>
      </c>
      <c r="D262" s="927">
        <v>6000</v>
      </c>
      <c r="E262" s="801">
        <v>5000</v>
      </c>
      <c r="F262" s="286"/>
      <c r="G262" s="286"/>
      <c r="H262" s="286"/>
      <c r="I262" s="286"/>
      <c r="J262" s="286"/>
      <c r="K262" s="286"/>
      <c r="L262" s="286"/>
      <c r="M262" s="286"/>
      <c r="N262" s="286"/>
      <c r="O262" s="286"/>
      <c r="P262" s="286"/>
      <c r="Q262" s="286"/>
    </row>
    <row r="263" spans="1:17">
      <c r="A263" s="286"/>
      <c r="B263" s="796" t="s">
        <v>465</v>
      </c>
      <c r="C263" s="765" t="s">
        <v>63</v>
      </c>
      <c r="D263" s="927">
        <v>6000</v>
      </c>
      <c r="E263" s="801">
        <v>5000</v>
      </c>
      <c r="F263" s="286"/>
      <c r="G263" s="286"/>
      <c r="H263" s="286"/>
      <c r="I263" s="286"/>
      <c r="J263" s="286"/>
      <c r="K263" s="286"/>
      <c r="L263" s="286"/>
      <c r="M263" s="286"/>
      <c r="N263" s="286"/>
      <c r="O263" s="286"/>
      <c r="P263" s="286"/>
      <c r="Q263" s="286"/>
    </row>
    <row r="264" spans="1:17">
      <c r="A264" s="286"/>
      <c r="B264" s="796" t="s">
        <v>900</v>
      </c>
      <c r="C264" s="765" t="s">
        <v>63</v>
      </c>
      <c r="D264" s="927">
        <v>6000</v>
      </c>
      <c r="E264" s="801">
        <v>5000</v>
      </c>
      <c r="F264" s="286"/>
      <c r="G264" s="286"/>
      <c r="H264" s="286"/>
      <c r="I264" s="286"/>
      <c r="J264" s="286"/>
      <c r="K264" s="286"/>
      <c r="L264" s="286"/>
      <c r="M264" s="286"/>
      <c r="N264" s="286"/>
      <c r="O264" s="286"/>
      <c r="P264" s="286"/>
      <c r="Q264" s="286"/>
    </row>
    <row r="265" spans="1:17">
      <c r="A265" s="286"/>
      <c r="B265" s="796" t="s">
        <v>901</v>
      </c>
      <c r="C265" s="765" t="s">
        <v>63</v>
      </c>
      <c r="D265" s="927">
        <v>6000</v>
      </c>
      <c r="E265" s="801">
        <v>5000</v>
      </c>
      <c r="F265" s="286"/>
      <c r="G265" s="286"/>
      <c r="H265" s="286"/>
      <c r="I265" s="286"/>
      <c r="J265" s="286"/>
      <c r="K265" s="286"/>
      <c r="L265" s="286"/>
      <c r="M265" s="286"/>
      <c r="N265" s="286"/>
      <c r="O265" s="286"/>
      <c r="P265" s="286"/>
      <c r="Q265" s="286"/>
    </row>
    <row r="266" spans="1:17">
      <c r="A266" s="286"/>
      <c r="B266" s="796" t="s">
        <v>902</v>
      </c>
      <c r="C266" s="765" t="s">
        <v>63</v>
      </c>
      <c r="D266" s="927">
        <v>6000</v>
      </c>
      <c r="E266" s="801">
        <v>5000</v>
      </c>
      <c r="F266" s="286"/>
      <c r="G266" s="286"/>
      <c r="H266" s="286"/>
      <c r="I266" s="286"/>
      <c r="J266" s="286"/>
      <c r="K266" s="286"/>
      <c r="L266" s="286"/>
      <c r="M266" s="286"/>
      <c r="N266" s="286"/>
      <c r="O266" s="286"/>
      <c r="P266" s="286"/>
      <c r="Q266" s="286"/>
    </row>
    <row r="267" spans="1:17">
      <c r="A267" s="286"/>
      <c r="B267" s="796" t="s">
        <v>903</v>
      </c>
      <c r="C267" s="765" t="s">
        <v>63</v>
      </c>
      <c r="D267" s="927">
        <v>6000</v>
      </c>
      <c r="E267" s="801">
        <v>5000</v>
      </c>
      <c r="F267" s="286"/>
      <c r="G267" s="286"/>
      <c r="H267" s="286"/>
      <c r="I267" s="286"/>
      <c r="J267" s="286"/>
      <c r="K267" s="286"/>
      <c r="L267" s="286"/>
      <c r="M267" s="286"/>
      <c r="N267" s="286"/>
      <c r="O267" s="286"/>
      <c r="P267" s="286"/>
      <c r="Q267" s="286"/>
    </row>
    <row r="268" spans="1:17">
      <c r="A268" s="286"/>
      <c r="B268" s="796" t="s">
        <v>904</v>
      </c>
      <c r="C268" s="765" t="s">
        <v>63</v>
      </c>
      <c r="D268" s="927">
        <v>6000</v>
      </c>
      <c r="E268" s="801">
        <v>5000</v>
      </c>
      <c r="F268" s="286"/>
      <c r="G268" s="286"/>
      <c r="H268" s="286"/>
      <c r="I268" s="286"/>
      <c r="J268" s="286"/>
      <c r="K268" s="286"/>
      <c r="L268" s="286"/>
      <c r="M268" s="286"/>
      <c r="N268" s="286"/>
      <c r="O268" s="286"/>
      <c r="P268" s="286"/>
      <c r="Q268" s="286"/>
    </row>
    <row r="269" spans="1:17">
      <c r="A269" s="286"/>
      <c r="B269" s="923"/>
      <c r="C269" s="924"/>
      <c r="D269" s="925"/>
      <c r="E269" s="925"/>
      <c r="F269" s="286"/>
      <c r="G269" s="286"/>
      <c r="H269" s="286"/>
      <c r="I269" s="286"/>
      <c r="J269" s="286"/>
      <c r="K269" s="286"/>
      <c r="L269" s="286"/>
      <c r="M269" s="286"/>
      <c r="N269" s="286"/>
      <c r="O269" s="286"/>
      <c r="P269" s="286"/>
      <c r="Q269" s="286"/>
    </row>
    <row r="270" spans="1:17">
      <c r="A270" s="286"/>
      <c r="B270" s="686" t="s">
        <v>481</v>
      </c>
      <c r="C270" s="686" t="s">
        <v>155</v>
      </c>
      <c r="D270" s="686"/>
      <c r="E270" s="983">
        <f>E204</f>
        <v>22000</v>
      </c>
      <c r="F270" s="286"/>
      <c r="G270" s="286"/>
      <c r="H270" s="286"/>
      <c r="I270" s="286"/>
      <c r="J270" s="286"/>
      <c r="K270" s="286"/>
      <c r="L270" s="286"/>
      <c r="M270" s="286"/>
      <c r="N270" s="286"/>
      <c r="O270" s="286"/>
      <c r="P270" s="286"/>
      <c r="Q270" s="286"/>
    </row>
    <row r="271" spans="1:17" ht="30">
      <c r="A271" s="286"/>
      <c r="B271" s="863" t="s">
        <v>601</v>
      </c>
      <c r="C271" s="769" t="s">
        <v>85</v>
      </c>
      <c r="D271" s="888"/>
      <c r="E271" s="982">
        <f>D145</f>
        <v>3500</v>
      </c>
      <c r="F271" s="286"/>
      <c r="G271" s="286"/>
      <c r="H271" s="286"/>
      <c r="I271" s="286"/>
      <c r="J271" s="286"/>
      <c r="K271" s="286"/>
      <c r="L271" s="286"/>
      <c r="M271" s="286"/>
      <c r="N271" s="286"/>
      <c r="O271" s="286"/>
      <c r="P271" s="286"/>
      <c r="Q271" s="286"/>
    </row>
    <row r="272" spans="1:17">
      <c r="A272" s="286"/>
      <c r="B272" s="796" t="s">
        <v>576</v>
      </c>
      <c r="C272" s="865" t="s">
        <v>148</v>
      </c>
      <c r="D272" s="864"/>
      <c r="E272" s="893">
        <f>E206</f>
        <v>45</v>
      </c>
      <c r="F272" s="286"/>
      <c r="G272" s="286"/>
      <c r="H272" s="286"/>
      <c r="I272" s="286"/>
      <c r="J272" s="286"/>
      <c r="K272" s="286"/>
      <c r="L272" s="286"/>
      <c r="M272" s="286"/>
      <c r="N272" s="286"/>
      <c r="O272" s="286"/>
      <c r="P272" s="286"/>
      <c r="Q272" s="286"/>
    </row>
    <row r="273" spans="1:17">
      <c r="A273" s="286"/>
      <c r="B273" s="286"/>
      <c r="C273" s="286"/>
      <c r="D273" s="286"/>
      <c r="E273" s="286"/>
      <c r="F273" s="286"/>
      <c r="G273" s="286"/>
      <c r="H273" s="286"/>
      <c r="I273" s="286"/>
      <c r="J273" s="286"/>
      <c r="K273" s="286"/>
      <c r="L273" s="286"/>
      <c r="M273" s="286"/>
      <c r="N273" s="286"/>
      <c r="O273" s="286"/>
      <c r="P273" s="286"/>
      <c r="Q273" s="286"/>
    </row>
    <row r="274" spans="1:17">
      <c r="A274" s="286"/>
      <c r="B274" s="286"/>
      <c r="C274" s="286"/>
      <c r="D274" s="286"/>
      <c r="E274" s="286"/>
      <c r="F274" s="286"/>
      <c r="G274" s="286"/>
      <c r="H274" s="286"/>
      <c r="I274" s="286"/>
      <c r="J274" s="286"/>
      <c r="K274" s="286"/>
      <c r="L274" s="286"/>
      <c r="M274" s="286"/>
      <c r="N274" s="286"/>
      <c r="O274" s="286"/>
      <c r="P274" s="286"/>
      <c r="Q274" s="286"/>
    </row>
    <row r="275" spans="1:17">
      <c r="A275" s="286"/>
      <c r="B275" s="923"/>
      <c r="C275" s="924"/>
      <c r="D275" s="925"/>
      <c r="E275" s="925"/>
      <c r="F275" s="286"/>
      <c r="G275" s="286"/>
      <c r="H275" s="286"/>
      <c r="I275" s="286"/>
      <c r="J275" s="286"/>
      <c r="K275" s="286"/>
      <c r="L275" s="286"/>
      <c r="M275" s="286"/>
      <c r="N275" s="286"/>
      <c r="O275" s="286"/>
      <c r="P275" s="286"/>
      <c r="Q275" s="286"/>
    </row>
    <row r="276" spans="1:17">
      <c r="A276" s="286"/>
      <c r="B276" s="923"/>
      <c r="C276" s="924"/>
      <c r="D276" s="925"/>
      <c r="E276" s="925"/>
      <c r="F276" s="286"/>
      <c r="G276" s="286"/>
      <c r="H276" s="286"/>
      <c r="I276" s="286"/>
      <c r="J276" s="286"/>
      <c r="K276" s="286"/>
      <c r="L276" s="286"/>
      <c r="M276" s="286"/>
      <c r="N276" s="286"/>
      <c r="O276" s="286"/>
      <c r="P276" s="286"/>
      <c r="Q276" s="286"/>
    </row>
    <row r="277" spans="1:17" ht="14.5" customHeight="1">
      <c r="A277" s="1165" t="s">
        <v>876</v>
      </c>
      <c r="B277" s="1165"/>
      <c r="C277" s="1165"/>
      <c r="D277" s="1165"/>
      <c r="E277" s="1165"/>
      <c r="F277" s="1165"/>
      <c r="G277" s="1165"/>
      <c r="H277" s="1165"/>
      <c r="I277" s="1165"/>
      <c r="J277" s="1165"/>
      <c r="K277" s="1165"/>
      <c r="L277" s="1165"/>
      <c r="M277" s="1165"/>
      <c r="N277" s="1165"/>
      <c r="O277" s="1165"/>
      <c r="P277" s="1165"/>
      <c r="Q277" s="1165"/>
    </row>
    <row r="278" spans="1:17" ht="14.5" customHeight="1">
      <c r="A278" s="1165"/>
      <c r="B278" s="1165"/>
      <c r="C278" s="1165"/>
      <c r="D278" s="1165"/>
      <c r="E278" s="1165"/>
      <c r="F278" s="1165"/>
      <c r="G278" s="1165"/>
      <c r="H278" s="1165"/>
      <c r="I278" s="1165"/>
      <c r="J278" s="1165"/>
      <c r="K278" s="1165"/>
      <c r="L278" s="1165"/>
      <c r="M278" s="1165"/>
      <c r="N278" s="1165"/>
      <c r="O278" s="1165"/>
      <c r="P278" s="1165"/>
      <c r="Q278" s="1165"/>
    </row>
    <row r="279" spans="1:17">
      <c r="A279" s="286"/>
      <c r="B279" s="286"/>
      <c r="C279" s="286"/>
      <c r="D279" s="286"/>
      <c r="E279" s="286"/>
      <c r="F279" s="286"/>
      <c r="G279" s="286"/>
      <c r="H279" s="286"/>
      <c r="I279" s="286"/>
      <c r="J279" s="286"/>
      <c r="K279" s="286"/>
      <c r="L279" s="286"/>
      <c r="M279" s="286"/>
      <c r="N279" s="286"/>
      <c r="O279" s="286"/>
      <c r="P279" s="286"/>
      <c r="Q279" s="286"/>
    </row>
    <row r="280" spans="1:17" ht="19">
      <c r="A280" s="286"/>
      <c r="B280" s="286"/>
      <c r="C280" s="286"/>
      <c r="D280" s="286"/>
      <c r="E280" s="286"/>
      <c r="F280" s="286"/>
      <c r="G280" s="286"/>
      <c r="H280" s="286"/>
      <c r="I280" s="286"/>
      <c r="J280" s="997" t="s">
        <v>500</v>
      </c>
      <c r="K280" s="286"/>
      <c r="L280" s="286"/>
      <c r="M280" s="286"/>
      <c r="N280" s="286"/>
      <c r="O280" s="286"/>
      <c r="P280" s="286"/>
      <c r="Q280" s="286"/>
    </row>
    <row r="281" spans="1:17">
      <c r="A281" s="286"/>
      <c r="B281" s="286"/>
      <c r="C281" s="286"/>
      <c r="D281" s="286"/>
      <c r="E281" s="286"/>
      <c r="F281" s="286"/>
      <c r="G281" s="286"/>
      <c r="H281" s="286"/>
      <c r="I281" s="286"/>
      <c r="J281" s="915">
        <v>1</v>
      </c>
      <c r="K281" s="686" t="s">
        <v>501</v>
      </c>
      <c r="L281" s="1013">
        <v>3650</v>
      </c>
      <c r="M281" s="1013">
        <v>4</v>
      </c>
      <c r="N281" s="541"/>
      <c r="O281" s="286"/>
      <c r="P281" s="286"/>
      <c r="Q281" s="286"/>
    </row>
    <row r="282" spans="1:17">
      <c r="A282" s="286"/>
      <c r="B282" s="851" t="s">
        <v>503</v>
      </c>
      <c r="C282" s="986"/>
      <c r="D282" s="987"/>
      <c r="E282" s="988"/>
      <c r="F282" s="852" t="s">
        <v>185</v>
      </c>
      <c r="G282" s="286"/>
      <c r="H282" s="286"/>
      <c r="I282" s="286"/>
      <c r="J282" s="915">
        <v>2</v>
      </c>
      <c r="K282" s="686" t="s">
        <v>501</v>
      </c>
      <c r="L282" s="1013">
        <v>3050</v>
      </c>
      <c r="M282" s="1013">
        <v>10</v>
      </c>
      <c r="N282" s="541"/>
      <c r="O282" s="286"/>
      <c r="P282" s="286"/>
      <c r="Q282" s="286"/>
    </row>
    <row r="283" spans="1:17">
      <c r="A283" s="286"/>
      <c r="B283" s="990" t="s">
        <v>504</v>
      </c>
      <c r="C283" s="986" t="s">
        <v>148</v>
      </c>
      <c r="D283" s="1017">
        <v>156.19999999999999</v>
      </c>
      <c r="E283" s="1016" t="s">
        <v>864</v>
      </c>
      <c r="F283" s="996"/>
      <c r="G283" s="286"/>
      <c r="H283" s="286"/>
      <c r="I283" s="286"/>
      <c r="J283" s="915">
        <v>3</v>
      </c>
      <c r="K283" s="686" t="s">
        <v>501</v>
      </c>
      <c r="L283" s="1013">
        <v>2950</v>
      </c>
      <c r="M283" s="1013">
        <v>8</v>
      </c>
      <c r="N283" s="541"/>
      <c r="O283" s="286"/>
      <c r="P283" s="286"/>
      <c r="Q283" s="286"/>
    </row>
    <row r="284" spans="1:17" ht="30">
      <c r="A284" s="286"/>
      <c r="B284" s="991" t="s">
        <v>506</v>
      </c>
      <c r="C284" s="986" t="s">
        <v>507</v>
      </c>
      <c r="D284" s="1014">
        <v>54</v>
      </c>
      <c r="E284" s="988"/>
      <c r="F284" s="444">
        <v>2619</v>
      </c>
      <c r="G284" s="286"/>
      <c r="H284" s="286"/>
      <c r="I284" s="286"/>
      <c r="J284" s="915">
        <v>4</v>
      </c>
      <c r="K284" s="686" t="s">
        <v>501</v>
      </c>
      <c r="L284" s="1013">
        <v>2600</v>
      </c>
      <c r="M284" s="1013">
        <v>31</v>
      </c>
      <c r="N284" s="541"/>
      <c r="O284" s="286"/>
      <c r="P284" s="286"/>
      <c r="Q284" s="286"/>
    </row>
    <row r="285" spans="1:17">
      <c r="A285" s="286"/>
      <c r="B285" s="992" t="s">
        <v>509</v>
      </c>
      <c r="C285" s="989" t="s">
        <v>170</v>
      </c>
      <c r="D285" s="1013">
        <v>19</v>
      </c>
      <c r="E285" s="989"/>
      <c r="F285" s="444">
        <v>1650</v>
      </c>
      <c r="G285" s="286"/>
      <c r="H285" s="286"/>
      <c r="I285" s="286"/>
      <c r="J285" s="915">
        <v>5</v>
      </c>
      <c r="K285" s="686" t="s">
        <v>501</v>
      </c>
      <c r="L285" s="1013">
        <v>2250</v>
      </c>
      <c r="M285" s="1013">
        <v>3</v>
      </c>
      <c r="N285" s="541"/>
      <c r="O285" s="286"/>
      <c r="P285" s="286"/>
      <c r="Q285" s="286"/>
    </row>
    <row r="286" spans="1:17">
      <c r="A286" s="286"/>
      <c r="B286" s="992" t="s">
        <v>511</v>
      </c>
      <c r="C286" s="989" t="s">
        <v>168</v>
      </c>
      <c r="D286" s="1013">
        <v>4</v>
      </c>
      <c r="E286" s="989"/>
      <c r="F286" s="444">
        <v>3800</v>
      </c>
      <c r="G286" s="286"/>
      <c r="H286" s="286"/>
      <c r="I286" s="286"/>
      <c r="J286" s="915">
        <v>6</v>
      </c>
      <c r="K286" s="686" t="s">
        <v>501</v>
      </c>
      <c r="L286" s="1013">
        <v>1550</v>
      </c>
      <c r="M286" s="1013">
        <v>4</v>
      </c>
      <c r="N286" s="541"/>
      <c r="O286" s="286"/>
      <c r="P286" s="286"/>
      <c r="Q286" s="286"/>
    </row>
    <row r="287" spans="1:17">
      <c r="A287" s="286"/>
      <c r="B287" s="992" t="s">
        <v>513</v>
      </c>
      <c r="C287" s="989" t="s">
        <v>514</v>
      </c>
      <c r="D287" s="1013">
        <v>0</v>
      </c>
      <c r="E287" s="989"/>
      <c r="F287" s="444">
        <v>2271</v>
      </c>
      <c r="G287" s="286"/>
      <c r="H287" s="286"/>
      <c r="I287" s="286"/>
      <c r="J287" s="915">
        <v>7</v>
      </c>
      <c r="K287" s="686" t="s">
        <v>501</v>
      </c>
      <c r="L287" s="1013">
        <v>1200</v>
      </c>
      <c r="M287" s="1013">
        <v>8</v>
      </c>
      <c r="N287" s="541"/>
      <c r="O287" s="286"/>
      <c r="P287" s="286"/>
      <c r="Q287" s="286"/>
    </row>
    <row r="288" spans="1:17">
      <c r="A288" s="286"/>
      <c r="B288" s="992" t="s">
        <v>516</v>
      </c>
      <c r="C288" s="989" t="s">
        <v>514</v>
      </c>
      <c r="D288" s="1013">
        <v>1</v>
      </c>
      <c r="E288" s="989"/>
      <c r="F288" s="444">
        <v>4500</v>
      </c>
      <c r="G288" s="286"/>
      <c r="H288" s="286"/>
      <c r="I288" s="286"/>
      <c r="J288" s="915">
        <v>8</v>
      </c>
      <c r="K288" s="686" t="s">
        <v>501</v>
      </c>
      <c r="L288" s="1013">
        <v>0</v>
      </c>
      <c r="M288" s="1013">
        <v>0</v>
      </c>
      <c r="N288" s="541"/>
      <c r="O288" s="286"/>
      <c r="P288" s="286"/>
      <c r="Q288" s="286"/>
    </row>
    <row r="289" spans="1:17">
      <c r="A289" s="286"/>
      <c r="B289" s="992" t="s">
        <v>517</v>
      </c>
      <c r="C289" s="989" t="s">
        <v>85</v>
      </c>
      <c r="D289" s="1013">
        <v>0</v>
      </c>
      <c r="E289" s="989"/>
      <c r="F289" s="444">
        <v>1315</v>
      </c>
      <c r="G289" s="286"/>
      <c r="H289" s="286"/>
      <c r="I289" s="286"/>
      <c r="J289" s="915">
        <v>9</v>
      </c>
      <c r="K289" s="686" t="s">
        <v>501</v>
      </c>
      <c r="L289" s="1013">
        <v>0</v>
      </c>
      <c r="M289" s="1013">
        <v>0</v>
      </c>
      <c r="N289" s="541"/>
      <c r="O289" s="286"/>
      <c r="P289" s="286"/>
      <c r="Q289" s="286"/>
    </row>
    <row r="290" spans="1:17">
      <c r="A290" s="286"/>
      <c r="B290" s="992" t="s">
        <v>520</v>
      </c>
      <c r="C290" s="989" t="s">
        <v>85</v>
      </c>
      <c r="D290" s="1013">
        <v>0</v>
      </c>
      <c r="E290" s="989"/>
      <c r="F290" s="444">
        <v>500</v>
      </c>
      <c r="G290" s="286"/>
      <c r="H290" s="286"/>
      <c r="I290" s="286"/>
      <c r="J290" s="915">
        <v>10</v>
      </c>
      <c r="K290" s="686" t="s">
        <v>501</v>
      </c>
      <c r="L290" s="1013">
        <v>0</v>
      </c>
      <c r="M290" s="1013">
        <v>0</v>
      </c>
      <c r="N290" s="541"/>
      <c r="O290" s="286"/>
      <c r="P290" s="286"/>
      <c r="Q290" s="286"/>
    </row>
    <row r="291" spans="1:17">
      <c r="A291" s="286"/>
      <c r="B291" s="992" t="s">
        <v>522</v>
      </c>
      <c r="C291" s="989" t="s">
        <v>85</v>
      </c>
      <c r="D291" s="1013">
        <v>21</v>
      </c>
      <c r="E291" s="989"/>
      <c r="F291" s="444">
        <v>500</v>
      </c>
      <c r="G291" s="286"/>
      <c r="H291" s="286"/>
      <c r="I291" s="286"/>
      <c r="J291" s="915">
        <v>11</v>
      </c>
      <c r="K291" s="686" t="s">
        <v>501</v>
      </c>
      <c r="L291" s="1013">
        <v>0</v>
      </c>
      <c r="M291" s="1013">
        <v>0</v>
      </c>
      <c r="N291" s="541"/>
      <c r="O291" s="286"/>
      <c r="P291" s="286"/>
      <c r="Q291" s="286"/>
    </row>
    <row r="292" spans="1:17">
      <c r="A292" s="286"/>
      <c r="B292" s="992" t="s">
        <v>523</v>
      </c>
      <c r="C292" s="989" t="s">
        <v>85</v>
      </c>
      <c r="D292" s="1013">
        <v>11</v>
      </c>
      <c r="E292" s="989"/>
      <c r="F292" s="444">
        <v>500</v>
      </c>
      <c r="G292" s="286"/>
      <c r="H292" s="286"/>
      <c r="I292" s="286"/>
      <c r="J292" s="915">
        <v>12</v>
      </c>
      <c r="K292" s="686" t="s">
        <v>501</v>
      </c>
      <c r="L292" s="1013">
        <v>0</v>
      </c>
      <c r="M292" s="1013">
        <v>0</v>
      </c>
      <c r="N292" s="541"/>
      <c r="O292" s="286"/>
      <c r="P292" s="286"/>
      <c r="Q292" s="286"/>
    </row>
    <row r="293" spans="1:17">
      <c r="A293" s="286"/>
      <c r="B293" s="992" t="s">
        <v>524</v>
      </c>
      <c r="C293" s="989" t="s">
        <v>85</v>
      </c>
      <c r="D293" s="1013">
        <v>11</v>
      </c>
      <c r="E293" s="989"/>
      <c r="F293" s="444">
        <v>500</v>
      </c>
      <c r="G293" s="286"/>
      <c r="H293" s="286"/>
      <c r="I293" s="286"/>
      <c r="J293" s="915">
        <v>13</v>
      </c>
      <c r="K293" s="686" t="s">
        <v>501</v>
      </c>
      <c r="L293" s="1013">
        <v>0</v>
      </c>
      <c r="M293" s="1013">
        <v>0</v>
      </c>
      <c r="N293" s="541"/>
      <c r="O293" s="286"/>
      <c r="P293" s="286"/>
      <c r="Q293" s="286"/>
    </row>
    <row r="294" spans="1:17">
      <c r="A294" s="286"/>
      <c r="B294" s="992" t="s">
        <v>525</v>
      </c>
      <c r="C294" s="989" t="s">
        <v>85</v>
      </c>
      <c r="D294" s="1013">
        <v>3</v>
      </c>
      <c r="E294" s="989"/>
      <c r="F294" s="444">
        <v>500</v>
      </c>
      <c r="G294" s="286"/>
      <c r="H294" s="286"/>
      <c r="I294" s="286"/>
      <c r="J294" s="915">
        <v>14</v>
      </c>
      <c r="K294" s="686" t="s">
        <v>501</v>
      </c>
      <c r="L294" s="1013">
        <v>0</v>
      </c>
      <c r="M294" s="1013">
        <v>0</v>
      </c>
      <c r="N294" s="541"/>
      <c r="O294" s="286"/>
      <c r="P294" s="286"/>
      <c r="Q294" s="286"/>
    </row>
    <row r="295" spans="1:17">
      <c r="A295" s="286"/>
      <c r="B295" s="992" t="s">
        <v>526</v>
      </c>
      <c r="C295" s="989" t="s">
        <v>168</v>
      </c>
      <c r="D295" s="1013">
        <v>4</v>
      </c>
      <c r="E295" s="989"/>
      <c r="F295" s="444">
        <v>1000</v>
      </c>
      <c r="G295" s="286"/>
      <c r="H295" s="286"/>
      <c r="I295" s="286"/>
      <c r="J295" s="915">
        <v>15</v>
      </c>
      <c r="K295" s="686" t="s">
        <v>501</v>
      </c>
      <c r="L295" s="1013">
        <v>0</v>
      </c>
      <c r="M295" s="1013">
        <v>0</v>
      </c>
      <c r="N295" s="541"/>
      <c r="O295" s="286"/>
      <c r="P295" s="286"/>
      <c r="Q295" s="286"/>
    </row>
    <row r="296" spans="1:17">
      <c r="A296" s="286"/>
      <c r="B296" s="992" t="s">
        <v>527</v>
      </c>
      <c r="C296" s="989" t="s">
        <v>168</v>
      </c>
      <c r="D296" s="1013">
        <v>1</v>
      </c>
      <c r="E296" s="989"/>
      <c r="F296" s="444">
        <v>1000</v>
      </c>
      <c r="G296" s="286"/>
      <c r="H296" s="286"/>
      <c r="I296" s="286"/>
      <c r="J296" s="915">
        <v>16</v>
      </c>
      <c r="K296" s="686" t="s">
        <v>501</v>
      </c>
      <c r="L296" s="1013">
        <v>0</v>
      </c>
      <c r="M296" s="1013">
        <v>0</v>
      </c>
      <c r="N296" s="541"/>
      <c r="O296" s="286"/>
      <c r="P296" s="286"/>
      <c r="Q296" s="286"/>
    </row>
    <row r="297" spans="1:17">
      <c r="A297" s="286"/>
      <c r="B297" s="992" t="s">
        <v>528</v>
      </c>
      <c r="C297" s="989" t="s">
        <v>85</v>
      </c>
      <c r="D297" s="1013">
        <v>1</v>
      </c>
      <c r="E297" s="989"/>
      <c r="F297" s="444">
        <v>2500</v>
      </c>
      <c r="G297" s="286"/>
      <c r="H297" s="286"/>
      <c r="I297" s="286"/>
      <c r="J297" s="915">
        <v>17</v>
      </c>
      <c r="K297" s="686" t="s">
        <v>501</v>
      </c>
      <c r="L297" s="1013">
        <v>0</v>
      </c>
      <c r="M297" s="1013">
        <v>0</v>
      </c>
      <c r="N297" s="541"/>
      <c r="O297" s="286"/>
      <c r="P297" s="286"/>
      <c r="Q297" s="286"/>
    </row>
    <row r="298" spans="1:17">
      <c r="A298" s="286"/>
      <c r="B298" s="992" t="s">
        <v>529</v>
      </c>
      <c r="C298" s="989" t="s">
        <v>85</v>
      </c>
      <c r="D298" s="1013">
        <v>3</v>
      </c>
      <c r="E298" s="989"/>
      <c r="F298" s="444">
        <v>4500</v>
      </c>
      <c r="G298" s="286"/>
      <c r="H298" s="286"/>
      <c r="I298" s="286"/>
      <c r="J298" s="915">
        <v>18</v>
      </c>
      <c r="K298" s="686" t="s">
        <v>501</v>
      </c>
      <c r="L298" s="1013">
        <v>0</v>
      </c>
      <c r="M298" s="1013">
        <v>0</v>
      </c>
      <c r="N298" s="541"/>
      <c r="O298" s="286"/>
      <c r="P298" s="286"/>
      <c r="Q298" s="286"/>
    </row>
    <row r="299" spans="1:17">
      <c r="A299" s="286"/>
      <c r="B299" s="992" t="s">
        <v>530</v>
      </c>
      <c r="C299" s="989" t="s">
        <v>85</v>
      </c>
      <c r="D299" s="1013">
        <v>0</v>
      </c>
      <c r="E299" s="989"/>
      <c r="F299" s="444">
        <v>2250</v>
      </c>
      <c r="G299" s="286"/>
      <c r="H299" s="286"/>
      <c r="I299" s="286"/>
      <c r="J299" s="915">
        <v>19</v>
      </c>
      <c r="K299" s="686" t="s">
        <v>501</v>
      </c>
      <c r="L299" s="1013">
        <v>0</v>
      </c>
      <c r="M299" s="1013">
        <v>0</v>
      </c>
      <c r="N299" s="541"/>
      <c r="O299" s="286"/>
      <c r="P299" s="286"/>
      <c r="Q299" s="286"/>
    </row>
    <row r="300" spans="1:17">
      <c r="A300" s="286"/>
      <c r="B300" s="992" t="s">
        <v>531</v>
      </c>
      <c r="C300" s="989" t="s">
        <v>85</v>
      </c>
      <c r="D300" s="1013">
        <v>7</v>
      </c>
      <c r="E300" s="989"/>
      <c r="F300" s="444">
        <v>1500</v>
      </c>
      <c r="G300" s="286"/>
      <c r="H300" s="286"/>
      <c r="I300" s="286"/>
      <c r="J300" s="915">
        <v>20</v>
      </c>
      <c r="K300" s="686" t="s">
        <v>501</v>
      </c>
      <c r="L300" s="1013">
        <v>0</v>
      </c>
      <c r="M300" s="1013">
        <v>0</v>
      </c>
      <c r="N300" s="541"/>
      <c r="O300" s="286"/>
      <c r="P300" s="286"/>
      <c r="Q300" s="286"/>
    </row>
    <row r="301" spans="1:17">
      <c r="A301" s="286"/>
      <c r="B301" s="992" t="s">
        <v>532</v>
      </c>
      <c r="C301" s="989" t="s">
        <v>507</v>
      </c>
      <c r="D301" s="1013">
        <v>60</v>
      </c>
      <c r="E301" s="989"/>
      <c r="F301" s="444">
        <v>980</v>
      </c>
      <c r="G301" s="286"/>
      <c r="H301" s="286"/>
      <c r="I301" s="286"/>
      <c r="J301" s="915">
        <v>21</v>
      </c>
      <c r="K301" s="686" t="s">
        <v>501</v>
      </c>
      <c r="L301" s="1013">
        <v>0</v>
      </c>
      <c r="M301" s="1013">
        <v>0</v>
      </c>
      <c r="N301" s="541"/>
      <c r="O301" s="286"/>
      <c r="P301" s="286"/>
      <c r="Q301" s="286"/>
    </row>
    <row r="302" spans="1:17">
      <c r="A302" s="286"/>
      <c r="B302" s="992" t="s">
        <v>533</v>
      </c>
      <c r="C302" s="989" t="s">
        <v>85</v>
      </c>
      <c r="D302" s="1013">
        <v>2</v>
      </c>
      <c r="E302" s="989"/>
      <c r="F302" s="444">
        <v>2500</v>
      </c>
      <c r="G302" s="286"/>
      <c r="H302" s="286"/>
      <c r="I302" s="286"/>
      <c r="J302" s="915">
        <v>22</v>
      </c>
      <c r="K302" s="686" t="s">
        <v>501</v>
      </c>
      <c r="L302" s="1013">
        <v>0</v>
      </c>
      <c r="M302" s="1013">
        <v>0</v>
      </c>
      <c r="N302" s="541"/>
      <c r="O302" s="286"/>
      <c r="P302" s="286"/>
      <c r="Q302" s="286"/>
    </row>
    <row r="303" spans="1:17" ht="45">
      <c r="A303" s="286"/>
      <c r="B303" s="992" t="s">
        <v>534</v>
      </c>
      <c r="C303" s="989" t="s">
        <v>85</v>
      </c>
      <c r="D303" s="1013">
        <v>0</v>
      </c>
      <c r="E303" s="989"/>
      <c r="F303" s="444">
        <v>1250</v>
      </c>
      <c r="G303" s="286"/>
      <c r="H303" s="286"/>
      <c r="I303" s="286"/>
      <c r="J303" s="998" t="s">
        <v>535</v>
      </c>
      <c r="K303" s="999"/>
      <c r="L303" s="987"/>
      <c r="M303" s="988"/>
      <c r="N303" s="852" t="s">
        <v>185</v>
      </c>
      <c r="O303" s="286"/>
      <c r="P303" s="286"/>
      <c r="Q303" s="286"/>
    </row>
    <row r="304" spans="1:17" ht="30">
      <c r="A304" s="286"/>
      <c r="B304" s="992" t="s">
        <v>536</v>
      </c>
      <c r="C304" s="989" t="s">
        <v>85</v>
      </c>
      <c r="D304" s="1013">
        <v>3</v>
      </c>
      <c r="E304" s="989"/>
      <c r="F304" s="444">
        <v>500</v>
      </c>
      <c r="G304" s="286"/>
      <c r="H304" s="286"/>
      <c r="I304" s="286"/>
      <c r="J304" s="990" t="s">
        <v>504</v>
      </c>
      <c r="K304" s="986" t="s">
        <v>148</v>
      </c>
      <c r="L304" s="857">
        <f>D283</f>
        <v>156.19999999999999</v>
      </c>
      <c r="M304" s="1000" t="s">
        <v>714</v>
      </c>
      <c r="N304" s="996"/>
      <c r="O304" s="286"/>
      <c r="P304" s="286"/>
      <c r="Q304" s="286"/>
    </row>
    <row r="305" spans="1:17" ht="30">
      <c r="A305" s="286"/>
      <c r="B305" s="992" t="s">
        <v>537</v>
      </c>
      <c r="C305" s="989" t="s">
        <v>85</v>
      </c>
      <c r="D305" s="1013">
        <v>3</v>
      </c>
      <c r="E305" s="989"/>
      <c r="F305" s="444">
        <v>500</v>
      </c>
      <c r="G305" s="286"/>
      <c r="H305" s="286"/>
      <c r="I305" s="286"/>
      <c r="J305" s="991" t="s">
        <v>538</v>
      </c>
      <c r="K305" s="986" t="s">
        <v>148</v>
      </c>
      <c r="L305" s="902">
        <f>SUM(N281:N302)</f>
        <v>0</v>
      </c>
      <c r="M305" s="988"/>
      <c r="N305" s="858">
        <v>650</v>
      </c>
      <c r="O305" s="286"/>
      <c r="P305" s="286"/>
      <c r="Q305" s="286"/>
    </row>
    <row r="306" spans="1:17" ht="30">
      <c r="A306" s="286"/>
      <c r="B306" s="992" t="s">
        <v>539</v>
      </c>
      <c r="C306" s="989" t="s">
        <v>540</v>
      </c>
      <c r="D306" s="1013">
        <v>54</v>
      </c>
      <c r="E306" s="989"/>
      <c r="F306" s="444">
        <v>780</v>
      </c>
      <c r="G306" s="286"/>
      <c r="H306" s="286"/>
      <c r="I306" s="286"/>
      <c r="J306" s="992" t="s">
        <v>541</v>
      </c>
      <c r="K306" s="989" t="s">
        <v>85</v>
      </c>
      <c r="L306" s="1013">
        <v>13</v>
      </c>
      <c r="M306" s="989"/>
      <c r="N306" s="444">
        <v>1650</v>
      </c>
      <c r="O306" s="286"/>
      <c r="P306" s="286"/>
      <c r="Q306" s="286"/>
    </row>
    <row r="307" spans="1:17" ht="45">
      <c r="A307" s="286"/>
      <c r="B307" s="992" t="s">
        <v>542</v>
      </c>
      <c r="C307" s="989" t="s">
        <v>144</v>
      </c>
      <c r="D307" s="993"/>
      <c r="E307" s="989"/>
      <c r="F307" s="444">
        <v>380</v>
      </c>
      <c r="G307" s="286"/>
      <c r="H307" s="286"/>
      <c r="I307" s="286"/>
      <c r="J307" s="992" t="s">
        <v>520</v>
      </c>
      <c r="K307" s="989" t="s">
        <v>85</v>
      </c>
      <c r="L307" s="1013">
        <v>10</v>
      </c>
      <c r="M307" s="989"/>
      <c r="N307" s="444">
        <v>3800</v>
      </c>
      <c r="O307" s="286"/>
      <c r="P307" s="286"/>
      <c r="Q307" s="286"/>
    </row>
    <row r="308" spans="1:17" ht="30">
      <c r="A308" s="286"/>
      <c r="B308" s="992" t="s">
        <v>543</v>
      </c>
      <c r="C308" s="989" t="s">
        <v>85</v>
      </c>
      <c r="D308" s="1013">
        <v>39</v>
      </c>
      <c r="E308" s="989"/>
      <c r="F308" s="444">
        <v>500</v>
      </c>
      <c r="G308" s="286"/>
      <c r="H308" s="286"/>
      <c r="I308" s="286"/>
      <c r="J308" s="992" t="s">
        <v>522</v>
      </c>
      <c r="K308" s="989" t="s">
        <v>85</v>
      </c>
      <c r="L308" s="903">
        <f>D291</f>
        <v>21</v>
      </c>
      <c r="M308" s="989"/>
      <c r="N308" s="892">
        <f>F291</f>
        <v>500</v>
      </c>
      <c r="O308" s="286"/>
      <c r="P308" s="286"/>
      <c r="Q308" s="286"/>
    </row>
    <row r="309" spans="1:17" ht="30">
      <c r="A309" s="286"/>
      <c r="B309" s="992" t="s">
        <v>544</v>
      </c>
      <c r="C309" s="989" t="s">
        <v>85</v>
      </c>
      <c r="D309" s="1013">
        <v>0</v>
      </c>
      <c r="E309" s="989"/>
      <c r="F309" s="444">
        <v>500</v>
      </c>
      <c r="G309" s="286"/>
      <c r="H309" s="286"/>
      <c r="I309" s="286"/>
      <c r="J309" s="992" t="s">
        <v>523</v>
      </c>
      <c r="K309" s="989" t="s">
        <v>85</v>
      </c>
      <c r="L309" s="903">
        <f>D292</f>
        <v>11</v>
      </c>
      <c r="M309" s="989"/>
      <c r="N309" s="892">
        <f>F292</f>
        <v>500</v>
      </c>
      <c r="O309" s="286"/>
      <c r="P309" s="286"/>
      <c r="Q309" s="286"/>
    </row>
    <row r="310" spans="1:17">
      <c r="A310" s="286"/>
      <c r="B310" s="992" t="s">
        <v>545</v>
      </c>
      <c r="C310" s="989" t="s">
        <v>63</v>
      </c>
      <c r="D310" s="1018">
        <v>3.84</v>
      </c>
      <c r="E310" s="989"/>
      <c r="F310" s="444">
        <v>25500</v>
      </c>
      <c r="G310" s="286"/>
      <c r="H310" s="286"/>
      <c r="I310" s="286"/>
      <c r="J310" s="992" t="s">
        <v>546</v>
      </c>
      <c r="K310" s="989" t="s">
        <v>85</v>
      </c>
      <c r="L310" s="903">
        <f>D293</f>
        <v>11</v>
      </c>
      <c r="M310" s="989"/>
      <c r="N310" s="892">
        <f>F293</f>
        <v>500</v>
      </c>
      <c r="O310" s="286"/>
      <c r="P310" s="286"/>
      <c r="Q310" s="286"/>
    </row>
    <row r="311" spans="1:17" ht="30">
      <c r="A311" s="286"/>
      <c r="B311" s="992" t="s">
        <v>547</v>
      </c>
      <c r="C311" s="989" t="s">
        <v>85</v>
      </c>
      <c r="D311" s="994"/>
      <c r="E311" s="989"/>
      <c r="F311" s="444">
        <v>180</v>
      </c>
      <c r="G311" s="286"/>
      <c r="H311" s="286"/>
      <c r="I311" s="286"/>
      <c r="J311" s="992" t="s">
        <v>548</v>
      </c>
      <c r="K311" s="989" t="s">
        <v>85</v>
      </c>
      <c r="L311" s="1013">
        <v>14</v>
      </c>
      <c r="M311" s="989"/>
      <c r="N311" s="444">
        <v>500</v>
      </c>
      <c r="O311" s="286"/>
      <c r="P311" s="286"/>
      <c r="Q311" s="286"/>
    </row>
    <row r="312" spans="1:17" ht="30">
      <c r="A312" s="286"/>
      <c r="B312" s="992" t="s">
        <v>549</v>
      </c>
      <c r="C312" s="989" t="s">
        <v>144</v>
      </c>
      <c r="D312" s="994"/>
      <c r="E312" s="989"/>
      <c r="F312" s="444">
        <v>150</v>
      </c>
      <c r="G312" s="286"/>
      <c r="H312" s="286"/>
      <c r="I312" s="286"/>
      <c r="J312" s="992" t="s">
        <v>550</v>
      </c>
      <c r="K312" s="989" t="s">
        <v>85</v>
      </c>
      <c r="L312" s="1013">
        <v>14</v>
      </c>
      <c r="M312" s="989"/>
      <c r="N312" s="444">
        <v>500</v>
      </c>
      <c r="O312" s="286"/>
      <c r="P312" s="286"/>
      <c r="Q312" s="286"/>
    </row>
    <row r="313" spans="1:17">
      <c r="A313" s="286"/>
      <c r="B313" s="992" t="s">
        <v>551</v>
      </c>
      <c r="C313" s="989" t="s">
        <v>63</v>
      </c>
      <c r="D313" s="995"/>
      <c r="E313" s="989"/>
      <c r="F313" s="444">
        <v>25000</v>
      </c>
      <c r="G313" s="286"/>
      <c r="H313" s="286"/>
      <c r="I313" s="286"/>
      <c r="J313" s="992" t="s">
        <v>552</v>
      </c>
      <c r="K313" s="989" t="s">
        <v>507</v>
      </c>
      <c r="L313" s="1013">
        <v>4</v>
      </c>
      <c r="M313" s="989"/>
      <c r="N313" s="892">
        <f>F307</f>
        <v>380</v>
      </c>
      <c r="O313" s="286"/>
      <c r="P313" s="286"/>
      <c r="Q313" s="286"/>
    </row>
    <row r="314" spans="1:17">
      <c r="A314" s="286"/>
      <c r="B314" s="992" t="s">
        <v>553</v>
      </c>
      <c r="C314" s="989" t="s">
        <v>144</v>
      </c>
      <c r="D314" s="995"/>
      <c r="E314" s="989"/>
      <c r="F314" s="444">
        <v>380</v>
      </c>
      <c r="G314" s="286"/>
      <c r="H314" s="286"/>
      <c r="I314" s="286"/>
      <c r="J314" s="992" t="s">
        <v>527</v>
      </c>
      <c r="K314" s="989" t="s">
        <v>507</v>
      </c>
      <c r="L314" s="1013">
        <v>2</v>
      </c>
      <c r="M314" s="989"/>
      <c r="N314" s="892">
        <f>F296</f>
        <v>1000</v>
      </c>
      <c r="O314" s="286"/>
      <c r="P314" s="286"/>
      <c r="Q314" s="286"/>
    </row>
    <row r="315" spans="1:17">
      <c r="A315" s="286"/>
      <c r="B315" s="992" t="s">
        <v>554</v>
      </c>
      <c r="C315" s="989" t="s">
        <v>85</v>
      </c>
      <c r="D315" s="995"/>
      <c r="E315" s="989"/>
      <c r="F315" s="444">
        <v>55</v>
      </c>
      <c r="G315" s="286"/>
      <c r="H315" s="286"/>
      <c r="I315" s="286"/>
      <c r="J315" s="992" t="s">
        <v>528</v>
      </c>
      <c r="K315" s="989" t="s">
        <v>85</v>
      </c>
      <c r="L315" s="1013">
        <v>1</v>
      </c>
      <c r="M315" s="989"/>
      <c r="N315" s="444">
        <v>500</v>
      </c>
      <c r="O315" s="286"/>
      <c r="P315" s="286"/>
      <c r="Q315" s="286"/>
    </row>
    <row r="316" spans="1:17" ht="30">
      <c r="A316" s="286"/>
      <c r="B316" s="992" t="s">
        <v>175</v>
      </c>
      <c r="C316" s="989" t="s">
        <v>85</v>
      </c>
      <c r="D316" s="995"/>
      <c r="E316" s="989"/>
      <c r="F316" s="444">
        <v>240</v>
      </c>
      <c r="G316" s="286"/>
      <c r="H316" s="286"/>
      <c r="I316" s="286"/>
      <c r="J316" s="992" t="s">
        <v>529</v>
      </c>
      <c r="K316" s="989" t="s">
        <v>85</v>
      </c>
      <c r="L316" s="1013">
        <v>3</v>
      </c>
      <c r="M316" s="989"/>
      <c r="N316" s="892">
        <f t="shared" ref="N316:N321" si="1">F298</f>
        <v>4500</v>
      </c>
      <c r="O316" s="286"/>
      <c r="P316" s="286"/>
      <c r="Q316" s="286"/>
    </row>
    <row r="317" spans="1:17" ht="30">
      <c r="A317" s="286"/>
      <c r="B317" s="992" t="s">
        <v>555</v>
      </c>
      <c r="C317" s="989" t="s">
        <v>85</v>
      </c>
      <c r="D317" s="995"/>
      <c r="E317" s="989"/>
      <c r="F317" s="444">
        <v>3.5</v>
      </c>
      <c r="G317" s="286"/>
      <c r="H317" s="286"/>
      <c r="I317" s="286"/>
      <c r="J317" s="992" t="s">
        <v>530</v>
      </c>
      <c r="K317" s="989" t="s">
        <v>85</v>
      </c>
      <c r="L317" s="1013">
        <v>0</v>
      </c>
      <c r="M317" s="989"/>
      <c r="N317" s="892">
        <f t="shared" si="1"/>
        <v>2250</v>
      </c>
      <c r="O317" s="286"/>
      <c r="P317" s="286"/>
      <c r="Q317" s="286"/>
    </row>
    <row r="318" spans="1:17" ht="45">
      <c r="A318" s="286"/>
      <c r="B318" s="992" t="s">
        <v>556</v>
      </c>
      <c r="C318" s="989" t="s">
        <v>85</v>
      </c>
      <c r="D318" s="995"/>
      <c r="E318" s="989"/>
      <c r="F318" s="444">
        <v>7</v>
      </c>
      <c r="G318" s="286"/>
      <c r="H318" s="286"/>
      <c r="I318" s="286"/>
      <c r="J318" s="992" t="s">
        <v>557</v>
      </c>
      <c r="K318" s="989" t="s">
        <v>85</v>
      </c>
      <c r="L318" s="903">
        <f>D300</f>
        <v>7</v>
      </c>
      <c r="M318" s="989"/>
      <c r="N318" s="892">
        <f t="shared" si="1"/>
        <v>1500</v>
      </c>
      <c r="O318" s="286"/>
      <c r="P318" s="286"/>
      <c r="Q318" s="286"/>
    </row>
    <row r="319" spans="1:17" ht="30">
      <c r="A319" s="286"/>
      <c r="B319" s="992" t="s">
        <v>558</v>
      </c>
      <c r="C319" s="989" t="s">
        <v>85</v>
      </c>
      <c r="D319" s="995"/>
      <c r="E319" s="989"/>
      <c r="F319" s="444">
        <v>455</v>
      </c>
      <c r="G319" s="286"/>
      <c r="H319" s="286"/>
      <c r="I319" s="286"/>
      <c r="J319" s="992" t="s">
        <v>532</v>
      </c>
      <c r="K319" s="989" t="s">
        <v>85</v>
      </c>
      <c r="L319" s="903">
        <f>D301</f>
        <v>60</v>
      </c>
      <c r="M319" s="989"/>
      <c r="N319" s="892">
        <f t="shared" si="1"/>
        <v>980</v>
      </c>
      <c r="O319" s="286"/>
      <c r="P319" s="286"/>
      <c r="Q319" s="286"/>
    </row>
    <row r="320" spans="1:17" ht="30">
      <c r="A320" s="286"/>
      <c r="B320" s="992" t="s">
        <v>559</v>
      </c>
      <c r="C320" s="989" t="s">
        <v>85</v>
      </c>
      <c r="D320" s="989"/>
      <c r="E320" s="989"/>
      <c r="F320" s="444">
        <v>57</v>
      </c>
      <c r="G320" s="286"/>
      <c r="H320" s="286"/>
      <c r="I320" s="286"/>
      <c r="J320" s="992" t="s">
        <v>533</v>
      </c>
      <c r="K320" s="989" t="s">
        <v>85</v>
      </c>
      <c r="L320" s="903">
        <f>D302</f>
        <v>2</v>
      </c>
      <c r="M320" s="989"/>
      <c r="N320" s="892">
        <f t="shared" si="1"/>
        <v>2500</v>
      </c>
      <c r="O320" s="286"/>
      <c r="P320" s="286"/>
      <c r="Q320" s="286"/>
    </row>
    <row r="321" spans="1:17" ht="30">
      <c r="A321" s="286"/>
      <c r="B321" s="992" t="s">
        <v>560</v>
      </c>
      <c r="C321" s="989" t="s">
        <v>144</v>
      </c>
      <c r="D321" s="989"/>
      <c r="E321" s="989"/>
      <c r="F321" s="444">
        <v>380</v>
      </c>
      <c r="G321" s="286"/>
      <c r="H321" s="286"/>
      <c r="I321" s="286"/>
      <c r="J321" s="992" t="s">
        <v>534</v>
      </c>
      <c r="K321" s="989" t="s">
        <v>85</v>
      </c>
      <c r="L321" s="903">
        <f>D303</f>
        <v>0</v>
      </c>
      <c r="M321" s="989"/>
      <c r="N321" s="892">
        <f t="shared" si="1"/>
        <v>1250</v>
      </c>
      <c r="O321" s="286"/>
      <c r="P321" s="286"/>
      <c r="Q321" s="286"/>
    </row>
    <row r="322" spans="1:17" ht="30">
      <c r="A322" s="286"/>
      <c r="B322" s="992" t="s">
        <v>561</v>
      </c>
      <c r="C322" s="989" t="s">
        <v>144</v>
      </c>
      <c r="D322" s="989"/>
      <c r="E322" s="989"/>
      <c r="F322" s="444">
        <v>380</v>
      </c>
      <c r="G322" s="286"/>
      <c r="H322" s="286"/>
      <c r="I322" s="286"/>
      <c r="J322" s="992" t="s">
        <v>536</v>
      </c>
      <c r="K322" s="989" t="s">
        <v>85</v>
      </c>
      <c r="L322" s="1013">
        <v>3</v>
      </c>
      <c r="M322" s="989"/>
      <c r="N322" s="444">
        <v>980</v>
      </c>
      <c r="O322" s="286"/>
      <c r="P322" s="286"/>
      <c r="Q322" s="286"/>
    </row>
    <row r="323" spans="1:17" ht="30">
      <c r="A323" s="286"/>
      <c r="B323" s="992" t="s">
        <v>562</v>
      </c>
      <c r="C323" s="989" t="s">
        <v>85</v>
      </c>
      <c r="D323" s="989"/>
      <c r="E323" s="989"/>
      <c r="F323" s="444">
        <v>612</v>
      </c>
      <c r="G323" s="286"/>
      <c r="H323" s="286"/>
      <c r="I323" s="286"/>
      <c r="J323" s="992" t="s">
        <v>537</v>
      </c>
      <c r="K323" s="989" t="s">
        <v>85</v>
      </c>
      <c r="L323" s="1013">
        <v>3</v>
      </c>
      <c r="M323" s="989"/>
      <c r="N323" s="444">
        <v>2500</v>
      </c>
      <c r="O323" s="286"/>
      <c r="P323" s="286"/>
      <c r="Q323" s="286"/>
    </row>
    <row r="324" spans="1:17">
      <c r="A324" s="286"/>
      <c r="B324" s="992" t="s">
        <v>166</v>
      </c>
      <c r="C324" s="989" t="s">
        <v>85</v>
      </c>
      <c r="D324" s="989"/>
      <c r="E324" s="989"/>
      <c r="F324" s="444">
        <v>65</v>
      </c>
      <c r="G324" s="286"/>
      <c r="H324" s="286"/>
      <c r="I324" s="286"/>
      <c r="J324" s="992"/>
      <c r="K324" s="989"/>
      <c r="L324" s="993"/>
      <c r="M324" s="989"/>
      <c r="N324" s="996"/>
      <c r="O324" s="286"/>
      <c r="P324" s="286"/>
      <c r="Q324" s="286"/>
    </row>
    <row r="325" spans="1:17">
      <c r="A325" s="286"/>
      <c r="B325" s="992" t="s">
        <v>563</v>
      </c>
      <c r="C325" s="989" t="s">
        <v>85</v>
      </c>
      <c r="D325" s="989"/>
      <c r="E325" s="989"/>
      <c r="F325" s="444">
        <v>3500</v>
      </c>
      <c r="G325" s="286"/>
      <c r="H325" s="286"/>
      <c r="I325" s="286"/>
      <c r="J325" s="992"/>
      <c r="K325" s="989"/>
      <c r="L325" s="993"/>
      <c r="M325" s="989"/>
      <c r="N325" s="996"/>
      <c r="O325" s="286"/>
      <c r="P325" s="286"/>
      <c r="Q325" s="286"/>
    </row>
    <row r="326" spans="1:17" ht="30">
      <c r="A326" s="286"/>
      <c r="B326" s="992" t="s">
        <v>564</v>
      </c>
      <c r="C326" s="989" t="s">
        <v>155</v>
      </c>
      <c r="D326" s="989"/>
      <c r="E326" s="989"/>
      <c r="F326" s="444">
        <v>15000</v>
      </c>
      <c r="G326" s="286"/>
      <c r="H326" s="286"/>
      <c r="I326" s="286"/>
      <c r="J326" s="992" t="s">
        <v>565</v>
      </c>
      <c r="K326" s="989" t="s">
        <v>63</v>
      </c>
      <c r="L326" s="859">
        <f>D310</f>
        <v>3.84</v>
      </c>
      <c r="M326" s="989" t="s">
        <v>714</v>
      </c>
      <c r="N326" s="892">
        <f>F310</f>
        <v>25500</v>
      </c>
      <c r="O326" s="286"/>
      <c r="P326" s="286"/>
      <c r="Q326" s="286"/>
    </row>
    <row r="327" spans="1:17" ht="45">
      <c r="A327" s="286"/>
      <c r="B327" s="992" t="s">
        <v>566</v>
      </c>
      <c r="C327" s="989" t="s">
        <v>155</v>
      </c>
      <c r="D327" s="989"/>
      <c r="E327" s="989"/>
      <c r="F327" s="444">
        <v>10000</v>
      </c>
      <c r="G327" s="286"/>
      <c r="H327" s="286"/>
      <c r="I327" s="286"/>
      <c r="J327" s="992" t="s">
        <v>547</v>
      </c>
      <c r="K327" s="989" t="s">
        <v>85</v>
      </c>
      <c r="L327" s="994"/>
      <c r="M327" s="989"/>
      <c r="N327" s="892">
        <f>F311</f>
        <v>180</v>
      </c>
      <c r="O327" s="286"/>
      <c r="P327" s="286"/>
      <c r="Q327" s="286"/>
    </row>
    <row r="328" spans="1:17" ht="30">
      <c r="A328" s="286"/>
      <c r="B328" s="992"/>
      <c r="C328" s="989"/>
      <c r="D328" s="989"/>
      <c r="E328" s="989"/>
      <c r="F328" s="996"/>
      <c r="G328" s="286"/>
      <c r="H328" s="286"/>
      <c r="I328" s="286"/>
      <c r="J328" s="992" t="s">
        <v>567</v>
      </c>
      <c r="K328" s="989" t="s">
        <v>63</v>
      </c>
      <c r="L328" s="995"/>
      <c r="M328" s="989"/>
      <c r="N328" s="892">
        <f>F313</f>
        <v>25000</v>
      </c>
      <c r="O328" s="286"/>
      <c r="P328" s="286"/>
      <c r="Q328" s="286"/>
    </row>
    <row r="329" spans="1:17" ht="30">
      <c r="A329" s="286"/>
      <c r="B329" s="439"/>
      <c r="C329" s="440"/>
      <c r="D329" s="440"/>
      <c r="E329" s="440"/>
      <c r="F329" s="441"/>
      <c r="G329" s="286"/>
      <c r="H329" s="286"/>
      <c r="I329" s="286"/>
      <c r="J329" s="992" t="s">
        <v>554</v>
      </c>
      <c r="K329" s="989" t="s">
        <v>85</v>
      </c>
      <c r="L329" s="995"/>
      <c r="M329" s="989"/>
      <c r="N329" s="892">
        <f t="shared" ref="N329:N334" si="2">F315</f>
        <v>55</v>
      </c>
      <c r="O329" s="286"/>
      <c r="P329" s="286"/>
      <c r="Q329" s="286"/>
    </row>
    <row r="330" spans="1:17" ht="30">
      <c r="A330" s="286"/>
      <c r="B330" s="905" t="s">
        <v>375</v>
      </c>
      <c r="C330" s="906"/>
      <c r="D330" s="906"/>
      <c r="E330" s="906"/>
      <c r="F330" s="907"/>
      <c r="G330" s="286"/>
      <c r="H330" s="286"/>
      <c r="I330" s="286"/>
      <c r="J330" s="992" t="s">
        <v>175</v>
      </c>
      <c r="K330" s="989" t="s">
        <v>85</v>
      </c>
      <c r="L330" s="995"/>
      <c r="M330" s="989"/>
      <c r="N330" s="892">
        <f t="shared" si="2"/>
        <v>240</v>
      </c>
      <c r="O330" s="286"/>
      <c r="P330" s="286"/>
      <c r="Q330" s="286"/>
    </row>
    <row r="331" spans="1:17">
      <c r="A331" s="286"/>
      <c r="B331" s="1001"/>
      <c r="C331" s="865"/>
      <c r="D331" s="1002" t="s">
        <v>185</v>
      </c>
      <c r="E331" s="864"/>
      <c r="F331" s="286"/>
      <c r="G331" s="286"/>
      <c r="H331" s="286"/>
      <c r="I331" s="286"/>
      <c r="J331" s="992" t="s">
        <v>555</v>
      </c>
      <c r="K331" s="989" t="s">
        <v>85</v>
      </c>
      <c r="L331" s="995"/>
      <c r="M331" s="989"/>
      <c r="N331" s="892">
        <f t="shared" si="2"/>
        <v>3.5</v>
      </c>
      <c r="O331" s="286"/>
      <c r="P331" s="286"/>
      <c r="Q331" s="286"/>
    </row>
    <row r="332" spans="1:17" ht="30">
      <c r="A332" s="286"/>
      <c r="B332" s="1008" t="s">
        <v>568</v>
      </c>
      <c r="C332" s="865" t="s">
        <v>63</v>
      </c>
      <c r="D332" s="221">
        <v>200</v>
      </c>
      <c r="E332" s="864"/>
      <c r="F332" s="286"/>
      <c r="G332" s="286"/>
      <c r="H332" s="286"/>
      <c r="I332" s="286"/>
      <c r="J332" s="992" t="s">
        <v>556</v>
      </c>
      <c r="K332" s="989" t="s">
        <v>85</v>
      </c>
      <c r="L332" s="995"/>
      <c r="M332" s="989"/>
      <c r="N332" s="892">
        <f t="shared" si="2"/>
        <v>7</v>
      </c>
      <c r="O332" s="286"/>
      <c r="P332" s="286"/>
      <c r="Q332" s="286"/>
    </row>
    <row r="333" spans="1:17" ht="19.75" customHeight="1">
      <c r="A333" s="286"/>
      <c r="B333" s="1008" t="s">
        <v>569</v>
      </c>
      <c r="C333" s="865" t="s">
        <v>148</v>
      </c>
      <c r="D333" s="221">
        <v>180</v>
      </c>
      <c r="E333" s="864"/>
      <c r="F333" s="286"/>
      <c r="G333" s="286"/>
      <c r="H333" s="286"/>
      <c r="I333" s="286"/>
      <c r="J333" s="992" t="s">
        <v>558</v>
      </c>
      <c r="K333" s="989" t="s">
        <v>85</v>
      </c>
      <c r="L333" s="995"/>
      <c r="M333" s="989"/>
      <c r="N333" s="892">
        <f t="shared" si="2"/>
        <v>455</v>
      </c>
      <c r="O333" s="286"/>
      <c r="P333" s="286"/>
      <c r="Q333" s="286"/>
    </row>
    <row r="334" spans="1:17">
      <c r="A334" s="286"/>
      <c r="B334" s="1001" t="s">
        <v>570</v>
      </c>
      <c r="C334" s="865" t="s">
        <v>148</v>
      </c>
      <c r="D334" s="221">
        <v>240</v>
      </c>
      <c r="E334" s="864"/>
      <c r="F334" s="286"/>
      <c r="G334" s="286"/>
      <c r="H334" s="286"/>
      <c r="I334" s="286"/>
      <c r="J334" s="992" t="s">
        <v>559</v>
      </c>
      <c r="K334" s="989" t="s">
        <v>85</v>
      </c>
      <c r="L334" s="989"/>
      <c r="M334" s="989"/>
      <c r="N334" s="892">
        <f t="shared" si="2"/>
        <v>57</v>
      </c>
      <c r="O334" s="286"/>
      <c r="P334" s="286"/>
      <c r="Q334" s="286"/>
    </row>
    <row r="335" spans="1:17" ht="30">
      <c r="A335" s="286"/>
      <c r="B335" s="1008" t="s">
        <v>571</v>
      </c>
      <c r="C335" s="865" t="s">
        <v>148</v>
      </c>
      <c r="D335" s="221">
        <v>200</v>
      </c>
      <c r="E335" s="864"/>
      <c r="F335" s="286"/>
      <c r="G335" s="286"/>
      <c r="H335" s="286"/>
      <c r="I335" s="286"/>
      <c r="J335" s="992" t="s">
        <v>561</v>
      </c>
      <c r="K335" s="989" t="s">
        <v>144</v>
      </c>
      <c r="L335" s="989"/>
      <c r="M335" s="989"/>
      <c r="N335" s="892">
        <f>F322</f>
        <v>380</v>
      </c>
      <c r="O335" s="286"/>
      <c r="P335" s="286"/>
      <c r="Q335" s="286"/>
    </row>
    <row r="336" spans="1:17" ht="24.5" customHeight="1">
      <c r="A336" s="286"/>
      <c r="B336" s="796" t="s">
        <v>572</v>
      </c>
      <c r="C336" s="865" t="s">
        <v>148</v>
      </c>
      <c r="D336" s="221">
        <v>600</v>
      </c>
      <c r="E336" s="864"/>
      <c r="F336" s="286"/>
      <c r="G336" s="286"/>
      <c r="H336" s="286"/>
      <c r="I336" s="286"/>
      <c r="J336" s="992" t="s">
        <v>562</v>
      </c>
      <c r="K336" s="989" t="s">
        <v>85</v>
      </c>
      <c r="L336" s="989"/>
      <c r="M336" s="989"/>
      <c r="N336" s="892">
        <f>F323</f>
        <v>612</v>
      </c>
      <c r="O336" s="286"/>
      <c r="P336" s="286"/>
      <c r="Q336" s="286"/>
    </row>
    <row r="337" spans="1:17" ht="30">
      <c r="A337" s="286"/>
      <c r="B337" s="796" t="s">
        <v>887</v>
      </c>
      <c r="C337" s="865" t="s">
        <v>148</v>
      </c>
      <c r="D337" s="221">
        <v>150</v>
      </c>
      <c r="E337" s="864"/>
      <c r="F337" s="286"/>
      <c r="G337" s="286"/>
      <c r="H337" s="286"/>
      <c r="I337" s="286"/>
      <c r="J337" s="992" t="s">
        <v>166</v>
      </c>
      <c r="K337" s="989" t="s">
        <v>85</v>
      </c>
      <c r="L337" s="989"/>
      <c r="M337" s="989"/>
      <c r="N337" s="892">
        <f>F324</f>
        <v>65</v>
      </c>
      <c r="O337" s="286"/>
      <c r="P337" s="286"/>
      <c r="Q337" s="286"/>
    </row>
    <row r="338" spans="1:17" ht="24" customHeight="1">
      <c r="A338" s="286"/>
      <c r="B338" s="1009" t="s">
        <v>886</v>
      </c>
      <c r="C338" s="1010" t="s">
        <v>148</v>
      </c>
      <c r="D338" s="901">
        <v>150</v>
      </c>
      <c r="E338" s="1003"/>
      <c r="F338" s="286"/>
      <c r="G338" s="286"/>
      <c r="H338" s="286"/>
      <c r="I338" s="286"/>
      <c r="J338" s="992" t="s">
        <v>563</v>
      </c>
      <c r="K338" s="989" t="s">
        <v>85</v>
      </c>
      <c r="L338" s="989"/>
      <c r="M338" s="989"/>
      <c r="N338" s="892">
        <f>F325</f>
        <v>3500</v>
      </c>
      <c r="O338" s="286"/>
      <c r="P338" s="286"/>
      <c r="Q338" s="286"/>
    </row>
    <row r="339" spans="1:17" ht="21.5" customHeight="1">
      <c r="A339" s="286"/>
      <c r="B339" s="796" t="s">
        <v>574</v>
      </c>
      <c r="C339" s="865" t="s">
        <v>86</v>
      </c>
      <c r="D339" s="221">
        <v>5</v>
      </c>
      <c r="E339" s="864"/>
      <c r="F339" s="286"/>
      <c r="G339" s="286"/>
      <c r="H339" s="286"/>
      <c r="I339" s="286"/>
      <c r="J339" s="992" t="s">
        <v>564</v>
      </c>
      <c r="K339" s="989" t="s">
        <v>155</v>
      </c>
      <c r="L339" s="989"/>
      <c r="M339" s="989"/>
      <c r="N339" s="444">
        <v>10000</v>
      </c>
      <c r="O339" s="286"/>
      <c r="P339" s="286"/>
      <c r="Q339" s="286"/>
    </row>
    <row r="340" spans="1:17" ht="28.25" customHeight="1">
      <c r="A340" s="286"/>
      <c r="B340" s="796" t="s">
        <v>575</v>
      </c>
      <c r="C340" s="865" t="s">
        <v>148</v>
      </c>
      <c r="D340" s="221">
        <v>180</v>
      </c>
      <c r="E340" s="864"/>
      <c r="F340" s="286"/>
      <c r="G340" s="286"/>
      <c r="H340" s="286"/>
      <c r="I340" s="286"/>
      <c r="J340" s="992" t="s">
        <v>566</v>
      </c>
      <c r="K340" s="989" t="s">
        <v>155</v>
      </c>
      <c r="L340" s="989"/>
      <c r="M340" s="989"/>
      <c r="N340" s="444">
        <v>10000</v>
      </c>
      <c r="O340" s="286"/>
      <c r="P340" s="286"/>
      <c r="Q340" s="286"/>
    </row>
    <row r="341" spans="1:17">
      <c r="A341" s="286"/>
      <c r="B341" s="796" t="s">
        <v>576</v>
      </c>
      <c r="C341" s="865" t="s">
        <v>148</v>
      </c>
      <c r="D341" s="893">
        <f>E272</f>
        <v>45</v>
      </c>
      <c r="E341" s="864"/>
      <c r="F341" s="286"/>
      <c r="G341" s="286"/>
      <c r="H341" s="286"/>
      <c r="I341" s="286"/>
      <c r="J341" s="992"/>
      <c r="K341" s="989"/>
      <c r="L341" s="989"/>
      <c r="M341" s="989"/>
      <c r="N341" s="996"/>
      <c r="O341" s="286"/>
      <c r="P341" s="286"/>
      <c r="Q341" s="286"/>
    </row>
    <row r="342" spans="1:17">
      <c r="A342" s="286"/>
      <c r="B342" s="1001" t="s">
        <v>539</v>
      </c>
      <c r="C342" s="865" t="s">
        <v>148</v>
      </c>
      <c r="D342" s="221">
        <v>150</v>
      </c>
      <c r="E342" s="864"/>
      <c r="F342" s="286"/>
      <c r="G342" s="286"/>
      <c r="H342" s="286"/>
      <c r="I342" s="286"/>
      <c r="J342" s="439"/>
      <c r="K342" s="440"/>
      <c r="L342" s="440"/>
      <c r="M342" s="440"/>
      <c r="N342" s="441"/>
      <c r="O342" s="286"/>
      <c r="P342" s="286"/>
      <c r="Q342" s="286"/>
    </row>
    <row r="343" spans="1:17">
      <c r="A343" s="286"/>
      <c r="B343" s="1011" t="s">
        <v>577</v>
      </c>
      <c r="C343" s="990" t="s">
        <v>148</v>
      </c>
      <c r="D343" s="834">
        <v>500</v>
      </c>
      <c r="E343" s="864"/>
      <c r="F343" s="286"/>
      <c r="G343" s="286"/>
      <c r="H343" s="286"/>
      <c r="I343" s="286"/>
      <c r="J343" s="1192" t="s">
        <v>375</v>
      </c>
      <c r="K343" s="1193"/>
      <c r="L343" s="1193"/>
      <c r="M343" s="1193"/>
      <c r="N343" s="1194"/>
      <c r="O343" s="286"/>
      <c r="P343" s="286"/>
      <c r="Q343" s="286"/>
    </row>
    <row r="344" spans="1:17">
      <c r="A344" s="286"/>
      <c r="B344" s="538" t="s">
        <v>578</v>
      </c>
      <c r="C344" s="539" t="s">
        <v>148</v>
      </c>
      <c r="D344" s="835">
        <v>100</v>
      </c>
      <c r="E344" s="864"/>
      <c r="F344" s="288"/>
      <c r="G344" s="286"/>
      <c r="H344" s="286"/>
      <c r="I344" s="286"/>
      <c r="J344" s="1001"/>
      <c r="K344" s="865"/>
      <c r="L344" s="1002"/>
      <c r="M344" s="856" t="s">
        <v>185</v>
      </c>
      <c r="N344" s="286"/>
      <c r="O344" s="286"/>
      <c r="P344" s="286"/>
      <c r="Q344" s="286"/>
    </row>
    <row r="345" spans="1:17">
      <c r="A345" s="286"/>
      <c r="B345" s="538" t="s">
        <v>579</v>
      </c>
      <c r="C345" s="539" t="s">
        <v>86</v>
      </c>
      <c r="D345" s="835">
        <v>350</v>
      </c>
      <c r="E345" s="864"/>
      <c r="F345" s="288"/>
      <c r="G345" s="286"/>
      <c r="H345" s="286"/>
      <c r="I345" s="286"/>
      <c r="J345" s="1001" t="s">
        <v>568</v>
      </c>
      <c r="K345" s="286"/>
      <c r="L345" s="865" t="s">
        <v>63</v>
      </c>
      <c r="M345" s="893">
        <f t="shared" ref="M345:M350" si="3">D332</f>
        <v>200</v>
      </c>
      <c r="N345" s="286"/>
      <c r="O345" s="286"/>
      <c r="P345" s="286"/>
      <c r="Q345" s="286"/>
    </row>
    <row r="346" spans="1:17">
      <c r="A346" s="286"/>
      <c r="B346" s="538" t="s">
        <v>580</v>
      </c>
      <c r="C346" s="539" t="s">
        <v>86</v>
      </c>
      <c r="D346" s="835">
        <v>650</v>
      </c>
      <c r="E346" s="864"/>
      <c r="F346" s="286"/>
      <c r="G346" s="286"/>
      <c r="H346" s="286"/>
      <c r="I346" s="286"/>
      <c r="J346" s="1001" t="s">
        <v>569</v>
      </c>
      <c r="K346" s="286"/>
      <c r="L346" s="865" t="s">
        <v>148</v>
      </c>
      <c r="M346" s="893">
        <f t="shared" si="3"/>
        <v>180</v>
      </c>
      <c r="N346" s="286"/>
      <c r="O346" s="286"/>
      <c r="P346" s="286"/>
      <c r="Q346" s="286"/>
    </row>
    <row r="347" spans="1:17">
      <c r="A347" s="286"/>
      <c r="B347" s="538" t="s">
        <v>581</v>
      </c>
      <c r="C347" s="539" t="s">
        <v>63</v>
      </c>
      <c r="D347" s="835">
        <v>500</v>
      </c>
      <c r="E347" s="864"/>
      <c r="F347" s="286"/>
      <c r="G347" s="286"/>
      <c r="H347" s="286"/>
      <c r="I347" s="286"/>
      <c r="J347" s="1001" t="s">
        <v>570</v>
      </c>
      <c r="K347" s="286"/>
      <c r="L347" s="865" t="s">
        <v>148</v>
      </c>
      <c r="M347" s="893">
        <f t="shared" si="3"/>
        <v>240</v>
      </c>
      <c r="N347" s="286"/>
      <c r="O347" s="286"/>
      <c r="P347" s="286"/>
      <c r="Q347" s="286"/>
    </row>
    <row r="348" spans="1:17">
      <c r="A348" s="286"/>
      <c r="B348" s="538" t="s">
        <v>582</v>
      </c>
      <c r="C348" s="539" t="s">
        <v>519</v>
      </c>
      <c r="D348" s="835">
        <v>2000</v>
      </c>
      <c r="E348" s="864"/>
      <c r="F348" s="286"/>
      <c r="G348" s="286"/>
      <c r="H348" s="286"/>
      <c r="I348" s="286"/>
      <c r="J348" s="1001" t="s">
        <v>571</v>
      </c>
      <c r="K348" s="286"/>
      <c r="L348" s="865" t="s">
        <v>148</v>
      </c>
      <c r="M348" s="893">
        <f t="shared" si="3"/>
        <v>200</v>
      </c>
      <c r="N348" s="286"/>
      <c r="O348" s="286"/>
      <c r="P348" s="286"/>
      <c r="Q348" s="286"/>
    </row>
    <row r="349" spans="1:17">
      <c r="A349" s="286"/>
      <c r="B349" s="992"/>
      <c r="C349" s="989"/>
      <c r="D349" s="989"/>
      <c r="E349" s="989"/>
      <c r="F349" s="996"/>
      <c r="G349" s="286"/>
      <c r="H349" s="286"/>
      <c r="I349" s="286"/>
      <c r="J349" s="1001" t="s">
        <v>572</v>
      </c>
      <c r="K349" s="286"/>
      <c r="L349" s="865" t="s">
        <v>148</v>
      </c>
      <c r="M349" s="893">
        <f t="shared" si="3"/>
        <v>600</v>
      </c>
      <c r="N349" s="286"/>
      <c r="O349" s="286"/>
      <c r="P349" s="286"/>
      <c r="Q349" s="286"/>
    </row>
    <row r="350" spans="1:17">
      <c r="A350" s="286"/>
      <c r="B350" s="853" t="s">
        <v>583</v>
      </c>
      <c r="C350" s="989"/>
      <c r="D350" s="854" t="s">
        <v>184</v>
      </c>
      <c r="E350" s="989"/>
      <c r="F350" s="855" t="s">
        <v>185</v>
      </c>
      <c r="G350" s="286"/>
      <c r="H350" s="286"/>
      <c r="I350" s="286"/>
      <c r="J350" s="1001" t="s">
        <v>573</v>
      </c>
      <c r="K350" s="286"/>
      <c r="L350" s="865" t="s">
        <v>148</v>
      </c>
      <c r="M350" s="893">
        <f t="shared" si="3"/>
        <v>150</v>
      </c>
      <c r="N350" s="286"/>
      <c r="O350" s="286"/>
      <c r="P350" s="286"/>
      <c r="Q350" s="286"/>
    </row>
    <row r="351" spans="1:17">
      <c r="A351" s="286"/>
      <c r="B351" s="992" t="s">
        <v>584</v>
      </c>
      <c r="C351" s="989" t="s">
        <v>85</v>
      </c>
      <c r="D351" s="445">
        <v>8</v>
      </c>
      <c r="E351" s="989"/>
      <c r="F351" s="444">
        <v>5</v>
      </c>
      <c r="G351" s="286"/>
      <c r="H351" s="286"/>
      <c r="I351" s="286"/>
      <c r="J351" s="1001" t="s">
        <v>574</v>
      </c>
      <c r="K351" s="286"/>
      <c r="L351" s="865" t="s">
        <v>86</v>
      </c>
      <c r="M351" s="893">
        <f>D339</f>
        <v>5</v>
      </c>
      <c r="N351" s="286"/>
      <c r="O351" s="286"/>
      <c r="P351" s="286"/>
      <c r="Q351" s="286"/>
    </row>
    <row r="352" spans="1:17">
      <c r="A352" s="286"/>
      <c r="B352" s="992" t="s">
        <v>585</v>
      </c>
      <c r="C352" s="989" t="s">
        <v>85</v>
      </c>
      <c r="D352" s="445">
        <v>2</v>
      </c>
      <c r="E352" s="989"/>
      <c r="F352" s="444">
        <v>5</v>
      </c>
      <c r="G352" s="286"/>
      <c r="H352" s="286"/>
      <c r="I352" s="286"/>
      <c r="J352" s="1001" t="s">
        <v>575</v>
      </c>
      <c r="K352" s="286"/>
      <c r="L352" s="865" t="s">
        <v>148</v>
      </c>
      <c r="M352" s="893">
        <f>D340</f>
        <v>180</v>
      </c>
      <c r="N352" s="286"/>
      <c r="O352" s="286"/>
      <c r="P352" s="286"/>
      <c r="Q352" s="286"/>
    </row>
    <row r="353" spans="1:17">
      <c r="A353" s="286"/>
      <c r="B353" s="992" t="s">
        <v>586</v>
      </c>
      <c r="C353" s="989" t="s">
        <v>85</v>
      </c>
      <c r="D353" s="445">
        <v>38</v>
      </c>
      <c r="E353" s="989"/>
      <c r="F353" s="444">
        <v>5</v>
      </c>
      <c r="G353" s="286"/>
      <c r="H353" s="286"/>
      <c r="I353" s="286"/>
      <c r="J353" s="1001" t="s">
        <v>576</v>
      </c>
      <c r="K353" s="286"/>
      <c r="L353" s="865" t="s">
        <v>148</v>
      </c>
      <c r="M353" s="893">
        <f>D341</f>
        <v>45</v>
      </c>
      <c r="N353" s="286"/>
      <c r="O353" s="286"/>
      <c r="P353" s="286"/>
      <c r="Q353" s="286"/>
    </row>
    <row r="354" spans="1:17" ht="22.25" customHeight="1">
      <c r="A354" s="286"/>
      <c r="B354" s="992" t="s">
        <v>587</v>
      </c>
      <c r="C354" s="989" t="s">
        <v>85</v>
      </c>
      <c r="D354" s="445">
        <v>10</v>
      </c>
      <c r="E354" s="989"/>
      <c r="F354" s="444">
        <v>5</v>
      </c>
      <c r="G354" s="286"/>
      <c r="H354" s="286"/>
      <c r="I354" s="286"/>
      <c r="J354" s="1166" t="s">
        <v>577</v>
      </c>
      <c r="K354" s="1166"/>
      <c r="L354" s="990" t="s">
        <v>148</v>
      </c>
      <c r="M354" s="834">
        <v>500</v>
      </c>
      <c r="N354" s="286"/>
      <c r="O354" s="286"/>
      <c r="P354" s="286"/>
      <c r="Q354" s="286"/>
    </row>
    <row r="355" spans="1:17" ht="22.25" customHeight="1">
      <c r="A355" s="286"/>
      <c r="B355" s="992" t="s">
        <v>588</v>
      </c>
      <c r="C355" s="989" t="s">
        <v>85</v>
      </c>
      <c r="D355" s="445">
        <v>4</v>
      </c>
      <c r="E355" s="989"/>
      <c r="F355" s="444">
        <v>5</v>
      </c>
      <c r="G355" s="286"/>
      <c r="H355" s="286"/>
      <c r="I355" s="286"/>
      <c r="J355" s="1166" t="s">
        <v>579</v>
      </c>
      <c r="K355" s="1166"/>
      <c r="L355" s="539" t="s">
        <v>86</v>
      </c>
      <c r="M355" s="894">
        <f>D345</f>
        <v>350</v>
      </c>
      <c r="N355" s="286"/>
      <c r="O355" s="286"/>
      <c r="P355" s="286"/>
      <c r="Q355" s="286"/>
    </row>
    <row r="356" spans="1:17" ht="22.75" customHeight="1">
      <c r="A356" s="286"/>
      <c r="B356" s="992" t="s">
        <v>589</v>
      </c>
      <c r="C356" s="989" t="s">
        <v>85</v>
      </c>
      <c r="D356" s="445">
        <v>8</v>
      </c>
      <c r="E356" s="989"/>
      <c r="F356" s="444">
        <v>5</v>
      </c>
      <c r="G356" s="286"/>
      <c r="H356" s="286"/>
      <c r="I356" s="286"/>
      <c r="J356" s="1166" t="s">
        <v>580</v>
      </c>
      <c r="K356" s="1166"/>
      <c r="L356" s="539" t="s">
        <v>86</v>
      </c>
      <c r="M356" s="894">
        <f>D346</f>
        <v>650</v>
      </c>
      <c r="N356" s="286"/>
      <c r="O356" s="286"/>
      <c r="P356" s="286"/>
      <c r="Q356" s="286"/>
    </row>
    <row r="357" spans="1:17" ht="22.75" customHeight="1">
      <c r="A357" s="286"/>
      <c r="B357" s="992" t="s">
        <v>590</v>
      </c>
      <c r="C357" s="989" t="s">
        <v>85</v>
      </c>
      <c r="D357" s="445">
        <v>4</v>
      </c>
      <c r="E357" s="989"/>
      <c r="F357" s="444">
        <v>5</v>
      </c>
      <c r="G357" s="286"/>
      <c r="H357" s="286"/>
      <c r="I357" s="286"/>
      <c r="J357" s="1166" t="s">
        <v>581</v>
      </c>
      <c r="K357" s="1166"/>
      <c r="L357" s="539" t="s">
        <v>63</v>
      </c>
      <c r="M357" s="894">
        <f>D347</f>
        <v>500</v>
      </c>
      <c r="N357" s="286"/>
      <c r="O357" s="286"/>
      <c r="P357" s="286"/>
      <c r="Q357" s="286"/>
    </row>
    <row r="358" spans="1:17" ht="21" customHeight="1">
      <c r="A358" s="286"/>
      <c r="B358" s="992" t="s">
        <v>591</v>
      </c>
      <c r="C358" s="989" t="s">
        <v>85</v>
      </c>
      <c r="D358" s="445">
        <v>4</v>
      </c>
      <c r="E358" s="989"/>
      <c r="F358" s="444">
        <v>5</v>
      </c>
      <c r="G358" s="286"/>
      <c r="H358" s="286"/>
      <c r="I358" s="286"/>
      <c r="J358" s="1166" t="s">
        <v>582</v>
      </c>
      <c r="K358" s="1166"/>
      <c r="L358" s="539" t="s">
        <v>519</v>
      </c>
      <c r="M358" s="835"/>
      <c r="N358" s="286"/>
      <c r="O358" s="286"/>
      <c r="P358" s="286"/>
      <c r="Q358" s="286"/>
    </row>
    <row r="359" spans="1:17">
      <c r="A359" s="286"/>
      <c r="B359" s="992" t="s">
        <v>592</v>
      </c>
      <c r="C359" s="989" t="s">
        <v>85</v>
      </c>
      <c r="D359" s="445">
        <v>4</v>
      </c>
      <c r="E359" s="989"/>
      <c r="F359" s="444">
        <v>5</v>
      </c>
      <c r="G359" s="286"/>
      <c r="H359" s="286"/>
      <c r="I359" s="286"/>
      <c r="J359" s="286"/>
      <c r="K359" s="286"/>
      <c r="L359" s="286"/>
      <c r="M359" s="286"/>
      <c r="N359" s="286"/>
      <c r="O359" s="286"/>
      <c r="P359" s="286"/>
      <c r="Q359" s="286"/>
    </row>
    <row r="360" spans="1:17">
      <c r="A360" s="286"/>
      <c r="B360" s="992" t="s">
        <v>593</v>
      </c>
      <c r="C360" s="989" t="s">
        <v>85</v>
      </c>
      <c r="D360" s="445">
        <v>12</v>
      </c>
      <c r="E360" s="989"/>
      <c r="F360" s="444">
        <v>5</v>
      </c>
      <c r="G360" s="286"/>
      <c r="H360" s="286"/>
      <c r="I360" s="286"/>
      <c r="J360" s="286"/>
      <c r="K360" s="286"/>
      <c r="L360" s="286"/>
      <c r="M360" s="286"/>
      <c r="N360" s="286"/>
      <c r="O360" s="286"/>
      <c r="P360" s="286"/>
      <c r="Q360" s="286"/>
    </row>
    <row r="361" spans="1:17">
      <c r="A361" s="286"/>
      <c r="B361" s="992" t="s">
        <v>594</v>
      </c>
      <c r="C361" s="989" t="s">
        <v>85</v>
      </c>
      <c r="D361" s="445">
        <v>0</v>
      </c>
      <c r="E361" s="989"/>
      <c r="F361" s="444">
        <v>5</v>
      </c>
      <c r="G361" s="286"/>
      <c r="H361" s="286"/>
      <c r="I361" s="286"/>
      <c r="J361" s="286"/>
      <c r="K361" s="286"/>
      <c r="L361" s="286"/>
      <c r="M361" s="286"/>
      <c r="N361" s="286"/>
      <c r="O361" s="286"/>
      <c r="P361" s="286"/>
      <c r="Q361" s="286"/>
    </row>
    <row r="362" spans="1:17" ht="16">
      <c r="A362" s="286"/>
      <c r="B362" s="992" t="s">
        <v>595</v>
      </c>
      <c r="C362" s="989" t="s">
        <v>85</v>
      </c>
      <c r="D362" s="445">
        <v>2</v>
      </c>
      <c r="E362" s="989"/>
      <c r="F362" s="444">
        <v>5</v>
      </c>
      <c r="G362" s="1159" t="s">
        <v>502</v>
      </c>
      <c r="H362" s="1160"/>
      <c r="I362" s="1160"/>
      <c r="J362" s="1160"/>
      <c r="K362" s="1160"/>
      <c r="L362" s="286"/>
      <c r="M362" s="286"/>
      <c r="N362" s="286"/>
      <c r="O362" s="286"/>
      <c r="P362" s="286"/>
      <c r="Q362" s="286"/>
    </row>
    <row r="363" spans="1:17" ht="19">
      <c r="A363" s="286"/>
      <c r="B363" s="992" t="s">
        <v>596</v>
      </c>
      <c r="C363" s="989" t="s">
        <v>85</v>
      </c>
      <c r="D363" s="445">
        <v>0</v>
      </c>
      <c r="E363" s="989"/>
      <c r="F363" s="444">
        <v>5</v>
      </c>
      <c r="G363" s="1004" t="s">
        <v>504</v>
      </c>
      <c r="H363" s="1005" t="s">
        <v>148</v>
      </c>
      <c r="I363" s="836">
        <f>D283</f>
        <v>156.19999999999999</v>
      </c>
      <c r="J363" s="1006" t="s">
        <v>714</v>
      </c>
      <c r="K363" s="1005"/>
      <c r="L363" s="286"/>
      <c r="M363" s="286"/>
      <c r="N363" s="286"/>
      <c r="O363" s="286"/>
      <c r="P363" s="286"/>
      <c r="Q363" s="286"/>
    </row>
    <row r="364" spans="1:17">
      <c r="A364" s="286"/>
      <c r="B364" s="992"/>
      <c r="C364" s="989"/>
      <c r="D364" s="989"/>
      <c r="E364" s="989"/>
      <c r="F364" s="996"/>
      <c r="G364" s="538" t="s">
        <v>505</v>
      </c>
      <c r="H364" s="539" t="s">
        <v>63</v>
      </c>
      <c r="I364" s="540"/>
      <c r="J364" s="835">
        <v>17000</v>
      </c>
      <c r="K364" s="539"/>
      <c r="L364" s="286"/>
      <c r="M364" s="286"/>
      <c r="N364" s="286"/>
      <c r="O364" s="286"/>
      <c r="P364" s="286"/>
      <c r="Q364" s="286"/>
    </row>
    <row r="365" spans="1:17">
      <c r="A365" s="286"/>
      <c r="B365" s="992"/>
      <c r="C365" s="989"/>
      <c r="D365" s="989"/>
      <c r="E365" s="989"/>
      <c r="F365" s="996"/>
      <c r="G365" s="538" t="s">
        <v>508</v>
      </c>
      <c r="H365" s="539" t="s">
        <v>63</v>
      </c>
      <c r="I365" s="540"/>
      <c r="J365" s="835">
        <v>16000</v>
      </c>
      <c r="K365" s="539"/>
      <c r="L365" s="286"/>
      <c r="M365" s="286"/>
      <c r="N365" s="286"/>
      <c r="O365" s="286"/>
      <c r="P365" s="286"/>
      <c r="Q365" s="286"/>
    </row>
    <row r="366" spans="1:17">
      <c r="A366" s="286"/>
      <c r="B366" s="853" t="s">
        <v>597</v>
      </c>
      <c r="C366" s="989"/>
      <c r="D366" s="854" t="s">
        <v>184</v>
      </c>
      <c r="E366" s="989"/>
      <c r="F366" s="855" t="s">
        <v>185</v>
      </c>
      <c r="G366" s="538" t="s">
        <v>510</v>
      </c>
      <c r="H366" s="539" t="s">
        <v>170</v>
      </c>
      <c r="I366" s="540"/>
      <c r="J366" s="835">
        <v>1200</v>
      </c>
      <c r="K366" s="539"/>
      <c r="L366" s="286"/>
      <c r="M366" s="286"/>
      <c r="N366" s="286"/>
      <c r="O366" s="286"/>
      <c r="P366" s="286"/>
      <c r="Q366" s="286"/>
    </row>
    <row r="367" spans="1:17">
      <c r="A367" s="286"/>
      <c r="B367" s="992" t="s">
        <v>584</v>
      </c>
      <c r="C367" s="989" t="s">
        <v>85</v>
      </c>
      <c r="D367" s="445">
        <v>8</v>
      </c>
      <c r="E367" s="989"/>
      <c r="F367" s="444">
        <v>5</v>
      </c>
      <c r="G367" s="538" t="s">
        <v>512</v>
      </c>
      <c r="H367" s="539" t="s">
        <v>86</v>
      </c>
      <c r="I367" s="540"/>
      <c r="J367" s="835">
        <v>60</v>
      </c>
      <c r="K367" s="539"/>
      <c r="L367" s="286"/>
      <c r="M367" s="286"/>
      <c r="N367" s="286"/>
      <c r="O367" s="286"/>
      <c r="P367" s="286"/>
      <c r="Q367" s="286"/>
    </row>
    <row r="368" spans="1:17">
      <c r="A368" s="286"/>
      <c r="B368" s="992" t="s">
        <v>585</v>
      </c>
      <c r="C368" s="989" t="s">
        <v>85</v>
      </c>
      <c r="D368" s="445">
        <v>6</v>
      </c>
      <c r="E368" s="989"/>
      <c r="F368" s="444">
        <v>5</v>
      </c>
      <c r="G368" s="538" t="s">
        <v>515</v>
      </c>
      <c r="H368" s="539" t="s">
        <v>148</v>
      </c>
      <c r="I368" s="540"/>
      <c r="J368" s="835">
        <v>50</v>
      </c>
      <c r="K368" s="539"/>
      <c r="L368" s="286"/>
      <c r="M368" s="286"/>
      <c r="N368" s="286"/>
      <c r="O368" s="286"/>
      <c r="P368" s="286"/>
      <c r="Q368" s="286"/>
    </row>
    <row r="369" spans="1:17">
      <c r="A369" s="286"/>
      <c r="B369" s="992" t="s">
        <v>586</v>
      </c>
      <c r="C369" s="989" t="s">
        <v>85</v>
      </c>
      <c r="D369" s="445">
        <v>32</v>
      </c>
      <c r="E369" s="989"/>
      <c r="F369" s="444">
        <v>5</v>
      </c>
      <c r="G369" s="538" t="s">
        <v>638</v>
      </c>
      <c r="H369" s="539" t="s">
        <v>148</v>
      </c>
      <c r="I369" s="540"/>
      <c r="J369" s="835">
        <v>350</v>
      </c>
      <c r="K369" s="539"/>
      <c r="L369" s="286"/>
      <c r="M369" s="286"/>
      <c r="N369" s="286"/>
      <c r="O369" s="286"/>
      <c r="P369" s="286"/>
      <c r="Q369" s="286"/>
    </row>
    <row r="370" spans="1:17">
      <c r="A370" s="286"/>
      <c r="B370" s="992" t="s">
        <v>587</v>
      </c>
      <c r="C370" s="989" t="s">
        <v>85</v>
      </c>
      <c r="D370" s="445">
        <v>10</v>
      </c>
      <c r="E370" s="989"/>
      <c r="F370" s="444">
        <v>5</v>
      </c>
      <c r="G370" s="538" t="s">
        <v>635</v>
      </c>
      <c r="H370" s="539" t="s">
        <v>148</v>
      </c>
      <c r="I370" s="540"/>
      <c r="J370" s="835">
        <v>200</v>
      </c>
      <c r="K370" s="539"/>
      <c r="L370" s="286"/>
      <c r="M370" s="286"/>
      <c r="N370" s="286"/>
      <c r="O370" s="286"/>
      <c r="P370" s="286"/>
      <c r="Q370" s="286"/>
    </row>
    <row r="371" spans="1:17">
      <c r="A371" s="286"/>
      <c r="B371" s="992" t="s">
        <v>588</v>
      </c>
      <c r="C371" s="989" t="s">
        <v>85</v>
      </c>
      <c r="D371" s="445">
        <v>4</v>
      </c>
      <c r="E371" s="989"/>
      <c r="F371" s="444">
        <v>5</v>
      </c>
      <c r="G371" s="538"/>
      <c r="H371" s="539"/>
      <c r="I371" s="540"/>
      <c r="J371" s="539"/>
      <c r="K371" s="539"/>
      <c r="L371" s="286"/>
      <c r="M371" s="286"/>
      <c r="N371" s="286"/>
      <c r="O371" s="286"/>
      <c r="P371" s="286"/>
      <c r="Q371" s="286"/>
    </row>
    <row r="372" spans="1:17">
      <c r="A372" s="286"/>
      <c r="B372" s="1012" t="s">
        <v>589</v>
      </c>
      <c r="C372" s="989" t="s">
        <v>85</v>
      </c>
      <c r="D372" s="445">
        <v>8</v>
      </c>
      <c r="E372" s="989"/>
      <c r="F372" s="444">
        <v>5</v>
      </c>
      <c r="G372" s="538" t="s">
        <v>518</v>
      </c>
      <c r="H372" s="539" t="s">
        <v>519</v>
      </c>
      <c r="I372" s="540">
        <v>1</v>
      </c>
      <c r="J372" s="835">
        <v>2500</v>
      </c>
      <c r="K372" s="539"/>
      <c r="L372" s="286"/>
      <c r="M372" s="286"/>
      <c r="N372" s="286"/>
      <c r="O372" s="286"/>
      <c r="P372" s="286"/>
      <c r="Q372" s="286"/>
    </row>
    <row r="373" spans="1:17">
      <c r="A373" s="286"/>
      <c r="B373" s="1012" t="s">
        <v>590</v>
      </c>
      <c r="C373" s="989" t="s">
        <v>85</v>
      </c>
      <c r="D373" s="445">
        <v>4</v>
      </c>
      <c r="E373" s="989"/>
      <c r="F373" s="444">
        <v>5</v>
      </c>
      <c r="G373" s="538" t="s">
        <v>521</v>
      </c>
      <c r="H373" s="539" t="s">
        <v>155</v>
      </c>
      <c r="I373" s="540">
        <v>1</v>
      </c>
      <c r="J373" s="835">
        <v>10000</v>
      </c>
      <c r="K373" s="285"/>
      <c r="L373" s="286"/>
      <c r="M373" s="286"/>
      <c r="N373" s="286"/>
      <c r="O373" s="286"/>
      <c r="P373" s="286"/>
      <c r="Q373" s="286"/>
    </row>
    <row r="374" spans="1:17">
      <c r="A374" s="286"/>
      <c r="B374" s="1012" t="s">
        <v>591</v>
      </c>
      <c r="C374" s="989" t="s">
        <v>85</v>
      </c>
      <c r="D374" s="445">
        <v>4</v>
      </c>
      <c r="E374" s="989"/>
      <c r="F374" s="444">
        <v>5</v>
      </c>
      <c r="G374" s="286"/>
      <c r="H374" s="286"/>
      <c r="I374" s="286"/>
      <c r="J374" s="286"/>
      <c r="K374" s="286"/>
      <c r="L374" s="286"/>
      <c r="M374" s="286"/>
      <c r="N374" s="286"/>
      <c r="O374" s="286"/>
      <c r="P374" s="286"/>
      <c r="Q374" s="286"/>
    </row>
    <row r="375" spans="1:17">
      <c r="A375" s="286"/>
      <c r="B375" s="1012" t="s">
        <v>592</v>
      </c>
      <c r="C375" s="989" t="s">
        <v>85</v>
      </c>
      <c r="D375" s="445">
        <v>4</v>
      </c>
      <c r="E375" s="989"/>
      <c r="F375" s="444">
        <v>5</v>
      </c>
      <c r="G375" s="286"/>
      <c r="H375" s="286"/>
      <c r="I375" s="286"/>
      <c r="J375" s="286"/>
      <c r="K375" s="286"/>
      <c r="L375" s="286"/>
      <c r="M375" s="286"/>
      <c r="N375" s="286"/>
      <c r="O375" s="286"/>
      <c r="P375" s="286"/>
      <c r="Q375" s="286"/>
    </row>
    <row r="376" spans="1:17">
      <c r="A376" s="286"/>
      <c r="B376" s="1012" t="s">
        <v>593</v>
      </c>
      <c r="C376" s="989" t="s">
        <v>85</v>
      </c>
      <c r="D376" s="445">
        <v>12</v>
      </c>
      <c r="E376" s="989"/>
      <c r="F376" s="444">
        <v>5</v>
      </c>
      <c r="G376" s="286"/>
      <c r="H376" s="286"/>
      <c r="I376" s="286"/>
      <c r="J376" s="286"/>
      <c r="K376" s="286"/>
      <c r="L376" s="286"/>
      <c r="M376" s="286"/>
      <c r="N376" s="286"/>
      <c r="O376" s="286"/>
      <c r="P376" s="286"/>
      <c r="Q376" s="286"/>
    </row>
    <row r="377" spans="1:17">
      <c r="A377" s="286"/>
      <c r="B377" s="1012" t="s">
        <v>598</v>
      </c>
      <c r="C377" s="989" t="s">
        <v>85</v>
      </c>
      <c r="D377" s="445">
        <v>2</v>
      </c>
      <c r="E377" s="989"/>
      <c r="F377" s="444">
        <v>5</v>
      </c>
      <c r="G377" s="286"/>
      <c r="H377" s="286"/>
      <c r="I377" s="286"/>
      <c r="J377" s="286"/>
      <c r="K377" s="286"/>
      <c r="L377" s="286"/>
      <c r="M377" s="286"/>
      <c r="N377" s="286"/>
      <c r="O377" s="286"/>
      <c r="P377" s="286"/>
      <c r="Q377" s="286"/>
    </row>
    <row r="378" spans="1:17">
      <c r="A378" s="286"/>
      <c r="B378" s="1012" t="s">
        <v>599</v>
      </c>
      <c r="C378" s="989" t="s">
        <v>85</v>
      </c>
      <c r="D378" s="445"/>
      <c r="E378" s="989"/>
      <c r="F378" s="444">
        <v>5</v>
      </c>
      <c r="G378" s="286"/>
      <c r="H378" s="286"/>
      <c r="I378" s="286"/>
      <c r="J378" s="286"/>
      <c r="K378" s="286"/>
      <c r="L378" s="286"/>
      <c r="M378" s="286"/>
      <c r="N378" s="286"/>
      <c r="O378" s="286"/>
      <c r="P378" s="286"/>
      <c r="Q378" s="286"/>
    </row>
    <row r="379" spans="1:17">
      <c r="A379" s="286"/>
      <c r="B379" s="1012" t="s">
        <v>600</v>
      </c>
      <c r="C379" s="989" t="s">
        <v>85</v>
      </c>
      <c r="D379" s="445"/>
      <c r="E379" s="989"/>
      <c r="F379" s="444">
        <v>5</v>
      </c>
      <c r="G379" s="286"/>
      <c r="H379" s="286"/>
      <c r="I379" s="286"/>
      <c r="J379" s="286"/>
      <c r="K379" s="286"/>
      <c r="L379" s="286"/>
      <c r="M379" s="286"/>
      <c r="N379" s="286"/>
      <c r="O379" s="286"/>
      <c r="P379" s="286"/>
      <c r="Q379" s="286"/>
    </row>
    <row r="380" spans="1:17">
      <c r="A380" s="286"/>
      <c r="B380" s="992"/>
      <c r="C380" s="989"/>
      <c r="D380" s="989"/>
      <c r="E380" s="989"/>
      <c r="F380" s="996"/>
      <c r="G380" s="286"/>
      <c r="H380" s="286"/>
      <c r="I380" s="286"/>
      <c r="J380" s="286"/>
      <c r="K380" s="286"/>
      <c r="L380" s="286"/>
      <c r="M380" s="286"/>
      <c r="N380" s="286"/>
      <c r="O380" s="286"/>
      <c r="P380" s="286"/>
      <c r="Q380" s="286"/>
    </row>
    <row r="381" spans="1:17">
      <c r="A381" s="286"/>
      <c r="B381" s="992"/>
      <c r="C381" s="989"/>
      <c r="D381" s="989"/>
      <c r="E381" s="989"/>
      <c r="F381" s="996"/>
      <c r="G381" s="286"/>
      <c r="H381" s="286"/>
      <c r="I381" s="286"/>
      <c r="J381" s="286"/>
      <c r="K381" s="286"/>
      <c r="L381" s="286"/>
      <c r="M381" s="286"/>
      <c r="N381" s="286"/>
      <c r="O381" s="286"/>
      <c r="P381" s="286"/>
      <c r="Q381" s="286"/>
    </row>
    <row r="382" spans="1:17">
      <c r="A382" s="286"/>
      <c r="B382" s="992"/>
      <c r="C382" s="989"/>
      <c r="D382" s="989"/>
      <c r="E382" s="989"/>
      <c r="F382" s="996"/>
      <c r="G382" s="286"/>
      <c r="H382" s="286"/>
      <c r="I382" s="286"/>
      <c r="J382" s="286"/>
      <c r="K382" s="286"/>
      <c r="L382" s="286"/>
      <c r="M382" s="286"/>
      <c r="N382" s="286"/>
      <c r="O382" s="286"/>
      <c r="P382" s="286"/>
      <c r="Q382" s="286"/>
    </row>
    <row r="383" spans="1:17">
      <c r="A383" s="286"/>
      <c r="B383" s="992"/>
      <c r="C383" s="989"/>
      <c r="D383" s="989"/>
      <c r="E383" s="989"/>
      <c r="F383" s="996"/>
      <c r="G383" s="286"/>
      <c r="H383" s="286"/>
      <c r="I383" s="286"/>
      <c r="J383" s="286"/>
      <c r="K383" s="286"/>
      <c r="L383" s="286"/>
      <c r="M383" s="286"/>
      <c r="N383" s="286"/>
      <c r="O383" s="286"/>
      <c r="P383" s="286"/>
      <c r="Q383" s="286"/>
    </row>
    <row r="384" spans="1:17">
      <c r="A384" s="286"/>
      <c r="B384" s="992"/>
      <c r="C384" s="989"/>
      <c r="D384" s="989"/>
      <c r="E384" s="989"/>
      <c r="F384" s="996"/>
      <c r="G384" s="286"/>
      <c r="H384" s="286"/>
      <c r="I384" s="286"/>
      <c r="J384" s="286"/>
      <c r="K384" s="286"/>
      <c r="L384" s="286"/>
      <c r="M384" s="286"/>
      <c r="N384" s="286"/>
      <c r="O384" s="286"/>
      <c r="P384" s="286"/>
      <c r="Q384" s="286"/>
    </row>
    <row r="385" spans="1:17">
      <c r="A385" s="286"/>
      <c r="B385" s="992"/>
      <c r="C385" s="989"/>
      <c r="D385" s="989"/>
      <c r="E385" s="989"/>
      <c r="F385" s="1007"/>
      <c r="G385" s="286"/>
      <c r="H385" s="286"/>
      <c r="I385" s="286"/>
      <c r="J385" s="286"/>
      <c r="K385" s="286"/>
      <c r="L385" s="286"/>
      <c r="M385" s="286"/>
      <c r="N385" s="286"/>
      <c r="O385" s="286"/>
      <c r="P385" s="286"/>
      <c r="Q385" s="286"/>
    </row>
    <row r="386" spans="1:17">
      <c r="A386" s="286"/>
      <c r="B386" s="286"/>
      <c r="C386" s="286"/>
      <c r="D386" s="286"/>
      <c r="E386" s="286"/>
      <c r="F386" s="286"/>
      <c r="G386" s="286"/>
      <c r="H386" s="286"/>
      <c r="I386" s="286"/>
      <c r="J386" s="286"/>
      <c r="K386" s="286"/>
      <c r="L386" s="286"/>
      <c r="M386" s="286"/>
      <c r="N386" s="286"/>
      <c r="O386" s="286"/>
      <c r="P386" s="286"/>
      <c r="Q386" s="286"/>
    </row>
    <row r="387" spans="1:17">
      <c r="A387" s="286"/>
      <c r="B387" s="286"/>
      <c r="C387" s="286"/>
      <c r="D387" s="286"/>
      <c r="E387" s="286"/>
      <c r="F387" s="286"/>
      <c r="G387" s="286"/>
      <c r="H387" s="286"/>
      <c r="I387" s="286"/>
      <c r="J387" s="286"/>
      <c r="K387" s="286"/>
      <c r="L387" s="286"/>
      <c r="M387" s="286"/>
      <c r="N387" s="286"/>
      <c r="O387" s="286"/>
      <c r="P387" s="286"/>
      <c r="Q387" s="286"/>
    </row>
    <row r="388" spans="1:17">
      <c r="A388" s="286"/>
      <c r="B388" s="286"/>
      <c r="C388" s="286"/>
      <c r="D388" s="286"/>
      <c r="E388" s="286"/>
      <c r="F388" s="286"/>
      <c r="G388" s="286"/>
      <c r="H388" s="286"/>
      <c r="I388" s="286"/>
      <c r="J388" s="286"/>
      <c r="K388" s="286"/>
      <c r="L388" s="286"/>
      <c r="M388" s="286"/>
      <c r="N388" s="286"/>
      <c r="O388" s="286"/>
      <c r="P388" s="286"/>
      <c r="Q388" s="286"/>
    </row>
    <row r="389" spans="1:17">
      <c r="A389" s="286"/>
      <c r="B389" s="286"/>
      <c r="C389" s="286"/>
      <c r="D389" s="286"/>
      <c r="E389" s="286"/>
      <c r="F389" s="286"/>
      <c r="G389" s="286"/>
      <c r="H389" s="286"/>
      <c r="I389" s="286"/>
      <c r="J389" s="286"/>
      <c r="K389" s="286"/>
      <c r="L389" s="286"/>
      <c r="M389" s="286"/>
      <c r="N389" s="286"/>
      <c r="O389" s="286"/>
      <c r="P389" s="286"/>
      <c r="Q389" s="286"/>
    </row>
    <row r="390" spans="1:17">
      <c r="A390" s="286"/>
      <c r="B390" s="286"/>
      <c r="C390" s="286"/>
      <c r="D390" s="286"/>
      <c r="E390" s="286"/>
      <c r="F390" s="286"/>
      <c r="G390" s="286"/>
      <c r="H390" s="286"/>
      <c r="I390" s="286"/>
      <c r="J390" s="286"/>
      <c r="K390" s="286"/>
      <c r="L390" s="286"/>
      <c r="M390" s="286"/>
      <c r="N390" s="286"/>
      <c r="O390" s="286"/>
      <c r="P390" s="286"/>
      <c r="Q390" s="286"/>
    </row>
    <row r="391" spans="1:17">
      <c r="A391" s="286"/>
      <c r="B391" s="286"/>
      <c r="C391" s="286"/>
      <c r="D391" s="286"/>
      <c r="E391" s="286"/>
      <c r="F391" s="286"/>
      <c r="G391" s="286"/>
      <c r="H391" s="286"/>
      <c r="I391" s="286"/>
      <c r="J391" s="286"/>
      <c r="K391" s="286"/>
      <c r="L391" s="286"/>
      <c r="M391" s="286"/>
      <c r="N391" s="286"/>
      <c r="O391" s="286"/>
      <c r="P391" s="286"/>
      <c r="Q391" s="286"/>
    </row>
    <row r="392" spans="1:17">
      <c r="A392" s="286"/>
      <c r="B392" s="286"/>
      <c r="C392" s="286"/>
      <c r="D392" s="286"/>
      <c r="E392" s="286"/>
      <c r="F392" s="286"/>
      <c r="G392" s="286"/>
      <c r="H392" s="286"/>
      <c r="I392" s="286"/>
      <c r="J392" s="286"/>
      <c r="K392" s="286"/>
      <c r="L392" s="286"/>
      <c r="M392" s="286"/>
      <c r="N392" s="286"/>
      <c r="O392" s="286"/>
      <c r="P392" s="286"/>
      <c r="Q392" s="286"/>
    </row>
    <row r="393" spans="1:17">
      <c r="A393" s="286"/>
      <c r="B393" s="286"/>
      <c r="C393" s="286"/>
      <c r="D393" s="286"/>
      <c r="E393" s="286"/>
      <c r="F393" s="286"/>
      <c r="G393" s="286"/>
      <c r="H393" s="286"/>
      <c r="I393" s="286"/>
      <c r="J393" s="286"/>
      <c r="K393" s="286"/>
      <c r="L393" s="286"/>
      <c r="M393" s="286"/>
      <c r="N393" s="286"/>
      <c r="O393" s="286"/>
      <c r="P393" s="286"/>
      <c r="Q393" s="286"/>
    </row>
    <row r="394" spans="1:17">
      <c r="A394" s="286"/>
      <c r="B394" s="286"/>
      <c r="C394" s="286"/>
      <c r="D394" s="286"/>
      <c r="E394" s="286"/>
      <c r="F394" s="286"/>
      <c r="G394" s="286"/>
      <c r="H394" s="286"/>
      <c r="I394" s="286"/>
      <c r="J394" s="286"/>
      <c r="K394" s="286"/>
      <c r="L394" s="286"/>
      <c r="M394" s="286"/>
      <c r="N394" s="286"/>
      <c r="O394" s="286"/>
      <c r="P394" s="286"/>
      <c r="Q394" s="286"/>
    </row>
    <row r="395" spans="1:17">
      <c r="A395" s="286"/>
      <c r="B395" s="286"/>
      <c r="C395" s="286"/>
      <c r="D395" s="286"/>
      <c r="E395" s="286"/>
      <c r="F395" s="286"/>
      <c r="G395" s="286"/>
      <c r="H395" s="286"/>
      <c r="I395" s="286"/>
      <c r="J395" s="286"/>
      <c r="K395" s="286"/>
      <c r="L395" s="286"/>
      <c r="M395" s="286"/>
      <c r="N395" s="286"/>
      <c r="O395" s="286"/>
      <c r="P395" s="286"/>
      <c r="Q395" s="286"/>
    </row>
  </sheetData>
  <mergeCells count="249">
    <mergeCell ref="R101:T101"/>
    <mergeCell ref="U101:W101"/>
    <mergeCell ref="R98:T98"/>
    <mergeCell ref="U98:W98"/>
    <mergeCell ref="R99:T99"/>
    <mergeCell ref="U99:W99"/>
    <mergeCell ref="R100:T100"/>
    <mergeCell ref="U100:W100"/>
    <mergeCell ref="R95:T95"/>
    <mergeCell ref="U95:W95"/>
    <mergeCell ref="R96:T96"/>
    <mergeCell ref="U96:W96"/>
    <mergeCell ref="R97:T97"/>
    <mergeCell ref="U97:W97"/>
    <mergeCell ref="R92:T92"/>
    <mergeCell ref="U92:W92"/>
    <mergeCell ref="R93:T93"/>
    <mergeCell ref="U93:W93"/>
    <mergeCell ref="R94:T94"/>
    <mergeCell ref="U94:W94"/>
    <mergeCell ref="R89:T89"/>
    <mergeCell ref="U89:W89"/>
    <mergeCell ref="R90:T90"/>
    <mergeCell ref="U90:W90"/>
    <mergeCell ref="R91:T91"/>
    <mergeCell ref="U91:W91"/>
    <mergeCell ref="R86:T86"/>
    <mergeCell ref="U86:W86"/>
    <mergeCell ref="R87:T87"/>
    <mergeCell ref="U87:W87"/>
    <mergeCell ref="R88:T88"/>
    <mergeCell ref="U88:W88"/>
    <mergeCell ref="R83:T83"/>
    <mergeCell ref="U83:W83"/>
    <mergeCell ref="R84:T84"/>
    <mergeCell ref="U84:W84"/>
    <mergeCell ref="R85:T85"/>
    <mergeCell ref="U85:W85"/>
    <mergeCell ref="R80:T80"/>
    <mergeCell ref="U80:W80"/>
    <mergeCell ref="R81:T81"/>
    <mergeCell ref="U81:W81"/>
    <mergeCell ref="R82:T82"/>
    <mergeCell ref="U82:W82"/>
    <mergeCell ref="R77:T77"/>
    <mergeCell ref="U77:W77"/>
    <mergeCell ref="R78:T78"/>
    <mergeCell ref="U78:W78"/>
    <mergeCell ref="R79:T79"/>
    <mergeCell ref="U79:W79"/>
    <mergeCell ref="R74:T74"/>
    <mergeCell ref="U74:W74"/>
    <mergeCell ref="R75:T75"/>
    <mergeCell ref="U75:W75"/>
    <mergeCell ref="R76:T76"/>
    <mergeCell ref="U76:W76"/>
    <mergeCell ref="R71:T71"/>
    <mergeCell ref="U71:W71"/>
    <mergeCell ref="R72:T72"/>
    <mergeCell ref="U72:W72"/>
    <mergeCell ref="R73:T73"/>
    <mergeCell ref="U73:W73"/>
    <mergeCell ref="R68:T68"/>
    <mergeCell ref="U68:W68"/>
    <mergeCell ref="R69:T69"/>
    <mergeCell ref="U69:W69"/>
    <mergeCell ref="R70:T70"/>
    <mergeCell ref="U70:W70"/>
    <mergeCell ref="R65:T65"/>
    <mergeCell ref="U65:W65"/>
    <mergeCell ref="R66:T66"/>
    <mergeCell ref="U66:W66"/>
    <mergeCell ref="R67:T67"/>
    <mergeCell ref="U67:W67"/>
    <mergeCell ref="R62:T62"/>
    <mergeCell ref="U62:W62"/>
    <mergeCell ref="R63:T63"/>
    <mergeCell ref="U63:W63"/>
    <mergeCell ref="R64:T64"/>
    <mergeCell ref="U64:W64"/>
    <mergeCell ref="R59:T59"/>
    <mergeCell ref="U59:W59"/>
    <mergeCell ref="R60:T60"/>
    <mergeCell ref="U60:W60"/>
    <mergeCell ref="R61:T61"/>
    <mergeCell ref="U61:W61"/>
    <mergeCell ref="R56:T56"/>
    <mergeCell ref="U56:W56"/>
    <mergeCell ref="R57:T57"/>
    <mergeCell ref="U57:W57"/>
    <mergeCell ref="R58:T58"/>
    <mergeCell ref="U58:W58"/>
    <mergeCell ref="R53:T53"/>
    <mergeCell ref="U53:W53"/>
    <mergeCell ref="R54:T54"/>
    <mergeCell ref="U54:W54"/>
    <mergeCell ref="R55:T55"/>
    <mergeCell ref="U55:W55"/>
    <mergeCell ref="R50:T50"/>
    <mergeCell ref="U50:W50"/>
    <mergeCell ref="R51:T51"/>
    <mergeCell ref="U51:W51"/>
    <mergeCell ref="R52:T52"/>
    <mergeCell ref="U52:W52"/>
    <mergeCell ref="R47:T47"/>
    <mergeCell ref="U47:W47"/>
    <mergeCell ref="R48:T48"/>
    <mergeCell ref="U48:W48"/>
    <mergeCell ref="R49:T49"/>
    <mergeCell ref="U49:W49"/>
    <mergeCell ref="R44:T44"/>
    <mergeCell ref="U44:W44"/>
    <mergeCell ref="R45:T45"/>
    <mergeCell ref="U45:W45"/>
    <mergeCell ref="R46:T46"/>
    <mergeCell ref="U46:W46"/>
    <mergeCell ref="R41:T41"/>
    <mergeCell ref="U41:W41"/>
    <mergeCell ref="R42:T42"/>
    <mergeCell ref="U42:W42"/>
    <mergeCell ref="R43:T43"/>
    <mergeCell ref="U43:W43"/>
    <mergeCell ref="R38:T38"/>
    <mergeCell ref="U38:W38"/>
    <mergeCell ref="R39:T39"/>
    <mergeCell ref="U39:W39"/>
    <mergeCell ref="R40:T40"/>
    <mergeCell ref="U40:W40"/>
    <mergeCell ref="R35:T35"/>
    <mergeCell ref="U35:W35"/>
    <mergeCell ref="R36:T36"/>
    <mergeCell ref="U36:W36"/>
    <mergeCell ref="R37:T37"/>
    <mergeCell ref="U37:W37"/>
    <mergeCell ref="R32:T32"/>
    <mergeCell ref="U32:W32"/>
    <mergeCell ref="R33:T33"/>
    <mergeCell ref="U33:W33"/>
    <mergeCell ref="R34:T34"/>
    <mergeCell ref="U34:W34"/>
    <mergeCell ref="R29:T29"/>
    <mergeCell ref="U29:W29"/>
    <mergeCell ref="R30:T30"/>
    <mergeCell ref="U30:W30"/>
    <mergeCell ref="R31:T31"/>
    <mergeCell ref="U31:W31"/>
    <mergeCell ref="R26:T26"/>
    <mergeCell ref="U26:W26"/>
    <mergeCell ref="R27:T27"/>
    <mergeCell ref="U27:W27"/>
    <mergeCell ref="R28:T28"/>
    <mergeCell ref="U28:W28"/>
    <mergeCell ref="R23:T23"/>
    <mergeCell ref="U23:W23"/>
    <mergeCell ref="R24:T24"/>
    <mergeCell ref="U24:W24"/>
    <mergeCell ref="R25:T25"/>
    <mergeCell ref="U25:W25"/>
    <mergeCell ref="R20:T20"/>
    <mergeCell ref="U20:W20"/>
    <mergeCell ref="R21:T21"/>
    <mergeCell ref="U21:W21"/>
    <mergeCell ref="R22:T22"/>
    <mergeCell ref="U22:W22"/>
    <mergeCell ref="R17:T17"/>
    <mergeCell ref="U17:W17"/>
    <mergeCell ref="R18:T18"/>
    <mergeCell ref="U18:W18"/>
    <mergeCell ref="R19:T19"/>
    <mergeCell ref="U19:W19"/>
    <mergeCell ref="R14:T14"/>
    <mergeCell ref="U14:W14"/>
    <mergeCell ref="R15:T15"/>
    <mergeCell ref="U15:W15"/>
    <mergeCell ref="R16:T16"/>
    <mergeCell ref="U16:W16"/>
    <mergeCell ref="R11:T11"/>
    <mergeCell ref="U11:W11"/>
    <mergeCell ref="R12:T12"/>
    <mergeCell ref="U12:W12"/>
    <mergeCell ref="R13:T13"/>
    <mergeCell ref="U13:W13"/>
    <mergeCell ref="R8:T8"/>
    <mergeCell ref="U8:W8"/>
    <mergeCell ref="R9:T9"/>
    <mergeCell ref="U9:W9"/>
    <mergeCell ref="R10:T10"/>
    <mergeCell ref="U10:W10"/>
    <mergeCell ref="R5:T5"/>
    <mergeCell ref="U5:W5"/>
    <mergeCell ref="R6:T6"/>
    <mergeCell ref="U6:W6"/>
    <mergeCell ref="R7:T7"/>
    <mergeCell ref="U7:W7"/>
    <mergeCell ref="R1:W2"/>
    <mergeCell ref="R3:T3"/>
    <mergeCell ref="U3:W3"/>
    <mergeCell ref="R4:T4"/>
    <mergeCell ref="U4:W4"/>
    <mergeCell ref="F1:N2"/>
    <mergeCell ref="F79:N80"/>
    <mergeCell ref="B67:D67"/>
    <mergeCell ref="G61:I61"/>
    <mergeCell ref="B68:C68"/>
    <mergeCell ref="B26:C26"/>
    <mergeCell ref="B27:C27"/>
    <mergeCell ref="B28:C28"/>
    <mergeCell ref="B29:C29"/>
    <mergeCell ref="F37:N38"/>
    <mergeCell ref="B40:D40"/>
    <mergeCell ref="G40:I40"/>
    <mergeCell ref="B47:D47"/>
    <mergeCell ref="G47:I47"/>
    <mergeCell ref="G23:H23"/>
    <mergeCell ref="G21:H21"/>
    <mergeCell ref="A92:A96"/>
    <mergeCell ref="B96:C96"/>
    <mergeCell ref="B101:C101"/>
    <mergeCell ref="J358:K358"/>
    <mergeCell ref="J343:N343"/>
    <mergeCell ref="J354:K354"/>
    <mergeCell ref="J355:K355"/>
    <mergeCell ref="J357:K357"/>
    <mergeCell ref="A208:Q209"/>
    <mergeCell ref="G110:L111"/>
    <mergeCell ref="A165:Q166"/>
    <mergeCell ref="A97:A100"/>
    <mergeCell ref="K101:L101"/>
    <mergeCell ref="K30:L30"/>
    <mergeCell ref="K31:L31"/>
    <mergeCell ref="B83:C83"/>
    <mergeCell ref="E84:F84"/>
    <mergeCell ref="A85:A91"/>
    <mergeCell ref="G362:K362"/>
    <mergeCell ref="G22:H22"/>
    <mergeCell ref="G16:H16"/>
    <mergeCell ref="A277:Q278"/>
    <mergeCell ref="J356:K356"/>
    <mergeCell ref="I169:I170"/>
    <mergeCell ref="J169:J170"/>
    <mergeCell ref="K169:K170"/>
    <mergeCell ref="K131:K132"/>
    <mergeCell ref="L131:L132"/>
    <mergeCell ref="J131:J132"/>
    <mergeCell ref="I131:I132"/>
    <mergeCell ref="E87:F87"/>
    <mergeCell ref="I212:I213"/>
    <mergeCell ref="J212:J213"/>
    <mergeCell ref="K212:K21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A99C-7587-4D2D-B40E-40CCDAE4616A}">
  <sheetPr>
    <tabColor rgb="FFFF0000"/>
  </sheetPr>
  <dimension ref="A1:XFD213"/>
  <sheetViews>
    <sheetView topLeftCell="A19" zoomScale="90" zoomScaleNormal="90" workbookViewId="0">
      <selection activeCell="D55" sqref="D55"/>
    </sheetView>
  </sheetViews>
  <sheetFormatPr baseColWidth="10" defaultColWidth="8.83203125" defaultRowHeight="15"/>
  <cols>
    <col min="2" max="2" width="45.33203125" bestFit="1" customWidth="1"/>
    <col min="3" max="3" width="10.1640625" bestFit="1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7">
      <c r="A1" s="1216" t="s">
        <v>112</v>
      </c>
      <c r="B1" s="1216"/>
      <c r="C1" s="1216"/>
      <c r="D1" s="1216"/>
      <c r="E1" s="1216"/>
      <c r="F1" s="1216"/>
      <c r="G1" s="1216"/>
      <c r="H1" s="1216"/>
      <c r="I1" s="1216"/>
      <c r="J1" s="1216"/>
      <c r="K1" s="1216"/>
    </row>
    <row r="2" spans="1:17">
      <c r="A2" s="1216" t="s">
        <v>113</v>
      </c>
      <c r="B2" s="1216"/>
      <c r="C2" s="1216"/>
      <c r="D2" s="1216"/>
      <c r="E2" s="1216"/>
      <c r="F2" s="1216"/>
      <c r="G2" s="1216"/>
      <c r="H2" s="1216"/>
      <c r="I2" s="1216"/>
      <c r="J2" s="1216"/>
      <c r="K2" s="1216"/>
    </row>
    <row r="3" spans="1:17">
      <c r="A3" s="1217" t="s">
        <v>114</v>
      </c>
      <c r="B3" s="1217"/>
      <c r="C3" s="49"/>
      <c r="D3" s="1218"/>
      <c r="E3" s="1218"/>
      <c r="F3" s="1218"/>
      <c r="G3" s="50"/>
      <c r="H3" s="1217" t="s">
        <v>115</v>
      </c>
      <c r="I3" s="1217"/>
      <c r="J3" s="1217"/>
      <c r="K3" s="51"/>
    </row>
    <row r="4" spans="1:17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7">
      <c r="A5" s="52" t="s">
        <v>118</v>
      </c>
      <c r="B5" s="52"/>
      <c r="C5" s="49"/>
      <c r="D5" s="1218"/>
      <c r="E5" s="1218"/>
      <c r="F5" s="1218"/>
      <c r="G5" s="50"/>
      <c r="H5" s="50"/>
      <c r="I5" s="53"/>
      <c r="J5" s="54" t="s">
        <v>119</v>
      </c>
      <c r="K5" s="55"/>
    </row>
    <row r="6" spans="1:17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7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7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1021"/>
      <c r="J8" s="1021"/>
      <c r="K8" s="57"/>
    </row>
    <row r="9" spans="1:17" ht="45">
      <c r="A9" s="1022" t="s">
        <v>125</v>
      </c>
      <c r="B9" s="1022" t="s">
        <v>126</v>
      </c>
      <c r="C9" s="1022" t="s">
        <v>127</v>
      </c>
      <c r="D9" s="1023" t="s">
        <v>2</v>
      </c>
      <c r="E9" s="1023" t="s">
        <v>128</v>
      </c>
      <c r="F9" s="1023" t="s">
        <v>129</v>
      </c>
      <c r="G9" s="1022" t="s">
        <v>130</v>
      </c>
      <c r="H9" s="1022" t="s">
        <v>127</v>
      </c>
      <c r="I9" s="1023" t="s">
        <v>2</v>
      </c>
      <c r="J9" s="1023" t="s">
        <v>131</v>
      </c>
      <c r="K9" s="1023" t="s">
        <v>132</v>
      </c>
    </row>
    <row r="10" spans="1:17">
      <c r="A10" s="1024">
        <v>1</v>
      </c>
      <c r="B10" s="1024">
        <v>2</v>
      </c>
      <c r="C10" s="1024">
        <v>3</v>
      </c>
      <c r="D10" s="1025">
        <v>4</v>
      </c>
      <c r="E10" s="1025">
        <v>5</v>
      </c>
      <c r="F10" s="1025">
        <v>6</v>
      </c>
      <c r="G10" s="1025">
        <v>7</v>
      </c>
      <c r="H10" s="1025">
        <v>8</v>
      </c>
      <c r="I10" s="1025">
        <v>9</v>
      </c>
      <c r="J10" s="1025">
        <v>10</v>
      </c>
      <c r="K10" s="1025">
        <v>11</v>
      </c>
    </row>
    <row r="11" spans="1:17">
      <c r="A11" s="1026"/>
      <c r="B11" s="1026"/>
      <c r="C11" s="1026"/>
      <c r="D11" s="1027"/>
      <c r="E11" s="1027"/>
      <c r="F11" s="1027"/>
      <c r="G11" s="1027"/>
      <c r="H11" s="1027"/>
      <c r="I11" s="1027"/>
      <c r="J11" s="1027"/>
      <c r="K11" s="1027"/>
    </row>
    <row r="12" spans="1:17">
      <c r="A12" s="1221"/>
      <c r="B12" s="1221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7" s="151" customFormat="1">
      <c r="A13" s="181" t="s">
        <v>134</v>
      </c>
      <c r="B13" s="155"/>
      <c r="C13" s="182"/>
      <c r="D13" s="216"/>
      <c r="E13" s="157"/>
      <c r="F13" s="40"/>
      <c r="G13" s="155"/>
      <c r="H13" s="182"/>
      <c r="I13" s="1049"/>
      <c r="J13" s="210"/>
      <c r="K13" s="157"/>
      <c r="L13"/>
      <c r="M13"/>
      <c r="N13"/>
      <c r="O13"/>
      <c r="P13"/>
      <c r="Q13"/>
    </row>
    <row r="14" spans="1:17" s="151" customFormat="1">
      <c r="A14" s="181" t="s">
        <v>152</v>
      </c>
      <c r="B14" s="155"/>
      <c r="C14" s="182"/>
      <c r="D14" s="190"/>
      <c r="E14" s="157"/>
      <c r="F14" s="40"/>
      <c r="G14" s="155"/>
      <c r="H14" s="182"/>
      <c r="I14" s="198"/>
      <c r="J14" s="210"/>
      <c r="K14" s="157"/>
      <c r="L14"/>
      <c r="M14"/>
      <c r="N14"/>
      <c r="O14"/>
      <c r="P14"/>
      <c r="Q14"/>
    </row>
    <row r="15" spans="1:17" s="151" customFormat="1">
      <c r="A15" s="181"/>
      <c r="B15" s="155"/>
      <c r="C15" s="182"/>
      <c r="D15" s="157"/>
      <c r="E15" s="157"/>
      <c r="F15" s="40"/>
      <c r="G15" s="191"/>
      <c r="H15" s="425"/>
      <c r="I15" s="867"/>
      <c r="J15" s="868"/>
      <c r="K15" s="869"/>
      <c r="L15"/>
      <c r="M15"/>
      <c r="N15"/>
      <c r="O15"/>
      <c r="P15"/>
      <c r="Q15"/>
    </row>
    <row r="16" spans="1:17" s="151" customFormat="1">
      <c r="A16" s="181" t="s">
        <v>174</v>
      </c>
      <c r="B16" s="155"/>
      <c r="C16" s="182"/>
      <c r="D16" s="157"/>
      <c r="E16" s="157"/>
      <c r="F16" s="40"/>
      <c r="G16" s="185"/>
      <c r="H16" s="186"/>
      <c r="I16" s="195"/>
      <c r="J16" s="186"/>
      <c r="K16" s="869"/>
      <c r="L16"/>
      <c r="M16"/>
      <c r="N16"/>
      <c r="O16"/>
      <c r="P16"/>
      <c r="Q16"/>
    </row>
    <row r="17" spans="1:17" s="151" customFormat="1">
      <c r="A17" s="181"/>
      <c r="B17" s="155"/>
      <c r="C17" s="182"/>
      <c r="D17" s="157"/>
      <c r="E17" s="157"/>
      <c r="F17" s="40"/>
      <c r="G17" s="196"/>
      <c r="H17" s="40"/>
      <c r="I17" s="197"/>
      <c r="J17" s="40"/>
      <c r="K17" s="157"/>
      <c r="L17"/>
      <c r="M17"/>
      <c r="N17"/>
      <c r="O17"/>
      <c r="P17"/>
      <c r="Q17"/>
    </row>
    <row r="18" spans="1:17" s="151" customFormat="1">
      <c r="A18" s="181"/>
      <c r="B18" s="155"/>
      <c r="C18" s="182"/>
      <c r="D18" s="157"/>
      <c r="E18" s="157"/>
      <c r="F18" s="40"/>
      <c r="G18" s="196"/>
      <c r="H18" s="40"/>
      <c r="I18" s="197"/>
      <c r="J18" s="40"/>
      <c r="K18" s="157"/>
      <c r="L18"/>
      <c r="M18"/>
      <c r="N18"/>
      <c r="O18"/>
      <c r="P18"/>
      <c r="Q18"/>
    </row>
    <row r="19" spans="1:17" s="151" customFormat="1">
      <c r="A19" s="181"/>
      <c r="B19" s="155"/>
      <c r="C19" s="182"/>
      <c r="D19" s="157"/>
      <c r="E19" s="157"/>
      <c r="F19" s="40"/>
      <c r="G19" s="185"/>
      <c r="H19" s="40"/>
      <c r="I19" s="187"/>
      <c r="J19" s="40"/>
      <c r="K19" s="157"/>
      <c r="L19"/>
      <c r="M19"/>
      <c r="N19"/>
      <c r="O19"/>
      <c r="P19"/>
      <c r="Q19"/>
    </row>
    <row r="20" spans="1:17" s="151" customFormat="1">
      <c r="A20" s="181" t="s">
        <v>194</v>
      </c>
      <c r="B20" s="155"/>
      <c r="C20" s="182"/>
      <c r="D20" s="198"/>
      <c r="E20" s="157"/>
      <c r="F20" s="40"/>
      <c r="G20" s="185"/>
      <c r="H20" s="40"/>
      <c r="I20" s="187"/>
      <c r="J20" s="40"/>
      <c r="K20" s="157"/>
      <c r="L20"/>
      <c r="M20"/>
      <c r="N20"/>
      <c r="O20"/>
      <c r="P20"/>
      <c r="Q20"/>
    </row>
    <row r="21" spans="1:17" s="151" customFormat="1">
      <c r="A21" s="181"/>
      <c r="B21" s="155"/>
      <c r="C21" s="182"/>
      <c r="D21" s="157"/>
      <c r="E21" s="157"/>
      <c r="F21" s="40"/>
      <c r="G21" s="81"/>
      <c r="H21" s="40"/>
      <c r="I21" s="187"/>
      <c r="J21" s="40"/>
      <c r="K21" s="157"/>
      <c r="L21"/>
      <c r="M21"/>
      <c r="N21"/>
      <c r="O21"/>
      <c r="P21"/>
      <c r="Q21"/>
    </row>
    <row r="22" spans="1:17" s="151" customFormat="1">
      <c r="A22" s="181"/>
      <c r="B22" s="155"/>
      <c r="C22" s="182"/>
      <c r="D22" s="157"/>
      <c r="E22" s="157"/>
      <c r="F22" s="40"/>
      <c r="G22" s="185"/>
      <c r="H22" s="40"/>
      <c r="I22" s="187"/>
      <c r="J22" s="40"/>
      <c r="K22" s="157"/>
      <c r="L22"/>
      <c r="M22"/>
      <c r="N22"/>
      <c r="O22"/>
      <c r="P22"/>
      <c r="Q22"/>
    </row>
    <row r="23" spans="1:17" s="151" customFormat="1">
      <c r="A23" s="181" t="s">
        <v>193</v>
      </c>
      <c r="B23" s="155"/>
      <c r="C23" s="182"/>
      <c r="D23" s="198"/>
      <c r="E23" s="157"/>
      <c r="F23" s="40"/>
      <c r="G23" s="185"/>
      <c r="H23" s="40"/>
      <c r="I23" s="218"/>
      <c r="J23" s="40"/>
      <c r="K23" s="157"/>
      <c r="L23"/>
      <c r="M23"/>
      <c r="N23"/>
      <c r="O23"/>
      <c r="P23"/>
      <c r="Q23"/>
    </row>
    <row r="24" spans="1:17" s="151" customFormat="1">
      <c r="A24" s="181"/>
      <c r="B24" s="155"/>
      <c r="C24" s="182"/>
      <c r="D24" s="157"/>
      <c r="E24" s="157"/>
      <c r="F24" s="40"/>
      <c r="G24" s="185"/>
      <c r="H24" s="40"/>
      <c r="I24" s="187"/>
      <c r="J24" s="40"/>
      <c r="K24" s="157"/>
      <c r="L24"/>
      <c r="M24"/>
      <c r="N24"/>
      <c r="O24"/>
      <c r="P24"/>
      <c r="Q24"/>
    </row>
    <row r="25" spans="1:17" s="151" customFormat="1">
      <c r="A25" s="181"/>
      <c r="B25" s="155"/>
      <c r="C25" s="182"/>
      <c r="D25" s="157"/>
      <c r="E25" s="157"/>
      <c r="F25" s="40"/>
      <c r="G25" s="185"/>
      <c r="H25" s="40"/>
      <c r="I25" s="187"/>
      <c r="J25" s="40"/>
      <c r="K25" s="157"/>
      <c r="L25"/>
      <c r="M25"/>
      <c r="N25"/>
      <c r="O25"/>
      <c r="P25"/>
      <c r="Q25"/>
    </row>
    <row r="26" spans="1:17" s="151" customFormat="1">
      <c r="A26" s="199"/>
      <c r="B26" s="69"/>
      <c r="C26" s="200"/>
      <c r="D26" s="1028"/>
      <c r="E26" s="215"/>
      <c r="F26" s="869"/>
      <c r="G26" s="281" t="s">
        <v>323</v>
      </c>
      <c r="H26" s="202"/>
      <c r="I26" s="215"/>
      <c r="J26" s="215"/>
      <c r="K26" s="82"/>
      <c r="L26"/>
      <c r="M26"/>
      <c r="N26"/>
      <c r="O26"/>
      <c r="P26"/>
      <c r="Q26"/>
    </row>
    <row r="27" spans="1:17">
      <c r="A27" s="1226" t="s">
        <v>855</v>
      </c>
      <c r="B27" s="1226"/>
      <c r="C27" s="1226"/>
      <c r="D27" s="1226"/>
      <c r="E27" s="202"/>
      <c r="F27" s="202"/>
      <c r="G27" s="201"/>
      <c r="H27" s="202"/>
      <c r="I27" s="202"/>
      <c r="J27" s="202"/>
      <c r="K27" s="202"/>
    </row>
    <row r="28" spans="1:17">
      <c r="A28" s="203" t="s">
        <v>134</v>
      </c>
      <c r="B28" s="90" t="s">
        <v>147</v>
      </c>
      <c r="C28" s="184" t="s">
        <v>148</v>
      </c>
      <c r="D28" s="491">
        <f>data!I113</f>
        <v>85.3</v>
      </c>
      <c r="E28" s="46">
        <f>data!J125</f>
        <v>600</v>
      </c>
      <c r="F28" s="396">
        <f>D28*E28</f>
        <v>51180</v>
      </c>
      <c r="G28" s="155" t="s">
        <v>179</v>
      </c>
      <c r="H28" s="397" t="s">
        <v>63</v>
      </c>
      <c r="I28" s="491">
        <f>балки!K6</f>
        <v>1.92</v>
      </c>
      <c r="J28" s="308">
        <f>data!D132</f>
        <v>24000</v>
      </c>
      <c r="K28" s="46">
        <f>I28*J28</f>
        <v>46080</v>
      </c>
    </row>
    <row r="29" spans="1:17">
      <c r="A29" s="203"/>
      <c r="B29" s="90"/>
      <c r="C29" s="184"/>
      <c r="D29" s="491"/>
      <c r="E29" s="46"/>
      <c r="F29" s="46"/>
      <c r="G29" s="395" t="s">
        <v>87</v>
      </c>
      <c r="H29" s="95" t="s">
        <v>85</v>
      </c>
      <c r="I29" s="1050">
        <f>балки!I6*2</f>
        <v>64</v>
      </c>
      <c r="J29" s="308">
        <f>data!D137</f>
        <v>55</v>
      </c>
      <c r="K29" s="46">
        <f t="shared" ref="K29:K31" si="0">I29*J29</f>
        <v>3520</v>
      </c>
    </row>
    <row r="30" spans="1:17">
      <c r="A30" s="203"/>
      <c r="B30" s="96"/>
      <c r="C30" s="97"/>
      <c r="D30" s="98"/>
      <c r="E30" s="98"/>
      <c r="F30" s="99"/>
      <c r="G30" s="224" t="s">
        <v>848</v>
      </c>
      <c r="H30" s="184" t="s">
        <v>85</v>
      </c>
      <c r="I30" s="1051">
        <f>I29*4</f>
        <v>256</v>
      </c>
      <c r="J30" s="46">
        <f>data!D138</f>
        <v>8</v>
      </c>
      <c r="K30" s="46">
        <f t="shared" si="0"/>
        <v>2048</v>
      </c>
    </row>
    <row r="31" spans="1:17">
      <c r="A31" s="203"/>
      <c r="B31" s="101"/>
      <c r="C31" s="97"/>
      <c r="D31" s="98"/>
      <c r="E31" s="102"/>
      <c r="F31" s="103"/>
      <c r="G31" s="390" t="s">
        <v>847</v>
      </c>
      <c r="H31" s="184" t="s">
        <v>144</v>
      </c>
      <c r="I31" s="870">
        <f>I29*20/474</f>
        <v>2.7004219409282699</v>
      </c>
      <c r="J31" s="396">
        <f>data!D139</f>
        <v>380</v>
      </c>
      <c r="K31" s="46">
        <f t="shared" si="0"/>
        <v>1026.1603375527425</v>
      </c>
    </row>
    <row r="32" spans="1:17">
      <c r="A32" s="181"/>
      <c r="B32" s="207"/>
      <c r="C32" s="208"/>
      <c r="D32" s="209"/>
      <c r="E32" s="210"/>
      <c r="F32" s="82"/>
      <c r="G32" s="207"/>
      <c r="H32" s="208"/>
      <c r="I32" s="157"/>
      <c r="J32" s="210"/>
      <c r="K32" s="46"/>
    </row>
    <row r="33" spans="1:13">
      <c r="A33" s="199"/>
      <c r="B33" s="69"/>
      <c r="C33" s="200"/>
      <c r="D33" s="1227" t="s">
        <v>145</v>
      </c>
      <c r="E33" s="1228"/>
      <c r="F33" s="157">
        <f>SUM(F28:F32)</f>
        <v>51180</v>
      </c>
      <c r="G33" s="201"/>
      <c r="H33" s="202"/>
      <c r="I33" s="1228" t="s">
        <v>146</v>
      </c>
      <c r="J33" s="1228"/>
      <c r="K33" s="82">
        <f>SUM(K28:K32)</f>
        <v>52674.160337552741</v>
      </c>
    </row>
    <row r="34" spans="1:13">
      <c r="A34" s="1221" t="s">
        <v>854</v>
      </c>
      <c r="B34" s="1221"/>
      <c r="C34" s="1221"/>
      <c r="D34" s="1221"/>
      <c r="E34" s="1221"/>
      <c r="F34" s="160"/>
      <c r="G34" s="1029"/>
      <c r="H34" s="120"/>
      <c r="I34" s="1052"/>
      <c r="J34" s="1048"/>
      <c r="K34" s="67"/>
    </row>
    <row r="35" spans="1:13">
      <c r="A35" s="181" t="s">
        <v>134</v>
      </c>
      <c r="B35" s="155" t="s">
        <v>147</v>
      </c>
      <c r="C35" s="182" t="s">
        <v>148</v>
      </c>
      <c r="D35" s="421">
        <f>data!I114</f>
        <v>55</v>
      </c>
      <c r="E35" s="157">
        <f>data!J125</f>
        <v>600</v>
      </c>
      <c r="F35" s="157">
        <f>D35*E35</f>
        <v>33000</v>
      </c>
      <c r="G35" s="155" t="s">
        <v>179</v>
      </c>
      <c r="H35" s="182" t="s">
        <v>63</v>
      </c>
      <c r="I35" s="421">
        <f>балки!K7</f>
        <v>0.77999999999999992</v>
      </c>
      <c r="J35" s="210">
        <f>data!D132</f>
        <v>24000</v>
      </c>
      <c r="K35" s="157">
        <f>I35*J35</f>
        <v>18719.999999999996</v>
      </c>
    </row>
    <row r="36" spans="1:13">
      <c r="A36" s="181"/>
      <c r="B36" s="155"/>
      <c r="C36" s="182"/>
      <c r="D36" s="421"/>
      <c r="E36" s="157"/>
      <c r="F36" s="157"/>
      <c r="G36" s="175" t="s">
        <v>87</v>
      </c>
      <c r="H36" s="176" t="s">
        <v>85</v>
      </c>
      <c r="I36" s="198">
        <f>балки!I7*2</f>
        <v>54</v>
      </c>
      <c r="J36" s="210">
        <f>data!D137</f>
        <v>55</v>
      </c>
      <c r="K36" s="157">
        <f>I36*J36</f>
        <v>2970</v>
      </c>
    </row>
    <row r="37" spans="1:13">
      <c r="A37" s="181"/>
      <c r="B37" s="163"/>
      <c r="C37" s="164"/>
      <c r="D37" s="103"/>
      <c r="E37" s="103"/>
      <c r="F37" s="103"/>
      <c r="G37" s="223" t="s">
        <v>198</v>
      </c>
      <c r="H37" s="182" t="s">
        <v>85</v>
      </c>
      <c r="I37" s="198">
        <f>I36*4</f>
        <v>216</v>
      </c>
      <c r="J37" s="157">
        <f>data!D138</f>
        <v>8</v>
      </c>
      <c r="K37" s="157">
        <f>I37*J37</f>
        <v>1728</v>
      </c>
    </row>
    <row r="38" spans="1:13">
      <c r="A38" s="212"/>
      <c r="B38" s="173"/>
      <c r="C38" s="174"/>
      <c r="D38" s="161"/>
      <c r="E38" s="161"/>
      <c r="F38" s="161"/>
      <c r="G38" s="391" t="s">
        <v>847</v>
      </c>
      <c r="H38" s="392" t="s">
        <v>144</v>
      </c>
      <c r="I38" s="871">
        <f>I36*20/474</f>
        <v>2.278481012658228</v>
      </c>
      <c r="J38" s="348">
        <f>data!D139</f>
        <v>380</v>
      </c>
      <c r="K38" s="869">
        <f t="shared" ref="K38" si="1">I38*J38</f>
        <v>865.82278481012668</v>
      </c>
    </row>
    <row r="39" spans="1:13">
      <c r="A39" s="214"/>
      <c r="B39" s="403"/>
      <c r="C39" s="164"/>
      <c r="D39" s="103"/>
      <c r="E39" s="103"/>
      <c r="F39" s="103"/>
      <c r="G39" s="391"/>
      <c r="H39" s="184"/>
      <c r="I39" s="870"/>
      <c r="J39" s="348"/>
      <c r="K39" s="869"/>
    </row>
    <row r="40" spans="1:13">
      <c r="A40" s="199"/>
      <c r="B40" s="69"/>
      <c r="C40" s="200"/>
      <c r="D40" s="1228" t="s">
        <v>145</v>
      </c>
      <c r="E40" s="1228"/>
      <c r="F40" s="153">
        <f>SUM(F35:F39)</f>
        <v>33000</v>
      </c>
      <c r="G40" s="215"/>
      <c r="H40" s="202"/>
      <c r="I40" s="1229" t="s">
        <v>146</v>
      </c>
      <c r="J40" s="1229"/>
      <c r="K40" s="153">
        <f>SUM(K35:K39)</f>
        <v>24283.822784810123</v>
      </c>
    </row>
    <row r="41" spans="1:13">
      <c r="A41" s="1221" t="s">
        <v>856</v>
      </c>
      <c r="B41" s="1221"/>
      <c r="C41" s="1221"/>
      <c r="D41" s="1221"/>
      <c r="E41" s="1221"/>
      <c r="F41" s="160"/>
      <c r="G41" s="1029"/>
      <c r="H41" s="120"/>
      <c r="I41" s="1052"/>
      <c r="J41" s="1048"/>
      <c r="K41" s="67"/>
    </row>
    <row r="42" spans="1:13">
      <c r="A42" s="74" t="s">
        <v>134</v>
      </c>
      <c r="B42" s="75" t="s">
        <v>147</v>
      </c>
      <c r="C42" s="38" t="s">
        <v>148</v>
      </c>
      <c r="D42" s="189">
        <f>data!I116</f>
        <v>19.88</v>
      </c>
      <c r="E42" s="39">
        <f>data!J125</f>
        <v>600</v>
      </c>
      <c r="F42" s="39">
        <f>D42*E42</f>
        <v>11928</v>
      </c>
      <c r="G42" s="155" t="s">
        <v>326</v>
      </c>
      <c r="H42" s="182" t="s">
        <v>63</v>
      </c>
      <c r="I42" s="421" t="e">
        <f>#REF!</f>
        <v>#REF!</v>
      </c>
      <c r="J42" s="210">
        <f>data!D133</f>
        <v>24000</v>
      </c>
      <c r="K42" s="157" t="e">
        <f>I42*J42</f>
        <v>#REF!</v>
      </c>
    </row>
    <row r="43" spans="1:13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198">
        <f>балки!I9*2</f>
        <v>0</v>
      </c>
      <c r="J43" s="210">
        <f>data!D137</f>
        <v>55</v>
      </c>
      <c r="K43" s="157">
        <f>I43*J43</f>
        <v>0</v>
      </c>
    </row>
    <row r="44" spans="1:13">
      <c r="A44" s="74"/>
      <c r="B44" s="163"/>
      <c r="C44" s="164"/>
      <c r="D44" s="103"/>
      <c r="E44" s="103"/>
      <c r="F44" s="103"/>
      <c r="G44" s="223" t="s">
        <v>198</v>
      </c>
      <c r="H44" s="182" t="s">
        <v>85</v>
      </c>
      <c r="I44" s="198">
        <f>I43*4</f>
        <v>0</v>
      </c>
      <c r="J44" s="157">
        <f>data!D138</f>
        <v>8</v>
      </c>
      <c r="K44" s="157">
        <f>I44*J44</f>
        <v>0</v>
      </c>
    </row>
    <row r="45" spans="1:13">
      <c r="A45" s="172"/>
      <c r="B45" s="173"/>
      <c r="C45" s="174"/>
      <c r="D45" s="161"/>
      <c r="E45" s="161"/>
      <c r="F45" s="161"/>
      <c r="G45" s="391" t="s">
        <v>847</v>
      </c>
      <c r="H45" s="392" t="s">
        <v>144</v>
      </c>
      <c r="I45" s="871">
        <f>I43*20/474</f>
        <v>0</v>
      </c>
      <c r="J45" s="348">
        <f>data!D139</f>
        <v>380</v>
      </c>
      <c r="K45" s="869">
        <f t="shared" ref="K45" si="2">I45*J45</f>
        <v>0</v>
      </c>
    </row>
    <row r="46" spans="1:13">
      <c r="A46" s="162"/>
      <c r="B46" s="403"/>
      <c r="C46" s="442"/>
      <c r="D46" s="103"/>
      <c r="E46" s="103"/>
      <c r="F46" s="103"/>
      <c r="G46" s="391"/>
      <c r="H46" s="184"/>
      <c r="I46" s="870"/>
      <c r="J46" s="348"/>
      <c r="K46" s="869"/>
    </row>
    <row r="47" spans="1:13" ht="14.5" customHeight="1">
      <c r="A47" s="116"/>
      <c r="B47" s="117"/>
      <c r="C47" s="66"/>
      <c r="D47" s="1222" t="s">
        <v>145</v>
      </c>
      <c r="E47" s="1222"/>
      <c r="F47" s="1030">
        <f>SUM(F42:F46)</f>
        <v>11928</v>
      </c>
      <c r="G47" s="119"/>
      <c r="H47" s="120"/>
      <c r="I47" s="1223" t="s">
        <v>146</v>
      </c>
      <c r="J47" s="1223"/>
      <c r="K47" s="1030" t="e">
        <f>SUM(K42:K46)</f>
        <v>#REF!</v>
      </c>
      <c r="M47" s="1031"/>
    </row>
    <row r="48" spans="1:13">
      <c r="A48" s="1224"/>
      <c r="B48" s="1224"/>
      <c r="C48" s="120"/>
      <c r="D48" s="1032"/>
      <c r="E48" s="1032"/>
      <c r="F48" s="120"/>
      <c r="G48" s="119"/>
      <c r="H48" s="120"/>
      <c r="I48" s="1033"/>
      <c r="J48" s="1033"/>
      <c r="K48" s="120"/>
    </row>
    <row r="49" spans="1:11" ht="27.5" customHeight="1">
      <c r="A49" s="124"/>
      <c r="B49" s="188"/>
      <c r="C49" s="124"/>
      <c r="D49" s="124"/>
      <c r="E49" s="124"/>
      <c r="F49" s="124"/>
      <c r="G49" s="125"/>
      <c r="H49" s="182"/>
      <c r="I49" s="421"/>
      <c r="J49" s="109"/>
      <c r="K49" s="124"/>
    </row>
    <row r="50" spans="1:11" ht="15.5" customHeight="1">
      <c r="A50" s="124"/>
      <c r="B50" s="188"/>
      <c r="C50" s="124"/>
      <c r="D50" s="124"/>
      <c r="E50" s="124"/>
      <c r="F50" s="124"/>
      <c r="G50" s="125"/>
      <c r="H50" s="182"/>
      <c r="I50" s="421"/>
      <c r="J50" s="109"/>
      <c r="K50" s="124"/>
    </row>
    <row r="51" spans="1:11">
      <c r="A51" s="124"/>
      <c r="B51" s="125"/>
      <c r="C51" s="124"/>
      <c r="D51" s="124"/>
      <c r="E51" s="124"/>
      <c r="F51" s="124"/>
      <c r="G51" s="128"/>
      <c r="H51" s="124"/>
      <c r="I51" s="129"/>
      <c r="J51" s="129"/>
      <c r="K51" s="124"/>
    </row>
    <row r="52" spans="1:11">
      <c r="A52" s="124"/>
      <c r="B52" s="125"/>
      <c r="C52" s="124"/>
      <c r="D52" s="124"/>
      <c r="E52" s="124"/>
      <c r="F52" s="124"/>
      <c r="G52" s="125"/>
      <c r="H52" s="124"/>
      <c r="I52" s="129"/>
      <c r="J52" s="129"/>
      <c r="K52" s="124"/>
    </row>
    <row r="53" spans="1:11">
      <c r="A53" s="124"/>
      <c r="B53" s="125"/>
      <c r="C53" s="124"/>
      <c r="D53" s="1034"/>
      <c r="E53" s="1034"/>
      <c r="F53" s="124"/>
      <c r="G53" s="125"/>
      <c r="H53" s="124"/>
      <c r="I53" s="133"/>
      <c r="J53" s="133"/>
      <c r="K53" s="124"/>
    </row>
    <row r="54" spans="1:11">
      <c r="A54" s="124"/>
      <c r="B54" s="125"/>
      <c r="C54" s="124"/>
      <c r="D54" s="1034"/>
      <c r="E54" s="1034"/>
      <c r="F54" s="124"/>
      <c r="G54" s="125"/>
      <c r="H54" s="124"/>
      <c r="I54" s="129"/>
      <c r="J54" s="129"/>
      <c r="K54" s="124"/>
    </row>
    <row r="55" spans="1:11">
      <c r="A55" s="124"/>
      <c r="B55" s="125"/>
      <c r="C55" s="124"/>
      <c r="D55" s="1034"/>
      <c r="E55" s="1034"/>
      <c r="F55" s="124"/>
      <c r="G55" s="125"/>
      <c r="H55" s="124"/>
      <c r="I55" s="129"/>
      <c r="J55" s="129"/>
      <c r="K55" s="124"/>
    </row>
    <row r="56" spans="1:11">
      <c r="A56" s="124"/>
      <c r="B56" s="125"/>
      <c r="C56" s="124"/>
      <c r="D56" s="1034"/>
      <c r="E56" s="1034"/>
      <c r="F56" s="124"/>
      <c r="G56" s="125"/>
      <c r="H56" s="124"/>
      <c r="I56" s="1035"/>
      <c r="J56" s="1035"/>
      <c r="K56" s="124"/>
    </row>
    <row r="57" spans="1:11">
      <c r="A57" s="33"/>
      <c r="B57" s="33"/>
      <c r="C57" s="406"/>
      <c r="D57" s="406"/>
      <c r="E57" s="406"/>
      <c r="F57" s="406"/>
      <c r="G57" s="33"/>
      <c r="H57" s="33"/>
      <c r="I57" s="33"/>
      <c r="J57" s="33"/>
      <c r="K57" s="33"/>
    </row>
    <row r="58" spans="1:11">
      <c r="A58" s="33"/>
      <c r="B58" s="33"/>
      <c r="C58" s="82"/>
      <c r="D58" s="82"/>
      <c r="E58" s="82"/>
      <c r="F58" s="82"/>
      <c r="G58" s="158"/>
      <c r="H58" s="33"/>
      <c r="I58" s="33"/>
      <c r="J58" s="33"/>
      <c r="K58" s="33"/>
    </row>
    <row r="59" spans="1:11">
      <c r="A59" s="33"/>
      <c r="B59" s="33"/>
      <c r="C59" s="82"/>
      <c r="D59" s="82"/>
      <c r="E59" s="82"/>
      <c r="F59" s="82"/>
      <c r="G59" s="158"/>
      <c r="H59" s="33"/>
      <c r="I59" s="33"/>
      <c r="J59" s="33"/>
      <c r="K59" s="33"/>
    </row>
    <row r="60" spans="1:11">
      <c r="A60" s="33"/>
      <c r="B60" s="33"/>
      <c r="C60" s="82"/>
      <c r="D60" s="82"/>
      <c r="E60" s="82"/>
      <c r="F60" s="82"/>
      <c r="G60" s="158"/>
      <c r="H60" s="33"/>
      <c r="I60" s="33"/>
      <c r="J60" s="33"/>
      <c r="K60" s="33"/>
    </row>
    <row r="61" spans="1:11">
      <c r="A61" s="33"/>
      <c r="B61" s="33"/>
      <c r="C61" s="82"/>
      <c r="D61" s="82"/>
      <c r="E61" s="82"/>
      <c r="F61" s="82"/>
      <c r="G61" s="158"/>
      <c r="H61" s="33"/>
      <c r="I61" s="33"/>
      <c r="J61" s="33"/>
      <c r="K61" s="33"/>
    </row>
    <row r="62" spans="1:11">
      <c r="A62" s="33"/>
      <c r="B62" s="33"/>
      <c r="C62" s="82"/>
      <c r="D62" s="82"/>
      <c r="E62" s="82"/>
      <c r="F62" s="82"/>
      <c r="G62" s="158"/>
      <c r="H62" s="33"/>
      <c r="I62" s="33"/>
      <c r="J62" s="33"/>
      <c r="K62" s="33"/>
    </row>
    <row r="63" spans="1:11">
      <c r="A63" s="33"/>
      <c r="B63" s="33"/>
      <c r="C63" s="82"/>
      <c r="D63" s="82"/>
      <c r="E63" s="82"/>
      <c r="F63" s="82"/>
      <c r="G63" s="158"/>
      <c r="H63" s="33"/>
      <c r="I63" s="33"/>
      <c r="J63" s="33"/>
      <c r="K63" s="33"/>
    </row>
    <row r="64" spans="1:11">
      <c r="A64" s="33"/>
      <c r="B64" s="33"/>
      <c r="C64" s="82"/>
      <c r="D64" s="82"/>
      <c r="E64" s="82"/>
      <c r="F64" s="82"/>
      <c r="G64" s="158"/>
      <c r="H64" s="33"/>
      <c r="I64" s="33"/>
      <c r="J64" s="33"/>
      <c r="K64" s="33"/>
    </row>
    <row r="65" spans="1:11 16384:16384">
      <c r="A65" s="33"/>
      <c r="B65" s="33"/>
      <c r="C65" s="209"/>
      <c r="D65" s="209"/>
      <c r="E65" s="209"/>
      <c r="F65" s="209"/>
      <c r="G65" s="1036"/>
      <c r="H65" s="33"/>
      <c r="I65" s="33"/>
      <c r="J65" s="33"/>
      <c r="K65" s="33"/>
    </row>
    <row r="66" spans="1:11 16384:16384">
      <c r="A66" s="33"/>
      <c r="B66" s="33"/>
      <c r="C66" s="210"/>
      <c r="D66" s="210"/>
      <c r="E66" s="210"/>
      <c r="F66" s="210"/>
      <c r="G66" s="198"/>
      <c r="H66" s="33"/>
      <c r="I66" s="33"/>
      <c r="J66" s="33"/>
      <c r="K66" s="33"/>
    </row>
    <row r="67" spans="1:11 16384:16384" ht="16">
      <c r="A67" s="33"/>
      <c r="B67" s="33"/>
      <c r="C67" s="40"/>
      <c r="D67" s="40"/>
      <c r="E67" s="40"/>
      <c r="F67" s="40"/>
      <c r="G67" s="198"/>
      <c r="H67" s="33"/>
      <c r="I67" s="1037"/>
      <c r="J67" s="1038"/>
      <c r="K67" s="33"/>
    </row>
    <row r="68" spans="1:11 16384:16384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XFD68" s="36">
        <f>SUM(A68:XFC68)</f>
        <v>0</v>
      </c>
    </row>
    <row r="69" spans="1:11 16384:16384">
      <c r="A69" s="141"/>
      <c r="B69" s="141"/>
      <c r="C69" s="141"/>
      <c r="D69" s="141"/>
      <c r="E69" s="141"/>
      <c r="F69" s="1039"/>
      <c r="G69" s="1040"/>
      <c r="H69" s="141"/>
      <c r="I69" s="141"/>
      <c r="J69" s="141"/>
      <c r="K69" s="141"/>
    </row>
    <row r="70" spans="1:11 16384:16384" ht="16">
      <c r="A70" s="141"/>
      <c r="B70" s="141"/>
      <c r="C70" s="141"/>
      <c r="D70" s="141"/>
      <c r="E70" s="141"/>
      <c r="F70" s="1039"/>
      <c r="G70" s="1041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039"/>
      <c r="G71" s="1042"/>
      <c r="H71" s="141"/>
      <c r="I71" s="141"/>
      <c r="J71" s="141"/>
      <c r="K71" s="141"/>
    </row>
    <row r="72" spans="1:11 16384:16384">
      <c r="F72" s="1043"/>
      <c r="G72" s="1044"/>
    </row>
    <row r="73" spans="1:11 16384:16384">
      <c r="G73" s="1045"/>
    </row>
    <row r="74" spans="1:11 16384:16384">
      <c r="G74" s="1044"/>
    </row>
    <row r="75" spans="1:11 16384:16384" ht="14" customHeight="1">
      <c r="G75" s="149"/>
    </row>
    <row r="76" spans="1:11 16384:16384">
      <c r="G76" s="1044"/>
    </row>
    <row r="77" spans="1:11 16384:16384">
      <c r="G77" s="149"/>
    </row>
    <row r="78" spans="1:11 16384:16384">
      <c r="G78" s="1044"/>
    </row>
    <row r="79" spans="1:11 16384:16384">
      <c r="G79" s="149"/>
    </row>
    <row r="80" spans="1:11 16384:16384">
      <c r="G80" s="1044"/>
    </row>
    <row r="81" spans="1:11">
      <c r="G81" s="149"/>
    </row>
    <row r="82" spans="1:11" s="141" customFormat="1">
      <c r="A82"/>
      <c r="B82"/>
      <c r="C82"/>
      <c r="D82"/>
      <c r="E82"/>
      <c r="F82"/>
      <c r="G82" s="1044"/>
      <c r="H82"/>
      <c r="I82"/>
      <c r="J82"/>
      <c r="K82"/>
    </row>
    <row r="83" spans="1:11" s="141" customFormat="1">
      <c r="A83"/>
      <c r="B83"/>
      <c r="C83"/>
      <c r="D83"/>
      <c r="E83"/>
      <c r="F83"/>
      <c r="G83" s="36"/>
      <c r="H83"/>
      <c r="I83"/>
      <c r="J83"/>
      <c r="K83"/>
    </row>
    <row r="84" spans="1:11" s="141" customFormat="1">
      <c r="A84"/>
      <c r="B84"/>
      <c r="C84"/>
      <c r="D84"/>
      <c r="E84"/>
      <c r="F84"/>
      <c r="G84"/>
      <c r="H84"/>
      <c r="I84"/>
      <c r="J84"/>
      <c r="K84"/>
    </row>
    <row r="85" spans="1:11" s="141" customFormat="1">
      <c r="A85"/>
      <c r="B85"/>
      <c r="C85"/>
      <c r="D85"/>
      <c r="E85"/>
      <c r="F85"/>
      <c r="G85"/>
      <c r="H85"/>
      <c r="I85"/>
      <c r="J85"/>
      <c r="K85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</sheetData>
  <mergeCells count="25">
    <mergeCell ref="A41:E41"/>
    <mergeCell ref="D47:E47"/>
    <mergeCell ref="I47:J47"/>
    <mergeCell ref="A48:B48"/>
    <mergeCell ref="A8:G8"/>
    <mergeCell ref="A12:B12"/>
    <mergeCell ref="A27:D27"/>
    <mergeCell ref="D33:E33"/>
    <mergeCell ref="I33:J33"/>
    <mergeCell ref="A34:E34"/>
    <mergeCell ref="D40:E40"/>
    <mergeCell ref="I40:J40"/>
    <mergeCell ref="A7:K7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DE47-488B-4925-BF7A-F4454AC81CCA}">
  <sheetPr>
    <tabColor rgb="FFFF0000"/>
  </sheetPr>
  <dimension ref="A1:XFD92"/>
  <sheetViews>
    <sheetView topLeftCell="A40" zoomScale="90" zoomScaleNormal="90" workbookViewId="0">
      <selection activeCell="C24" sqref="C2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59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71"/>
      <c r="J12" s="72"/>
      <c r="K12" s="73"/>
    </row>
    <row r="13" spans="1:11">
      <c r="A13" s="74"/>
      <c r="B13" s="75"/>
      <c r="C13" s="38"/>
      <c r="D13" s="219"/>
      <c r="E13" s="39"/>
      <c r="F13" s="40"/>
      <c r="G13" s="155"/>
      <c r="H13" s="182"/>
      <c r="I13" s="217"/>
      <c r="J13" s="78"/>
      <c r="K13" s="79"/>
    </row>
    <row r="14" spans="1:11">
      <c r="A14" s="181"/>
      <c r="B14" s="155"/>
      <c r="C14" s="182"/>
      <c r="D14" s="157"/>
      <c r="E14" s="157"/>
      <c r="F14" s="40"/>
      <c r="G14" s="155"/>
      <c r="H14" s="182"/>
      <c r="I14" s="183"/>
      <c r="J14" s="78"/>
      <c r="K14" s="79"/>
    </row>
    <row r="15" spans="1:11">
      <c r="A15" s="199"/>
      <c r="B15" s="69"/>
      <c r="C15" s="200"/>
      <c r="D15" s="225"/>
      <c r="E15" s="225"/>
      <c r="F15" s="68"/>
      <c r="G15" s="191"/>
      <c r="H15" s="425"/>
      <c r="I15" s="193"/>
      <c r="J15" s="194"/>
      <c r="K15" s="166"/>
    </row>
    <row r="16" spans="1:11">
      <c r="A16" s="80"/>
      <c r="B16" s="37"/>
      <c r="C16" s="43"/>
      <c r="D16" s="44"/>
      <c r="E16" s="44"/>
      <c r="F16" s="45"/>
      <c r="G16" s="152"/>
      <c r="H16" s="153"/>
      <c r="I16" s="158"/>
      <c r="J16" s="82"/>
      <c r="K16" s="154"/>
    </row>
    <row r="17" spans="1:11">
      <c r="B17" s="37"/>
      <c r="C17" s="43"/>
      <c r="D17" s="44"/>
      <c r="E17" s="44"/>
      <c r="F17" s="45"/>
      <c r="G17" s="81"/>
      <c r="H17" s="82"/>
      <c r="I17" s="82"/>
      <c r="J17" s="82"/>
      <c r="K17" s="154"/>
    </row>
    <row r="18" spans="1:11">
      <c r="A18" s="80"/>
      <c r="B18" s="37"/>
      <c r="C18" s="43"/>
      <c r="D18" s="44"/>
      <c r="E18" s="44"/>
      <c r="F18" s="45"/>
      <c r="G18" s="81"/>
      <c r="H18" s="82"/>
      <c r="I18" s="159"/>
      <c r="J18" s="82"/>
      <c r="K18" s="154"/>
    </row>
    <row r="19" spans="1:11">
      <c r="A19" s="80"/>
      <c r="B19" s="37"/>
      <c r="C19" s="43"/>
      <c r="D19" s="44"/>
      <c r="E19" s="44"/>
      <c r="F19" s="45"/>
      <c r="G19" s="81"/>
      <c r="H19" s="82"/>
      <c r="I19" s="159"/>
      <c r="J19" s="82"/>
      <c r="K19" s="154"/>
    </row>
    <row r="20" spans="1:11">
      <c r="A20" s="80"/>
      <c r="B20" s="37"/>
      <c r="C20" s="43"/>
      <c r="D20" s="46"/>
      <c r="E20" s="44"/>
      <c r="F20" s="45"/>
      <c r="G20" s="81"/>
      <c r="H20" s="82"/>
      <c r="I20" s="82"/>
      <c r="J20" s="82"/>
      <c r="K20" s="154"/>
    </row>
    <row r="21" spans="1:11">
      <c r="A21" s="80"/>
      <c r="B21" s="37"/>
      <c r="C21" s="43"/>
      <c r="D21" s="46"/>
      <c r="E21" s="44"/>
      <c r="F21" s="45"/>
      <c r="G21" s="81"/>
      <c r="H21" s="82"/>
      <c r="I21" s="82"/>
      <c r="J21" s="82"/>
      <c r="K21" s="154"/>
    </row>
    <row r="22" spans="1:11">
      <c r="A22" s="80"/>
      <c r="B22" s="37"/>
      <c r="C22" s="43"/>
      <c r="D22" s="44"/>
      <c r="E22" s="44"/>
      <c r="F22" s="45"/>
      <c r="G22" s="81"/>
      <c r="H22" s="82"/>
      <c r="I22" s="82"/>
      <c r="J22" s="82"/>
      <c r="K22" s="154"/>
    </row>
    <row r="23" spans="1:11">
      <c r="A23" s="203"/>
      <c r="B23" s="90"/>
      <c r="C23" s="184"/>
      <c r="D23" s="46"/>
      <c r="E23" s="46"/>
      <c r="F23" s="45"/>
      <c r="G23" s="81"/>
      <c r="H23" s="82"/>
      <c r="I23" s="82"/>
      <c r="J23" s="82"/>
      <c r="K23" s="82"/>
    </row>
    <row r="24" spans="1:11">
      <c r="A24" s="203"/>
      <c r="B24" s="90"/>
      <c r="C24" s="184"/>
      <c r="D24" s="46"/>
      <c r="E24" s="46"/>
      <c r="F24" s="45"/>
      <c r="G24" s="81"/>
      <c r="H24" s="82"/>
      <c r="I24" s="82"/>
      <c r="J24" s="82"/>
      <c r="K24" s="82"/>
    </row>
    <row r="25" spans="1:11">
      <c r="A25" s="80"/>
      <c r="B25" s="37"/>
      <c r="C25" s="43"/>
      <c r="D25" s="44"/>
      <c r="E25" s="44"/>
      <c r="F25" s="45"/>
      <c r="G25" s="81"/>
      <c r="H25" s="82"/>
      <c r="I25" s="220"/>
      <c r="J25" s="82"/>
      <c r="K25" s="82"/>
    </row>
    <row r="26" spans="1:11">
      <c r="A26" s="80"/>
      <c r="B26" s="37"/>
      <c r="C26" s="43"/>
      <c r="D26" s="44"/>
      <c r="E26" s="44"/>
      <c r="F26" s="45"/>
      <c r="G26" s="282" t="s">
        <v>425</v>
      </c>
      <c r="H26" s="82"/>
      <c r="I26" s="82"/>
      <c r="J26" s="82"/>
      <c r="K26" s="82"/>
    </row>
    <row r="27" spans="1:11">
      <c r="A27" s="83"/>
      <c r="B27" s="84"/>
      <c r="C27" s="85"/>
      <c r="D27" s="1234"/>
      <c r="E27" s="1235"/>
      <c r="F27" s="86"/>
      <c r="G27" s="87"/>
      <c r="H27" s="88"/>
      <c r="I27" s="1235"/>
      <c r="J27" s="1235"/>
      <c r="K27" s="134"/>
    </row>
    <row r="28" spans="1:11">
      <c r="A28" s="1236" t="s">
        <v>855</v>
      </c>
      <c r="B28" s="1236"/>
      <c r="C28" s="1236"/>
      <c r="D28" s="1236"/>
      <c r="E28" s="88"/>
      <c r="F28" s="88"/>
      <c r="G28" s="289"/>
      <c r="H28" s="88"/>
      <c r="I28" s="88"/>
      <c r="J28" s="88"/>
      <c r="K28" s="88"/>
    </row>
    <row r="29" spans="1:11">
      <c r="A29" s="74" t="s">
        <v>134</v>
      </c>
      <c r="B29" s="75" t="s">
        <v>147</v>
      </c>
      <c r="C29" s="38" t="s">
        <v>148</v>
      </c>
      <c r="D29" s="171">
        <f>data!I113</f>
        <v>85.3</v>
      </c>
      <c r="E29" s="39">
        <f>data!J125</f>
        <v>600</v>
      </c>
      <c r="F29" s="404">
        <f>D29*E29</f>
        <v>51180</v>
      </c>
      <c r="G29" s="155" t="s">
        <v>179</v>
      </c>
      <c r="H29" s="397" t="s">
        <v>63</v>
      </c>
      <c r="I29" s="204">
        <f>балки!K6</f>
        <v>1.92</v>
      </c>
      <c r="J29" s="92">
        <f>data!D132</f>
        <v>24000</v>
      </c>
      <c r="K29" s="93">
        <f>I29*J29</f>
        <v>46080</v>
      </c>
    </row>
    <row r="30" spans="1:11">
      <c r="A30" s="167"/>
      <c r="B30" s="273"/>
      <c r="C30" s="41"/>
      <c r="D30" s="394"/>
      <c r="E30" s="42"/>
      <c r="F30" s="44"/>
      <c r="G30" s="395" t="s">
        <v>845</v>
      </c>
      <c r="H30" s="95" t="s">
        <v>85</v>
      </c>
      <c r="I30" s="384">
        <f>балки!I6*2</f>
        <v>64</v>
      </c>
      <c r="J30" s="92">
        <f>data!D140</f>
        <v>65</v>
      </c>
      <c r="K30" s="93">
        <f>I30*J30</f>
        <v>4160</v>
      </c>
    </row>
    <row r="31" spans="1:11">
      <c r="A31" s="400"/>
      <c r="B31" s="401"/>
      <c r="C31" s="402"/>
      <c r="D31" s="98"/>
      <c r="E31" s="98"/>
      <c r="F31" s="99"/>
      <c r="G31" s="100" t="s">
        <v>141</v>
      </c>
      <c r="H31" s="184" t="s">
        <v>85</v>
      </c>
      <c r="I31" s="385">
        <f>I30*4</f>
        <v>256</v>
      </c>
      <c r="J31" s="93">
        <f>data!D127</f>
        <v>13</v>
      </c>
      <c r="K31" s="93">
        <f t="shared" ref="K31:K32" si="0">I31*J31</f>
        <v>3328</v>
      </c>
    </row>
    <row r="32" spans="1:11">
      <c r="A32" s="74"/>
      <c r="B32" s="403"/>
      <c r="C32" s="164"/>
      <c r="D32" s="398"/>
      <c r="E32" s="102"/>
      <c r="F32" s="103"/>
      <c r="G32" s="104" t="s">
        <v>149</v>
      </c>
      <c r="H32" s="184" t="s">
        <v>144</v>
      </c>
      <c r="I32" s="206">
        <f>I30*20/395</f>
        <v>3.240506329113924</v>
      </c>
      <c r="J32" s="105">
        <f>data!D131</f>
        <v>380</v>
      </c>
      <c r="K32" s="93">
        <f t="shared" si="0"/>
        <v>1231.3924050632911</v>
      </c>
    </row>
    <row r="33" spans="1:11">
      <c r="A33" s="106"/>
      <c r="B33" s="107"/>
      <c r="C33" s="108"/>
      <c r="D33" s="399"/>
      <c r="E33" s="109"/>
      <c r="F33" s="110"/>
      <c r="G33" s="111"/>
      <c r="H33" s="108"/>
      <c r="I33" s="113"/>
      <c r="J33" s="114"/>
      <c r="K33" s="115"/>
    </row>
    <row r="34" spans="1:11">
      <c r="A34" s="83"/>
      <c r="B34" s="84"/>
      <c r="C34" s="85"/>
      <c r="D34" s="1234" t="s">
        <v>145</v>
      </c>
      <c r="E34" s="1235"/>
      <c r="F34" s="86">
        <f>SUM(F29:F33)</f>
        <v>51180</v>
      </c>
      <c r="G34" s="87"/>
      <c r="H34" s="88"/>
      <c r="I34" s="1235" t="s">
        <v>146</v>
      </c>
      <c r="J34" s="1235"/>
      <c r="K34" s="134">
        <f>SUM(K29:K33)</f>
        <v>54799.392405063292</v>
      </c>
    </row>
    <row r="35" spans="1:11">
      <c r="A35" s="1237"/>
      <c r="B35" s="1237"/>
      <c r="C35" s="1237"/>
      <c r="D35" s="1237"/>
      <c r="E35" s="1237"/>
      <c r="F35" s="1237"/>
      <c r="G35" s="1237"/>
      <c r="H35" s="1237"/>
      <c r="I35" s="1237"/>
      <c r="J35" s="1237"/>
      <c r="K35" s="1238"/>
    </row>
    <row r="36" spans="1:11">
      <c r="A36" s="1233" t="s">
        <v>854</v>
      </c>
      <c r="B36" s="1233"/>
      <c r="C36" s="1233"/>
      <c r="D36" s="1233"/>
      <c r="E36" s="1233"/>
      <c r="F36" s="160"/>
      <c r="G36" s="393"/>
      <c r="H36" s="120"/>
      <c r="I36" s="170"/>
      <c r="J36" s="72"/>
      <c r="K36" s="73"/>
    </row>
    <row r="37" spans="1:11">
      <c r="A37" s="74">
        <v>1</v>
      </c>
      <c r="B37" s="75" t="s">
        <v>147</v>
      </c>
      <c r="C37" s="38" t="s">
        <v>148</v>
      </c>
      <c r="D37" s="171">
        <f>data!I114</f>
        <v>55</v>
      </c>
      <c r="E37" s="39">
        <f>data!J125</f>
        <v>600</v>
      </c>
      <c r="F37" s="39">
        <f>D37*E37</f>
        <v>33000</v>
      </c>
      <c r="G37" s="155" t="s">
        <v>179</v>
      </c>
      <c r="H37" s="182" t="s">
        <v>63</v>
      </c>
      <c r="I37" s="77">
        <f>балки!K7</f>
        <v>0.77999999999999992</v>
      </c>
      <c r="J37" s="78">
        <f>data!D132</f>
        <v>24000</v>
      </c>
      <c r="K37" s="79">
        <f>I37*J37</f>
        <v>18719.999999999996</v>
      </c>
    </row>
    <row r="38" spans="1:11">
      <c r="A38" s="74"/>
      <c r="B38" s="75"/>
      <c r="C38" s="38"/>
      <c r="D38" s="171"/>
      <c r="E38" s="39"/>
      <c r="F38" s="39"/>
      <c r="G38" s="175" t="s">
        <v>845</v>
      </c>
      <c r="H38" s="176" t="s">
        <v>85</v>
      </c>
      <c r="I38" s="183">
        <f>балки!I7*2</f>
        <v>54</v>
      </c>
      <c r="J38" s="78">
        <f>data!D140</f>
        <v>65</v>
      </c>
      <c r="K38" s="79">
        <f>I38*J38</f>
        <v>3510</v>
      </c>
    </row>
    <row r="39" spans="1:11">
      <c r="A39" s="74"/>
      <c r="B39" s="163"/>
      <c r="C39" s="164"/>
      <c r="D39" s="103"/>
      <c r="E39" s="103"/>
      <c r="F39" s="103"/>
      <c r="G39" s="223" t="s">
        <v>141</v>
      </c>
      <c r="H39" s="182" t="s">
        <v>85</v>
      </c>
      <c r="I39" s="183">
        <f>I38*4</f>
        <v>216</v>
      </c>
      <c r="J39" s="79">
        <f>data!D127</f>
        <v>13</v>
      </c>
      <c r="K39" s="79">
        <f>I39*J39</f>
        <v>2808</v>
      </c>
    </row>
    <row r="40" spans="1:11">
      <c r="A40" s="172"/>
      <c r="B40" s="173"/>
      <c r="C40" s="174"/>
      <c r="D40" s="161"/>
      <c r="E40" s="161"/>
      <c r="F40" s="161"/>
      <c r="G40" s="391" t="s">
        <v>149</v>
      </c>
      <c r="H40" s="392" t="s">
        <v>144</v>
      </c>
      <c r="I40" s="213">
        <f>I38*20/395</f>
        <v>2.7341772151898733</v>
      </c>
      <c r="J40" s="165">
        <f>data!D131</f>
        <v>380</v>
      </c>
      <c r="K40" s="166">
        <f t="shared" ref="K40" si="1">I40*J40</f>
        <v>1038.9873417721519</v>
      </c>
    </row>
    <row r="41" spans="1:11">
      <c r="A41" s="116"/>
      <c r="B41" s="117"/>
      <c r="C41" s="66"/>
      <c r="D41" s="1222" t="s">
        <v>145</v>
      </c>
      <c r="E41" s="1222"/>
      <c r="F41" s="118">
        <f>SUM(F37:F40)</f>
        <v>33000</v>
      </c>
      <c r="G41" s="119"/>
      <c r="H41" s="120"/>
      <c r="I41" s="1223" t="s">
        <v>146</v>
      </c>
      <c r="J41" s="1223"/>
      <c r="K41" s="118">
        <f>SUM(K37:K40)</f>
        <v>26076.987341772146</v>
      </c>
    </row>
    <row r="42" spans="1:11">
      <c r="A42" s="1233" t="s">
        <v>853</v>
      </c>
      <c r="B42" s="1233"/>
      <c r="C42" s="1233"/>
      <c r="D42" s="1233"/>
      <c r="E42" s="1233"/>
      <c r="F42" s="160"/>
      <c r="G42" s="393"/>
      <c r="H42" s="120"/>
      <c r="I42" s="170"/>
      <c r="J42" s="72"/>
      <c r="K42" s="73"/>
    </row>
    <row r="43" spans="1:11">
      <c r="A43" s="74">
        <v>1</v>
      </c>
      <c r="B43" s="75" t="s">
        <v>147</v>
      </c>
      <c r="C43" s="38" t="s">
        <v>148</v>
      </c>
      <c r="D43" s="171">
        <f>data!I115</f>
        <v>80</v>
      </c>
      <c r="E43" s="39">
        <f>data!J125</f>
        <v>600</v>
      </c>
      <c r="F43" s="39">
        <f>D43*E43</f>
        <v>48000</v>
      </c>
      <c r="G43" s="155" t="s">
        <v>179</v>
      </c>
      <c r="H43" s="182" t="s">
        <v>63</v>
      </c>
      <c r="I43" s="77">
        <f>балки!K8</f>
        <v>0</v>
      </c>
      <c r="J43" s="78">
        <f>data!D132</f>
        <v>24000</v>
      </c>
      <c r="K43" s="79">
        <f>I43*J43</f>
        <v>0</v>
      </c>
    </row>
    <row r="44" spans="1:11">
      <c r="A44" s="74"/>
      <c r="B44" s="75"/>
      <c r="C44" s="38"/>
      <c r="D44" s="171"/>
      <c r="E44" s="39"/>
      <c r="F44" s="39"/>
      <c r="G44" s="175" t="s">
        <v>845</v>
      </c>
      <c r="H44" s="176" t="s">
        <v>85</v>
      </c>
      <c r="I44" s="183">
        <f>балки!I8*2</f>
        <v>0</v>
      </c>
      <c r="J44" s="78">
        <f>data!D140</f>
        <v>65</v>
      </c>
      <c r="K44" s="79">
        <f>I44*J44</f>
        <v>0</v>
      </c>
    </row>
    <row r="45" spans="1:11">
      <c r="A45" s="167"/>
      <c r="B45" s="177"/>
      <c r="C45" s="178"/>
      <c r="D45" s="179"/>
      <c r="E45" s="179"/>
      <c r="F45" s="179"/>
      <c r="G45" s="222" t="s">
        <v>141</v>
      </c>
      <c r="H45" s="392" t="s">
        <v>85</v>
      </c>
      <c r="I45" s="386">
        <f>I44*4</f>
        <v>0</v>
      </c>
      <c r="J45" s="180">
        <f>data!D127</f>
        <v>13</v>
      </c>
      <c r="K45" s="180">
        <f>I45*J45</f>
        <v>0</v>
      </c>
    </row>
    <row r="46" spans="1:11">
      <c r="A46" s="162"/>
      <c r="B46" s="163"/>
      <c r="C46" s="164"/>
      <c r="D46" s="103"/>
      <c r="E46" s="103"/>
      <c r="F46" s="103"/>
      <c r="G46" s="391" t="s">
        <v>149</v>
      </c>
      <c r="H46" s="184" t="s">
        <v>144</v>
      </c>
      <c r="I46" s="206">
        <f>I44*20/395</f>
        <v>0</v>
      </c>
      <c r="J46" s="165">
        <f>data!D131</f>
        <v>380</v>
      </c>
      <c r="K46" s="166">
        <f t="shared" ref="K46" si="2">I46*J46</f>
        <v>0</v>
      </c>
    </row>
    <row r="47" spans="1:11">
      <c r="A47" s="116"/>
      <c r="B47" s="117"/>
      <c r="C47" s="66"/>
      <c r="D47" s="1222" t="s">
        <v>145</v>
      </c>
      <c r="E47" s="1222"/>
      <c r="F47" s="118">
        <f>SUM(F43:F46)</f>
        <v>48000</v>
      </c>
      <c r="G47" s="119"/>
      <c r="H47" s="120"/>
      <c r="I47" s="1223" t="s">
        <v>146</v>
      </c>
      <c r="J47" s="1223"/>
      <c r="K47" s="118">
        <f>SUM(K43:K46)</f>
        <v>0</v>
      </c>
    </row>
    <row r="48" spans="1:11">
      <c r="A48" s="1233" t="s">
        <v>852</v>
      </c>
      <c r="B48" s="1233"/>
      <c r="C48" s="1233"/>
      <c r="D48" s="1233"/>
      <c r="E48" s="1233"/>
      <c r="F48" s="160"/>
      <c r="G48" s="393"/>
      <c r="H48" s="120"/>
      <c r="I48" s="170"/>
      <c r="J48" s="72"/>
      <c r="K48" s="73"/>
    </row>
    <row r="49" spans="1:11">
      <c r="A49" s="74">
        <v>1</v>
      </c>
      <c r="B49" s="75" t="s">
        <v>147</v>
      </c>
      <c r="C49" s="38" t="s">
        <v>148</v>
      </c>
      <c r="D49" s="171">
        <f>data!I116</f>
        <v>19.88</v>
      </c>
      <c r="E49" s="39">
        <f>data!J125</f>
        <v>600</v>
      </c>
      <c r="F49" s="39">
        <f>D49*E49</f>
        <v>11928</v>
      </c>
      <c r="G49" s="155" t="s">
        <v>179</v>
      </c>
      <c r="H49" s="182" t="s">
        <v>63</v>
      </c>
      <c r="I49" s="77">
        <f>балки!K9</f>
        <v>0</v>
      </c>
      <c r="J49" s="78">
        <f>data!D132</f>
        <v>24000</v>
      </c>
      <c r="K49" s="79">
        <f>I49*J49</f>
        <v>0</v>
      </c>
    </row>
    <row r="50" spans="1:11">
      <c r="A50" s="74"/>
      <c r="B50" s="75"/>
      <c r="C50" s="38"/>
      <c r="D50" s="171"/>
      <c r="E50" s="39"/>
      <c r="F50" s="39"/>
      <c r="G50" s="175" t="s">
        <v>845</v>
      </c>
      <c r="H50" s="176" t="s">
        <v>85</v>
      </c>
      <c r="I50" s="183">
        <f>балки!I9*2</f>
        <v>0</v>
      </c>
      <c r="J50" s="78">
        <f>data!D140</f>
        <v>65</v>
      </c>
      <c r="K50" s="79">
        <f>I50*J50</f>
        <v>0</v>
      </c>
    </row>
    <row r="51" spans="1:11">
      <c r="A51" s="167"/>
      <c r="B51" s="177"/>
      <c r="C51" s="178"/>
      <c r="D51" s="179"/>
      <c r="E51" s="179"/>
      <c r="F51" s="179"/>
      <c r="G51" s="222" t="s">
        <v>141</v>
      </c>
      <c r="H51" s="392" t="s">
        <v>85</v>
      </c>
      <c r="I51" s="386">
        <f>I50*4</f>
        <v>0</v>
      </c>
      <c r="J51" s="180">
        <f>data!D127</f>
        <v>13</v>
      </c>
      <c r="K51" s="180">
        <f>I51*J51</f>
        <v>0</v>
      </c>
    </row>
    <row r="52" spans="1:11">
      <c r="A52" s="162"/>
      <c r="B52" s="163"/>
      <c r="C52" s="164"/>
      <c r="D52" s="103"/>
      <c r="E52" s="103"/>
      <c r="F52" s="103"/>
      <c r="G52" s="391" t="s">
        <v>149</v>
      </c>
      <c r="H52" s="184" t="s">
        <v>144</v>
      </c>
      <c r="I52" s="206">
        <f>I50*20/395</f>
        <v>0</v>
      </c>
      <c r="J52" s="165">
        <f>data!D131</f>
        <v>380</v>
      </c>
      <c r="K52" s="166">
        <f t="shared" ref="K52" si="3">I52*J52</f>
        <v>0</v>
      </c>
    </row>
    <row r="53" spans="1:11">
      <c r="A53" s="116"/>
      <c r="B53" s="117"/>
      <c r="C53" s="66"/>
      <c r="D53" s="1222" t="s">
        <v>145</v>
      </c>
      <c r="E53" s="1222"/>
      <c r="F53" s="118">
        <f>SUM(F49:F52)</f>
        <v>11928</v>
      </c>
      <c r="G53" s="119"/>
      <c r="H53" s="120"/>
      <c r="I53" s="1223" t="s">
        <v>146</v>
      </c>
      <c r="J53" s="1223"/>
      <c r="K53" s="118">
        <f>SUM(K49:K52)</f>
        <v>0</v>
      </c>
    </row>
    <row r="54" spans="1:11">
      <c r="A54" s="116"/>
      <c r="B54" s="117"/>
      <c r="C54" s="66"/>
      <c r="D54" s="121"/>
      <c r="E54" s="121"/>
      <c r="F54" s="122"/>
      <c r="G54" s="119"/>
      <c r="H54" s="120"/>
      <c r="I54" s="123"/>
      <c r="J54" s="123"/>
      <c r="K54" s="122"/>
    </row>
    <row r="55" spans="1:11">
      <c r="A55" s="1239" t="s">
        <v>195</v>
      </c>
      <c r="B55" s="1239"/>
      <c r="C55" s="120"/>
      <c r="D55" s="121"/>
      <c r="E55" s="121"/>
      <c r="F55" s="122"/>
      <c r="G55" s="119"/>
      <c r="H55" s="120"/>
      <c r="I55" s="123"/>
      <c r="J55" s="123"/>
      <c r="K55" s="122"/>
    </row>
    <row r="56" spans="1:11" ht="15" customHeight="1">
      <c r="A56" s="124"/>
      <c r="B56" s="125"/>
      <c r="C56" s="124"/>
      <c r="D56" s="124"/>
      <c r="E56" s="126"/>
      <c r="F56" s="124"/>
      <c r="G56" s="127"/>
      <c r="H56" s="182"/>
      <c r="I56" s="77"/>
      <c r="J56" s="114"/>
      <c r="K56" s="124"/>
    </row>
    <row r="57" spans="1:11">
      <c r="A57" s="124"/>
      <c r="B57" s="125"/>
      <c r="C57" s="124"/>
      <c r="D57" s="124"/>
      <c r="E57" s="126"/>
      <c r="F57" s="124"/>
      <c r="G57" s="127"/>
      <c r="H57" s="124"/>
      <c r="I57" s="129"/>
      <c r="J57" s="129"/>
      <c r="K57" s="124"/>
    </row>
    <row r="58" spans="1:11">
      <c r="A58" s="124"/>
      <c r="B58" s="125"/>
      <c r="C58" s="124"/>
      <c r="D58" s="130"/>
      <c r="E58" s="131"/>
      <c r="F58" s="132"/>
      <c r="G58" s="128"/>
      <c r="H58" s="124"/>
      <c r="I58" s="133"/>
      <c r="J58" s="133"/>
      <c r="K58" s="124"/>
    </row>
    <row r="59" spans="1:11">
      <c r="A59" s="124"/>
      <c r="B59" s="125"/>
      <c r="C59" s="124"/>
      <c r="D59" s="130"/>
      <c r="E59" s="131"/>
      <c r="F59" s="132"/>
      <c r="G59" s="127"/>
      <c r="H59" s="124"/>
      <c r="I59" s="133"/>
      <c r="J59" s="133"/>
      <c r="K59" s="124"/>
    </row>
    <row r="60" spans="1:11">
      <c r="A60" s="124"/>
      <c r="B60" s="125"/>
      <c r="C60" s="124"/>
      <c r="D60" s="130"/>
      <c r="E60" s="131"/>
      <c r="F60" s="132"/>
      <c r="G60" s="127"/>
      <c r="H60" s="124"/>
      <c r="I60" s="129"/>
      <c r="J60" s="129"/>
      <c r="K60" s="124"/>
    </row>
    <row r="61" spans="1:11">
      <c r="A61" s="120"/>
      <c r="B61" s="119"/>
      <c r="C61" s="120"/>
      <c r="D61" s="1240"/>
      <c r="E61" s="1241"/>
      <c r="F61" s="132"/>
      <c r="G61" s="119"/>
      <c r="H61" s="120"/>
      <c r="I61" s="1242"/>
      <c r="J61" s="1243"/>
      <c r="K61" s="132"/>
    </row>
    <row r="62" spans="1:11">
      <c r="A62" s="120"/>
      <c r="B62" s="119"/>
      <c r="C62" s="120"/>
      <c r="D62" s="121"/>
      <c r="E62" s="121"/>
      <c r="F62" s="122"/>
      <c r="G62" s="119"/>
      <c r="H62" s="120"/>
      <c r="I62" s="123"/>
      <c r="J62" s="123"/>
      <c r="K62" s="122"/>
    </row>
    <row r="64" spans="1:11">
      <c r="C64" s="1204"/>
      <c r="D64" s="1204"/>
      <c r="E64" s="1204"/>
      <c r="F64" s="1204"/>
      <c r="G64" s="135"/>
    </row>
    <row r="65" spans="1:11 16384:16384">
      <c r="C65" s="1204"/>
      <c r="D65" s="1204"/>
      <c r="E65" s="1204"/>
      <c r="F65" s="1204"/>
      <c r="G65" s="135"/>
    </row>
    <row r="66" spans="1:11 16384:16384">
      <c r="C66" s="1204"/>
      <c r="D66" s="1204"/>
      <c r="E66" s="1204"/>
      <c r="F66" s="1204"/>
      <c r="G66" s="135"/>
    </row>
    <row r="67" spans="1:11 16384:16384">
      <c r="C67" s="1204"/>
      <c r="D67" s="1204"/>
      <c r="E67" s="1204"/>
      <c r="F67" s="1204"/>
      <c r="G67" s="135"/>
    </row>
    <row r="68" spans="1:11 16384:16384">
      <c r="C68" s="1204"/>
      <c r="D68" s="1204"/>
      <c r="E68" s="1204"/>
      <c r="F68" s="1204"/>
      <c r="G68" s="135"/>
    </row>
    <row r="69" spans="1:11 16384:16384">
      <c r="C69" s="1204"/>
      <c r="D69" s="1204"/>
      <c r="E69" s="1204"/>
      <c r="F69" s="1204"/>
      <c r="G69" s="135"/>
    </row>
    <row r="70" spans="1:11 16384:16384">
      <c r="C70" s="1204"/>
      <c r="D70" s="1204"/>
      <c r="E70" s="1204"/>
      <c r="F70" s="1204"/>
      <c r="G70" s="135"/>
    </row>
    <row r="71" spans="1:11 16384:16384">
      <c r="C71" s="1244"/>
      <c r="D71" s="1244"/>
      <c r="E71" s="1244"/>
      <c r="F71" s="1244"/>
      <c r="G71" s="136"/>
    </row>
    <row r="72" spans="1:11 16384:16384" ht="16" thickBot="1">
      <c r="C72" s="1245"/>
      <c r="D72" s="1245"/>
      <c r="E72" s="1245"/>
      <c r="F72" s="1245"/>
      <c r="G72" s="137"/>
    </row>
    <row r="73" spans="1:11 16384:16384" ht="17" thickBot="1">
      <c r="C73" s="1246"/>
      <c r="D73" s="1247"/>
      <c r="E73" s="1247"/>
      <c r="F73" s="1248"/>
      <c r="G73" s="138"/>
      <c r="I73" s="139"/>
      <c r="J73" s="140"/>
    </row>
    <row r="74" spans="1:11 16384:16384">
      <c r="XFD74" s="36">
        <f>SUM(A74:XFC74)</f>
        <v>0</v>
      </c>
    </row>
    <row r="75" spans="1:11 16384:16384">
      <c r="A75" s="141"/>
      <c r="B75" s="141"/>
      <c r="C75" s="141"/>
      <c r="D75" s="141"/>
      <c r="E75" s="141"/>
      <c r="F75" s="142"/>
      <c r="G75" s="143"/>
      <c r="H75" s="141"/>
      <c r="I75" s="141"/>
      <c r="J75" s="141"/>
      <c r="K75" s="141"/>
    </row>
    <row r="76" spans="1:11 16384:16384">
      <c r="A76" s="141"/>
      <c r="B76" s="141"/>
      <c r="C76" s="141"/>
      <c r="D76" s="141"/>
      <c r="E76" s="141"/>
      <c r="F76" s="142"/>
      <c r="G76" s="144"/>
      <c r="H76" s="141"/>
      <c r="I76" s="141"/>
      <c r="J76" s="141"/>
      <c r="K76" s="141"/>
    </row>
    <row r="77" spans="1:11 16384:16384" ht="16">
      <c r="A77" s="141"/>
      <c r="B77" s="141"/>
      <c r="C77" s="141"/>
      <c r="D77" s="141"/>
      <c r="E77" s="141"/>
      <c r="F77" s="142"/>
      <c r="G77" s="145"/>
      <c r="H77" s="141"/>
      <c r="I77" s="141"/>
      <c r="J77" s="141"/>
      <c r="K77" s="141"/>
    </row>
    <row r="78" spans="1:11 16384:16384" ht="14" customHeight="1">
      <c r="A78" s="141"/>
      <c r="B78" s="141"/>
      <c r="C78" s="141"/>
      <c r="D78" s="141"/>
      <c r="E78" s="141"/>
      <c r="F78" s="142"/>
      <c r="G78" s="144"/>
      <c r="H78" s="141"/>
      <c r="I78" s="141"/>
      <c r="J78" s="141"/>
      <c r="K78" s="141"/>
    </row>
    <row r="79" spans="1:11 16384:16384">
      <c r="F79" s="146"/>
      <c r="G79" s="147"/>
    </row>
    <row r="80" spans="1:11 16384:16384">
      <c r="G80" s="148"/>
    </row>
    <row r="81" spans="1:7">
      <c r="G81" s="147"/>
    </row>
    <row r="82" spans="1:7" ht="14" customHeight="1">
      <c r="C82" s="149"/>
    </row>
    <row r="83" spans="1:7">
      <c r="C83" s="147"/>
    </row>
    <row r="84" spans="1:7">
      <c r="C84" s="149"/>
    </row>
    <row r="85" spans="1:7">
      <c r="C85" s="147"/>
    </row>
    <row r="86" spans="1:7">
      <c r="C86" s="149"/>
    </row>
    <row r="87" spans="1:7">
      <c r="C87" s="147"/>
    </row>
    <row r="88" spans="1:7">
      <c r="C88" s="149"/>
    </row>
    <row r="89" spans="1:7" s="141" customFormat="1">
      <c r="A89"/>
      <c r="B89"/>
      <c r="C89" s="147"/>
      <c r="D89"/>
      <c r="E89"/>
      <c r="F89"/>
      <c r="G89"/>
    </row>
    <row r="90" spans="1:7" s="141" customFormat="1">
      <c r="A90"/>
      <c r="B90"/>
      <c r="C90" s="36"/>
      <c r="D90"/>
      <c r="E90"/>
      <c r="F90"/>
      <c r="G90"/>
    </row>
    <row r="91" spans="1:7" s="141" customFormat="1">
      <c r="A91"/>
      <c r="B91"/>
      <c r="C91"/>
      <c r="D91"/>
      <c r="E91"/>
      <c r="F91"/>
      <c r="G91"/>
    </row>
    <row r="92" spans="1:7" s="141" customFormat="1">
      <c r="A92"/>
      <c r="B92"/>
      <c r="C92"/>
      <c r="D92"/>
      <c r="E92"/>
      <c r="F92"/>
      <c r="G92"/>
    </row>
  </sheetData>
  <mergeCells count="43">
    <mergeCell ref="C70:F70"/>
    <mergeCell ref="C71:F71"/>
    <mergeCell ref="C72:F72"/>
    <mergeCell ref="C73:F73"/>
    <mergeCell ref="C64:F64"/>
    <mergeCell ref="C65:F65"/>
    <mergeCell ref="C66:F66"/>
    <mergeCell ref="C67:F67"/>
    <mergeCell ref="C68:F68"/>
    <mergeCell ref="C69:F69"/>
    <mergeCell ref="A48:E48"/>
    <mergeCell ref="D53:E53"/>
    <mergeCell ref="I53:J53"/>
    <mergeCell ref="A55:B55"/>
    <mergeCell ref="D61:E61"/>
    <mergeCell ref="I61:J61"/>
    <mergeCell ref="D47:E47"/>
    <mergeCell ref="I47:J47"/>
    <mergeCell ref="A12:B12"/>
    <mergeCell ref="D27:E27"/>
    <mergeCell ref="I27:J27"/>
    <mergeCell ref="A28:D28"/>
    <mergeCell ref="D34:E34"/>
    <mergeCell ref="I34:J34"/>
    <mergeCell ref="A35:K35"/>
    <mergeCell ref="A36:E36"/>
    <mergeCell ref="D41:E41"/>
    <mergeCell ref="I41:J41"/>
    <mergeCell ref="A42:E42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58F0-4962-447D-BB43-8AFC8180B9C5}">
  <sheetPr>
    <tabColor rgb="FFFF0000"/>
  </sheetPr>
  <dimension ref="A1:XFD170"/>
  <sheetViews>
    <sheetView topLeftCell="A22" workbookViewId="0">
      <selection activeCell="E29" sqref="E29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59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70"/>
      <c r="I12" s="71"/>
      <c r="J12" s="72"/>
      <c r="K12" s="73"/>
    </row>
    <row r="13" spans="1:11">
      <c r="A13" s="74"/>
      <c r="B13" s="75"/>
      <c r="C13" s="38"/>
      <c r="D13" s="219"/>
      <c r="E13" s="39"/>
      <c r="F13" s="40"/>
      <c r="G13" s="155"/>
      <c r="H13" s="76"/>
      <c r="I13" s="217"/>
      <c r="J13" s="78"/>
      <c r="K13" s="79"/>
    </row>
    <row r="14" spans="1:11">
      <c r="A14" s="181"/>
      <c r="B14" s="155"/>
      <c r="C14" s="182"/>
      <c r="D14" s="157"/>
      <c r="E14" s="157"/>
      <c r="F14" s="40"/>
      <c r="G14" s="155"/>
      <c r="H14" s="76"/>
      <c r="I14" s="183"/>
      <c r="J14" s="78"/>
      <c r="K14" s="79"/>
    </row>
    <row r="15" spans="1:11">
      <c r="A15" s="199"/>
      <c r="B15" s="69"/>
      <c r="C15" s="200"/>
      <c r="D15" s="225"/>
      <c r="E15" s="225"/>
      <c r="F15" s="68"/>
      <c r="G15" s="191"/>
      <c r="H15" s="192"/>
      <c r="I15" s="193"/>
      <c r="J15" s="194"/>
      <c r="K15" s="166"/>
    </row>
    <row r="16" spans="1:11">
      <c r="A16" s="80"/>
      <c r="B16" s="37"/>
      <c r="C16" s="43"/>
      <c r="D16" s="44"/>
      <c r="E16" s="44"/>
      <c r="F16" s="45"/>
      <c r="G16" s="152"/>
      <c r="H16" s="153"/>
      <c r="I16" s="158"/>
      <c r="J16" s="82"/>
      <c r="K16" s="154"/>
    </row>
    <row r="17" spans="1:13">
      <c r="B17" s="37"/>
      <c r="C17" s="43"/>
      <c r="D17" s="44"/>
      <c r="E17" s="44"/>
      <c r="F17" s="45"/>
      <c r="G17" s="81"/>
      <c r="H17" s="82"/>
      <c r="I17" s="82"/>
      <c r="J17" s="82"/>
      <c r="K17" s="154"/>
    </row>
    <row r="18" spans="1:13">
      <c r="A18" s="80"/>
      <c r="B18" s="37"/>
      <c r="C18" s="43"/>
      <c r="D18" s="44"/>
      <c r="E18" s="44"/>
      <c r="F18" s="45"/>
      <c r="G18" s="81"/>
      <c r="H18" s="82"/>
      <c r="I18" s="159"/>
      <c r="J18" s="82"/>
      <c r="K18" s="154"/>
    </row>
    <row r="19" spans="1:13">
      <c r="A19" s="80"/>
      <c r="B19" s="37"/>
      <c r="C19" s="43"/>
      <c r="D19" s="44"/>
      <c r="E19" s="44"/>
      <c r="F19" s="45"/>
      <c r="G19" s="81"/>
      <c r="H19" s="82"/>
      <c r="I19" s="159"/>
      <c r="J19" s="82"/>
      <c r="K19" s="154"/>
    </row>
    <row r="20" spans="1:13">
      <c r="A20" s="80"/>
      <c r="B20" s="37"/>
      <c r="C20" s="43"/>
      <c r="D20" s="46"/>
      <c r="E20" s="44"/>
      <c r="F20" s="45"/>
      <c r="G20" s="81"/>
      <c r="H20" s="82"/>
      <c r="I20" s="82"/>
      <c r="J20" s="82"/>
      <c r="K20" s="154"/>
    </row>
    <row r="21" spans="1:13">
      <c r="A21" s="80"/>
      <c r="B21" s="37"/>
      <c r="C21" s="43"/>
      <c r="D21" s="46"/>
      <c r="E21" s="44"/>
      <c r="F21" s="45"/>
      <c r="G21" s="81"/>
      <c r="H21" s="82"/>
      <c r="I21" s="82"/>
      <c r="J21" s="82"/>
      <c r="K21" s="154"/>
    </row>
    <row r="22" spans="1:13">
      <c r="A22" s="80"/>
      <c r="B22" s="37"/>
      <c r="C22" s="43"/>
      <c r="D22" s="44"/>
      <c r="E22" s="44"/>
      <c r="F22" s="45"/>
      <c r="G22" s="81"/>
      <c r="H22" s="82"/>
      <c r="I22" s="82"/>
      <c r="J22" s="82"/>
      <c r="K22" s="154"/>
    </row>
    <row r="23" spans="1:13">
      <c r="A23" s="203"/>
      <c r="B23" s="90"/>
      <c r="C23" s="184"/>
      <c r="D23" s="46"/>
      <c r="E23" s="46"/>
      <c r="F23" s="45"/>
      <c r="G23" s="81"/>
      <c r="H23" s="82"/>
      <c r="I23" s="82"/>
      <c r="J23" s="82"/>
      <c r="K23" s="82"/>
    </row>
    <row r="24" spans="1:13">
      <c r="A24" s="203"/>
      <c r="B24" s="90"/>
      <c r="C24" s="184"/>
      <c r="D24" s="46"/>
      <c r="E24" s="46"/>
      <c r="F24" s="45"/>
      <c r="G24" s="81"/>
      <c r="H24" s="82"/>
      <c r="I24" s="82"/>
      <c r="J24" s="82"/>
      <c r="K24" s="82"/>
    </row>
    <row r="25" spans="1:13">
      <c r="A25" s="80"/>
      <c r="B25" s="37"/>
      <c r="C25" s="43"/>
      <c r="D25" s="44"/>
      <c r="E25" s="44"/>
      <c r="F25" s="45"/>
      <c r="G25" s="81"/>
      <c r="H25" s="82"/>
      <c r="I25" s="220"/>
      <c r="J25" s="82"/>
      <c r="K25" s="82"/>
    </row>
    <row r="26" spans="1:13">
      <c r="A26" s="80"/>
      <c r="B26" s="37"/>
      <c r="C26" s="43"/>
      <c r="D26" s="44"/>
      <c r="E26" s="44"/>
      <c r="F26" s="45"/>
      <c r="G26" s="282" t="s">
        <v>427</v>
      </c>
      <c r="H26" s="82"/>
      <c r="I26" s="82"/>
      <c r="J26" s="82"/>
      <c r="K26" s="82"/>
    </row>
    <row r="27" spans="1:13">
      <c r="A27" s="83"/>
      <c r="B27" s="84"/>
      <c r="C27" s="85"/>
      <c r="D27" s="1234"/>
      <c r="E27" s="1235"/>
      <c r="F27" s="86"/>
      <c r="G27" s="87"/>
      <c r="H27" s="88"/>
      <c r="I27" s="1235"/>
      <c r="J27" s="1235"/>
      <c r="K27" s="134"/>
    </row>
    <row r="28" spans="1:13">
      <c r="A28" s="1236" t="s">
        <v>317</v>
      </c>
      <c r="B28" s="1236"/>
      <c r="C28" s="1236"/>
      <c r="D28" s="1236"/>
      <c r="E28" s="88"/>
      <c r="F28" s="88"/>
      <c r="G28" s="289" t="s">
        <v>421</v>
      </c>
      <c r="H28" s="88"/>
      <c r="I28" s="88"/>
      <c r="J28" s="88"/>
      <c r="K28" s="88"/>
    </row>
    <row r="29" spans="1:13">
      <c r="A29" s="80" t="s">
        <v>134</v>
      </c>
      <c r="B29" s="37" t="s">
        <v>147</v>
      </c>
      <c r="C29" s="43" t="s">
        <v>148</v>
      </c>
      <c r="D29" s="89">
        <f>data!I113</f>
        <v>85.3</v>
      </c>
      <c r="E29" s="44">
        <f>data!J125</f>
        <v>600</v>
      </c>
      <c r="F29" s="44">
        <f>D29*E29</f>
        <v>51180</v>
      </c>
      <c r="G29" s="90" t="s">
        <v>428</v>
      </c>
      <c r="H29" s="184" t="s">
        <v>63</v>
      </c>
      <c r="I29" s="204">
        <f>балки!K6</f>
        <v>1.92</v>
      </c>
      <c r="J29" s="92">
        <f>data!D134</f>
        <v>17000</v>
      </c>
      <c r="K29" s="93">
        <f>I29*J29</f>
        <v>32640</v>
      </c>
    </row>
    <row r="30" spans="1:13">
      <c r="A30" s="80"/>
      <c r="B30" s="37"/>
      <c r="C30" s="43"/>
      <c r="D30" s="89"/>
      <c r="E30" s="44"/>
      <c r="F30" s="44"/>
      <c r="G30" s="94" t="s">
        <v>845</v>
      </c>
      <c r="H30" s="95" t="s">
        <v>85</v>
      </c>
      <c r="I30" s="384">
        <f>балки!I6*2</f>
        <v>64</v>
      </c>
      <c r="J30" s="92">
        <f>data!D140</f>
        <v>65</v>
      </c>
      <c r="K30" s="93">
        <f>I30*J30</f>
        <v>4160</v>
      </c>
      <c r="M30" s="283"/>
    </row>
    <row r="31" spans="1:13">
      <c r="A31" s="80"/>
      <c r="B31" s="96"/>
      <c r="C31" s="97"/>
      <c r="D31" s="98"/>
      <c r="E31" s="98"/>
      <c r="F31" s="99"/>
      <c r="G31" s="224" t="s">
        <v>141</v>
      </c>
      <c r="H31" s="184" t="s">
        <v>85</v>
      </c>
      <c r="I31" s="385">
        <f>I30*4</f>
        <v>256</v>
      </c>
      <c r="J31" s="93">
        <f>data!D127</f>
        <v>13</v>
      </c>
      <c r="K31" s="93">
        <f t="shared" ref="K31:K32" si="0">I31*J31</f>
        <v>3328</v>
      </c>
    </row>
    <row r="32" spans="1:13">
      <c r="A32" s="80"/>
      <c r="B32" s="101"/>
      <c r="C32" s="97"/>
      <c r="D32" s="98"/>
      <c r="E32" s="102"/>
      <c r="F32" s="103"/>
      <c r="G32" s="390" t="s">
        <v>149</v>
      </c>
      <c r="H32" s="184" t="s">
        <v>144</v>
      </c>
      <c r="I32" s="206">
        <f>I30*20/395</f>
        <v>3.240506329113924</v>
      </c>
      <c r="J32" s="105">
        <f>data!D131</f>
        <v>380</v>
      </c>
      <c r="K32" s="93">
        <f t="shared" si="0"/>
        <v>1231.3924050632911</v>
      </c>
    </row>
    <row r="33" spans="1:13">
      <c r="A33" s="83"/>
      <c r="B33" s="84"/>
      <c r="C33" s="85"/>
      <c r="D33" s="1234" t="s">
        <v>145</v>
      </c>
      <c r="E33" s="1235"/>
      <c r="F33" s="86">
        <f>SUM(F29:F32)</f>
        <v>51180</v>
      </c>
      <c r="G33" s="87"/>
      <c r="H33" s="88"/>
      <c r="I33" s="1235" t="s">
        <v>146</v>
      </c>
      <c r="J33" s="1235"/>
      <c r="K33" s="134">
        <f>SUM(K29:K32)</f>
        <v>41359.392405063292</v>
      </c>
    </row>
    <row r="34" spans="1:13">
      <c r="A34" s="1237"/>
      <c r="B34" s="1237"/>
      <c r="C34" s="1237"/>
      <c r="D34" s="1237"/>
      <c r="E34" s="1237"/>
      <c r="F34" s="1237"/>
      <c r="G34" s="1237"/>
      <c r="H34" s="1237"/>
      <c r="I34" s="1237"/>
      <c r="J34" s="1237"/>
      <c r="K34" s="1238"/>
    </row>
    <row r="35" spans="1:13">
      <c r="A35" s="1233" t="s">
        <v>318</v>
      </c>
      <c r="B35" s="1233"/>
      <c r="C35" s="1233"/>
      <c r="D35" s="1233"/>
      <c r="E35" s="1233"/>
      <c r="F35" s="160"/>
      <c r="G35" s="393" t="s">
        <v>421</v>
      </c>
      <c r="H35" s="169"/>
      <c r="I35" s="170"/>
      <c r="J35" s="72"/>
      <c r="K35" s="73"/>
    </row>
    <row r="36" spans="1:13">
      <c r="A36" s="74">
        <v>1</v>
      </c>
      <c r="B36" s="75" t="s">
        <v>147</v>
      </c>
      <c r="C36" s="38" t="s">
        <v>148</v>
      </c>
      <c r="D36" s="171">
        <f>data!I114</f>
        <v>55</v>
      </c>
      <c r="E36" s="39">
        <f>data!J125</f>
        <v>600</v>
      </c>
      <c r="F36" s="39">
        <f>D36*E36</f>
        <v>33000</v>
      </c>
      <c r="G36" s="155" t="s">
        <v>428</v>
      </c>
      <c r="H36" s="182" t="s">
        <v>63</v>
      </c>
      <c r="I36" s="77">
        <f>балки!K7</f>
        <v>0.77999999999999992</v>
      </c>
      <c r="J36" s="78">
        <f>data!D134</f>
        <v>17000</v>
      </c>
      <c r="K36" s="79">
        <f>I36*J36</f>
        <v>13259.999999999998</v>
      </c>
    </row>
    <row r="37" spans="1:13">
      <c r="A37" s="74"/>
      <c r="B37" s="75"/>
      <c r="C37" s="38"/>
      <c r="D37" s="171"/>
      <c r="E37" s="39"/>
      <c r="F37" s="39"/>
      <c r="G37" s="175" t="s">
        <v>845</v>
      </c>
      <c r="H37" s="176" t="s">
        <v>85</v>
      </c>
      <c r="I37" s="183">
        <f>балки!I7*2</f>
        <v>54</v>
      </c>
      <c r="J37" s="78">
        <f>data!D140</f>
        <v>65</v>
      </c>
      <c r="K37" s="79">
        <f>I37*J37</f>
        <v>3510</v>
      </c>
      <c r="M37" s="283"/>
    </row>
    <row r="38" spans="1:13">
      <c r="A38" s="74"/>
      <c r="B38" s="163"/>
      <c r="C38" s="164"/>
      <c r="D38" s="103"/>
      <c r="E38" s="103"/>
      <c r="F38" s="103"/>
      <c r="G38" s="223" t="s">
        <v>141</v>
      </c>
      <c r="H38" s="182" t="s">
        <v>85</v>
      </c>
      <c r="I38" s="183">
        <f>I37*4</f>
        <v>216</v>
      </c>
      <c r="J38" s="79">
        <f>data!D127</f>
        <v>13</v>
      </c>
      <c r="K38" s="79">
        <f>I38*J38</f>
        <v>2808</v>
      </c>
    </row>
    <row r="39" spans="1:13">
      <c r="A39" s="172"/>
      <c r="B39" s="173"/>
      <c r="C39" s="174"/>
      <c r="D39" s="161"/>
      <c r="E39" s="161"/>
      <c r="F39" s="161"/>
      <c r="G39" s="391" t="s">
        <v>149</v>
      </c>
      <c r="H39" s="392" t="s">
        <v>144</v>
      </c>
      <c r="I39" s="213">
        <f>I37*20/395</f>
        <v>2.7341772151898733</v>
      </c>
      <c r="J39" s="165">
        <f>data!D131</f>
        <v>380</v>
      </c>
      <c r="K39" s="166">
        <f t="shared" ref="K39" si="1">I39*J39</f>
        <v>1038.9873417721519</v>
      </c>
    </row>
    <row r="40" spans="1:13">
      <c r="A40" s="116"/>
      <c r="B40" s="117"/>
      <c r="C40" s="66"/>
      <c r="D40" s="1222" t="s">
        <v>145</v>
      </c>
      <c r="E40" s="1222"/>
      <c r="F40" s="118">
        <f>SUM(F36:F39)</f>
        <v>33000</v>
      </c>
      <c r="G40" s="119"/>
      <c r="H40" s="120"/>
      <c r="I40" s="1223" t="s">
        <v>146</v>
      </c>
      <c r="J40" s="1223"/>
      <c r="K40" s="118">
        <f>SUM(K36:K39)</f>
        <v>20616.987341772154</v>
      </c>
    </row>
    <row r="41" spans="1:13">
      <c r="A41" s="1233" t="s">
        <v>319</v>
      </c>
      <c r="B41" s="1233"/>
      <c r="C41" s="1233"/>
      <c r="D41" s="1233"/>
      <c r="E41" s="1233"/>
      <c r="F41" s="160"/>
      <c r="G41" s="393" t="s">
        <v>421</v>
      </c>
      <c r="H41" s="120"/>
      <c r="I41" s="170"/>
      <c r="J41" s="72"/>
      <c r="K41" s="73"/>
    </row>
    <row r="42" spans="1:13">
      <c r="A42" s="74">
        <v>1</v>
      </c>
      <c r="B42" s="75" t="s">
        <v>147</v>
      </c>
      <c r="C42" s="38" t="s">
        <v>148</v>
      </c>
      <c r="D42" s="171">
        <f>data!I115</f>
        <v>80</v>
      </c>
      <c r="E42" s="39">
        <f>data!J125</f>
        <v>600</v>
      </c>
      <c r="F42" s="39">
        <f>D42*E42</f>
        <v>48000</v>
      </c>
      <c r="G42" s="155" t="s">
        <v>428</v>
      </c>
      <c r="H42" s="182" t="s">
        <v>63</v>
      </c>
      <c r="I42" s="77">
        <f>балки!K8</f>
        <v>0</v>
      </c>
      <c r="J42" s="78">
        <f>data!D134</f>
        <v>17000</v>
      </c>
      <c r="K42" s="79">
        <f>I42*J42</f>
        <v>0</v>
      </c>
    </row>
    <row r="43" spans="1:13">
      <c r="A43" s="74"/>
      <c r="B43" s="75"/>
      <c r="C43" s="38"/>
      <c r="D43" s="171"/>
      <c r="E43" s="39"/>
      <c r="F43" s="39"/>
      <c r="G43" s="175" t="s">
        <v>845</v>
      </c>
      <c r="H43" s="176" t="s">
        <v>85</v>
      </c>
      <c r="I43" s="183">
        <f>балки!I8*2</f>
        <v>0</v>
      </c>
      <c r="J43" s="78">
        <f>data!D140</f>
        <v>65</v>
      </c>
      <c r="K43" s="79">
        <f>I43*J43</f>
        <v>0</v>
      </c>
      <c r="M43" s="283"/>
    </row>
    <row r="44" spans="1:13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183">
        <f>I43*4</f>
        <v>0</v>
      </c>
      <c r="J44" s="79">
        <f>data!D127</f>
        <v>13</v>
      </c>
      <c r="K44" s="79">
        <f>I44*J44</f>
        <v>0</v>
      </c>
    </row>
    <row r="45" spans="1:13">
      <c r="A45" s="162"/>
      <c r="B45" s="163"/>
      <c r="C45" s="164"/>
      <c r="D45" s="103"/>
      <c r="E45" s="103"/>
      <c r="F45" s="389"/>
      <c r="G45" s="223" t="s">
        <v>149</v>
      </c>
      <c r="H45" s="182" t="s">
        <v>144</v>
      </c>
      <c r="I45" s="358">
        <f>I43*20/395</f>
        <v>0</v>
      </c>
      <c r="J45" s="79">
        <f>data!D131</f>
        <v>380</v>
      </c>
      <c r="K45" s="79">
        <f t="shared" ref="K45" si="2">I45*J45</f>
        <v>0</v>
      </c>
    </row>
    <row r="46" spans="1:13">
      <c r="A46" s="116"/>
      <c r="B46" s="117"/>
      <c r="C46" s="66"/>
      <c r="D46" s="1222" t="s">
        <v>145</v>
      </c>
      <c r="E46" s="1222"/>
      <c r="F46" s="118">
        <f>SUM(F42:F45)</f>
        <v>48000</v>
      </c>
      <c r="G46" s="119"/>
      <c r="H46" s="120"/>
      <c r="I46" s="1223" t="s">
        <v>146</v>
      </c>
      <c r="J46" s="1223"/>
      <c r="K46" s="118">
        <f>SUM(K42:K45)</f>
        <v>0</v>
      </c>
    </row>
    <row r="47" spans="1:13">
      <c r="A47" s="1233" t="s">
        <v>426</v>
      </c>
      <c r="B47" s="1233"/>
      <c r="C47" s="1233"/>
      <c r="D47" s="1233"/>
      <c r="E47" s="1233"/>
      <c r="F47" s="160"/>
      <c r="G47" s="393" t="s">
        <v>421</v>
      </c>
      <c r="H47" s="120"/>
      <c r="I47" s="170"/>
      <c r="J47" s="72"/>
      <c r="K47" s="73"/>
    </row>
    <row r="48" spans="1:13">
      <c r="A48" s="74">
        <v>1</v>
      </c>
      <c r="B48" s="75" t="s">
        <v>147</v>
      </c>
      <c r="C48" s="38" t="s">
        <v>148</v>
      </c>
      <c r="D48" s="171">
        <f>data!I116</f>
        <v>19.88</v>
      </c>
      <c r="E48" s="39">
        <f>data!J125</f>
        <v>600</v>
      </c>
      <c r="F48" s="39">
        <f>D48*E48</f>
        <v>11928</v>
      </c>
      <c r="G48" s="155" t="s">
        <v>428</v>
      </c>
      <c r="H48" s="182" t="s">
        <v>63</v>
      </c>
      <c r="I48" s="77">
        <f>балки!K9</f>
        <v>0</v>
      </c>
      <c r="J48" s="78">
        <f>data!D134</f>
        <v>17000</v>
      </c>
      <c r="K48" s="79">
        <f>I48*J48</f>
        <v>0</v>
      </c>
    </row>
    <row r="49" spans="1:13">
      <c r="A49" s="74"/>
      <c r="B49" s="75"/>
      <c r="C49" s="38"/>
      <c r="D49" s="171"/>
      <c r="E49" s="39"/>
      <c r="F49" s="39"/>
      <c r="G49" s="175" t="s">
        <v>845</v>
      </c>
      <c r="H49" s="176" t="s">
        <v>85</v>
      </c>
      <c r="I49" s="183">
        <f>балки!I9*2</f>
        <v>0</v>
      </c>
      <c r="J49" s="78">
        <f>data!D140</f>
        <v>65</v>
      </c>
      <c r="K49" s="79">
        <f>I49*J49</f>
        <v>0</v>
      </c>
      <c r="M49" s="283"/>
    </row>
    <row r="50" spans="1:13">
      <c r="A50" s="167"/>
      <c r="B50" s="177"/>
      <c r="C50" s="178"/>
      <c r="D50" s="179"/>
      <c r="E50" s="179"/>
      <c r="F50" s="388"/>
      <c r="G50" s="223" t="s">
        <v>141</v>
      </c>
      <c r="H50" s="182" t="s">
        <v>85</v>
      </c>
      <c r="I50" s="183">
        <f>I49*4</f>
        <v>0</v>
      </c>
      <c r="J50" s="79">
        <f>data!D127</f>
        <v>13</v>
      </c>
      <c r="K50" s="79">
        <f>I50*J50</f>
        <v>0</v>
      </c>
    </row>
    <row r="51" spans="1:13">
      <c r="A51" s="162"/>
      <c r="B51" s="163"/>
      <c r="C51" s="164"/>
      <c r="D51" s="103"/>
      <c r="E51" s="103"/>
      <c r="F51" s="389"/>
      <c r="G51" s="223" t="s">
        <v>149</v>
      </c>
      <c r="H51" s="182" t="s">
        <v>144</v>
      </c>
      <c r="I51" s="358">
        <f>I49*20/395</f>
        <v>0</v>
      </c>
      <c r="J51" s="79">
        <f>data!D131</f>
        <v>380</v>
      </c>
      <c r="K51" s="79">
        <f t="shared" ref="K51" si="3">I51*J51</f>
        <v>0</v>
      </c>
    </row>
    <row r="52" spans="1:13">
      <c r="A52" s="116"/>
      <c r="B52" s="117"/>
      <c r="C52" s="66"/>
      <c r="D52" s="1222" t="s">
        <v>145</v>
      </c>
      <c r="E52" s="1222"/>
      <c r="F52" s="118">
        <f>SUM(F48:F51)</f>
        <v>11928</v>
      </c>
      <c r="G52" s="119"/>
      <c r="H52" s="120"/>
      <c r="I52" s="1223" t="s">
        <v>146</v>
      </c>
      <c r="J52" s="1223"/>
      <c r="K52" s="118">
        <f>SUM(K48:K51)</f>
        <v>0</v>
      </c>
    </row>
    <row r="53" spans="1:13">
      <c r="A53" s="116"/>
      <c r="B53" s="117"/>
      <c r="C53" s="66"/>
      <c r="D53" s="121"/>
      <c r="E53" s="121"/>
      <c r="F53" s="122"/>
      <c r="G53" s="119"/>
      <c r="H53" s="120"/>
      <c r="I53" s="123"/>
      <c r="J53" s="123"/>
      <c r="K53" s="122"/>
    </row>
    <row r="54" spans="1:13">
      <c r="A54" s="1239" t="s">
        <v>195</v>
      </c>
      <c r="B54" s="1239"/>
      <c r="C54" s="120"/>
      <c r="D54" s="121"/>
      <c r="E54" s="121"/>
      <c r="F54" s="122"/>
      <c r="G54" s="119"/>
      <c r="H54" s="120"/>
      <c r="I54" s="123"/>
      <c r="J54" s="123"/>
      <c r="K54" s="122"/>
    </row>
    <row r="55" spans="1:13" ht="15" customHeight="1">
      <c r="A55" s="124"/>
      <c r="B55" s="125"/>
      <c r="C55" s="124"/>
      <c r="D55" s="124"/>
      <c r="E55" s="126"/>
      <c r="F55" s="124"/>
      <c r="G55" s="127"/>
      <c r="H55" s="76"/>
      <c r="I55" s="77"/>
      <c r="J55" s="114"/>
      <c r="K55" s="124"/>
    </row>
    <row r="56" spans="1:13">
      <c r="A56" s="124"/>
      <c r="B56" s="125"/>
      <c r="C56" s="124"/>
      <c r="D56" s="124"/>
      <c r="E56" s="126"/>
      <c r="F56" s="124"/>
      <c r="G56" s="127"/>
      <c r="H56" s="124"/>
      <c r="I56" s="129"/>
      <c r="J56" s="129"/>
      <c r="K56" s="124"/>
    </row>
    <row r="57" spans="1:13">
      <c r="A57" s="124"/>
      <c r="B57" s="125"/>
      <c r="C57" s="124"/>
      <c r="D57" s="130"/>
      <c r="E57" s="131"/>
      <c r="F57" s="132"/>
      <c r="G57" s="128"/>
      <c r="H57" s="124"/>
      <c r="I57" s="133"/>
      <c r="J57" s="133"/>
      <c r="K57" s="124"/>
    </row>
    <row r="58" spans="1:13">
      <c r="A58" s="124"/>
      <c r="B58" s="125"/>
      <c r="C58" s="124"/>
      <c r="D58" s="130"/>
      <c r="E58" s="131"/>
      <c r="F58" s="132"/>
      <c r="G58" s="127"/>
      <c r="H58" s="124"/>
      <c r="I58" s="133"/>
      <c r="J58" s="133"/>
      <c r="K58" s="124"/>
    </row>
    <row r="59" spans="1:13">
      <c r="A59" s="124"/>
      <c r="B59" s="125"/>
      <c r="C59" s="124"/>
      <c r="D59" s="130"/>
      <c r="E59" s="131"/>
      <c r="F59" s="132"/>
      <c r="G59" s="127"/>
      <c r="H59" s="124"/>
      <c r="I59" s="129"/>
      <c r="J59" s="129"/>
      <c r="K59" s="124"/>
    </row>
    <row r="60" spans="1:13">
      <c r="A60" s="120"/>
      <c r="B60" s="119"/>
      <c r="C60" s="120"/>
      <c r="D60" s="1240"/>
      <c r="E60" s="1241"/>
      <c r="F60" s="132"/>
      <c r="G60" s="119"/>
      <c r="H60" s="120"/>
      <c r="I60" s="1242"/>
      <c r="J60" s="1243"/>
      <c r="K60" s="132"/>
    </row>
    <row r="61" spans="1:13">
      <c r="A61" s="120"/>
      <c r="B61" s="119"/>
      <c r="C61" s="120"/>
      <c r="D61" s="121"/>
      <c r="E61" s="121"/>
      <c r="F61" s="122"/>
      <c r="G61" s="119"/>
      <c r="H61" s="120"/>
      <c r="I61" s="123"/>
      <c r="J61" s="123"/>
      <c r="K61" s="122"/>
    </row>
    <row r="63" spans="1:13">
      <c r="C63" s="1204"/>
      <c r="D63" s="1204"/>
      <c r="E63" s="1204"/>
      <c r="F63" s="1204"/>
      <c r="G63" s="135"/>
    </row>
    <row r="64" spans="1:13">
      <c r="C64" s="1204"/>
      <c r="D64" s="1204"/>
      <c r="E64" s="1204"/>
      <c r="F64" s="1204"/>
      <c r="G64" s="135"/>
    </row>
    <row r="65" spans="1:11 16384:16384">
      <c r="C65" s="1204"/>
      <c r="D65" s="1204"/>
      <c r="E65" s="1204"/>
      <c r="F65" s="1204"/>
      <c r="G65" s="135"/>
    </row>
    <row r="66" spans="1:11 16384:16384">
      <c r="C66" s="1204"/>
      <c r="D66" s="1204"/>
      <c r="E66" s="1204"/>
      <c r="F66" s="1204"/>
      <c r="G66" s="135"/>
    </row>
    <row r="67" spans="1:11 16384:16384">
      <c r="C67" s="1204"/>
      <c r="D67" s="1204"/>
      <c r="E67" s="1204"/>
      <c r="F67" s="1204"/>
      <c r="G67" s="135"/>
    </row>
    <row r="68" spans="1:11 16384:16384">
      <c r="C68" s="1204"/>
      <c r="D68" s="1204"/>
      <c r="E68" s="1204"/>
      <c r="F68" s="1204"/>
      <c r="G68" s="135"/>
    </row>
    <row r="69" spans="1:11 16384:16384">
      <c r="C69" s="1204"/>
      <c r="D69" s="1204"/>
      <c r="E69" s="1204"/>
      <c r="F69" s="1204"/>
      <c r="G69" s="135"/>
    </row>
    <row r="70" spans="1:11 16384:16384">
      <c r="C70" s="1244"/>
      <c r="D70" s="1244"/>
      <c r="E70" s="1244"/>
      <c r="F70" s="1244"/>
      <c r="G70" s="136"/>
    </row>
    <row r="71" spans="1:11 16384:16384" ht="16" thickBot="1">
      <c r="C71" s="1245"/>
      <c r="D71" s="1245"/>
      <c r="E71" s="1245"/>
      <c r="F71" s="1245"/>
      <c r="G71" s="137"/>
    </row>
    <row r="72" spans="1:11 16384:16384" ht="17" thickBot="1">
      <c r="C72" s="1246"/>
      <c r="D72" s="1247"/>
      <c r="E72" s="1247"/>
      <c r="F72" s="1248"/>
      <c r="G72" s="138"/>
      <c r="I72" s="139"/>
      <c r="J72" s="140"/>
    </row>
    <row r="73" spans="1:11 16384:16384">
      <c r="XFD73" s="36">
        <f>SUM(A73:XFC73)</f>
        <v>0</v>
      </c>
    </row>
    <row r="74" spans="1:11 16384:16384">
      <c r="A74" s="141"/>
      <c r="B74" s="141"/>
      <c r="C74" s="141"/>
      <c r="D74" s="141"/>
      <c r="E74" s="141"/>
      <c r="F74" s="142"/>
      <c r="G74" s="143"/>
      <c r="H74" s="141"/>
      <c r="I74" s="141"/>
      <c r="J74" s="141"/>
      <c r="K74" s="141"/>
    </row>
    <row r="75" spans="1:11 16384:16384">
      <c r="A75" s="141"/>
      <c r="B75" s="141"/>
      <c r="C75" s="141"/>
      <c r="D75" s="141"/>
      <c r="E75" s="141"/>
      <c r="F75" s="142"/>
      <c r="G75" s="144"/>
      <c r="H75" s="141"/>
      <c r="I75" s="141"/>
      <c r="J75" s="141"/>
      <c r="K75" s="141"/>
    </row>
    <row r="76" spans="1:11 16384:16384" ht="16">
      <c r="A76" s="141"/>
      <c r="B76" s="141"/>
      <c r="C76" s="141"/>
      <c r="D76" s="141"/>
      <c r="E76" s="141"/>
      <c r="F76" s="142"/>
      <c r="G76" s="145"/>
      <c r="H76" s="141"/>
      <c r="I76" s="141"/>
      <c r="J76" s="141"/>
      <c r="K76" s="141"/>
    </row>
    <row r="77" spans="1:11 16384:16384" ht="14" customHeight="1">
      <c r="A77" s="141"/>
      <c r="B77" s="141"/>
      <c r="C77" s="141"/>
      <c r="D77" s="141"/>
      <c r="E77" s="141"/>
      <c r="F77" s="142"/>
      <c r="G77" s="144"/>
      <c r="H77" s="141"/>
      <c r="I77" s="141"/>
      <c r="J77" s="141"/>
      <c r="K77" s="141"/>
    </row>
    <row r="78" spans="1:11 16384:16384">
      <c r="F78" s="146"/>
      <c r="G78" s="147"/>
    </row>
    <row r="79" spans="1:11 16384:16384">
      <c r="G79" s="148"/>
    </row>
    <row r="80" spans="1:11 16384:16384">
      <c r="G80" s="147"/>
    </row>
    <row r="81" spans="1:7" ht="14" customHeight="1">
      <c r="C81" s="149"/>
    </row>
    <row r="82" spans="1:7">
      <c r="C82" s="147"/>
    </row>
    <row r="83" spans="1:7">
      <c r="C83" s="149"/>
    </row>
    <row r="84" spans="1:7">
      <c r="C84" s="147"/>
    </row>
    <row r="85" spans="1:7">
      <c r="C85" s="149"/>
    </row>
    <row r="86" spans="1:7">
      <c r="C86" s="147"/>
    </row>
    <row r="87" spans="1:7">
      <c r="C87" s="149"/>
    </row>
    <row r="88" spans="1:7" s="141" customFormat="1">
      <c r="A88"/>
      <c r="B88"/>
      <c r="C88" s="147"/>
      <c r="D88"/>
      <c r="E88"/>
      <c r="F88"/>
      <c r="G88"/>
    </row>
    <row r="89" spans="1:7" s="141" customFormat="1">
      <c r="A89"/>
      <c r="B89"/>
      <c r="C89" s="36"/>
      <c r="D89"/>
      <c r="E89"/>
      <c r="F89"/>
      <c r="G89"/>
    </row>
    <row r="90" spans="1:7" s="141" customFormat="1">
      <c r="A90"/>
      <c r="B90"/>
      <c r="C90"/>
      <c r="D90"/>
      <c r="E90"/>
      <c r="F90"/>
      <c r="G90"/>
    </row>
    <row r="91" spans="1:7" s="141" customFormat="1">
      <c r="A91"/>
      <c r="B91"/>
      <c r="C91"/>
      <c r="D91"/>
      <c r="E91"/>
      <c r="F91"/>
      <c r="G91"/>
    </row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</sheetData>
  <mergeCells count="43">
    <mergeCell ref="C69:F69"/>
    <mergeCell ref="C70:F70"/>
    <mergeCell ref="C71:F71"/>
    <mergeCell ref="C72:F72"/>
    <mergeCell ref="C63:F63"/>
    <mergeCell ref="C64:F64"/>
    <mergeCell ref="C65:F65"/>
    <mergeCell ref="C66:F66"/>
    <mergeCell ref="C67:F67"/>
    <mergeCell ref="C68:F68"/>
    <mergeCell ref="A47:E47"/>
    <mergeCell ref="D52:E52"/>
    <mergeCell ref="I52:J52"/>
    <mergeCell ref="A54:B54"/>
    <mergeCell ref="D60:E60"/>
    <mergeCell ref="I60:J60"/>
    <mergeCell ref="D46:E46"/>
    <mergeCell ref="I46:J46"/>
    <mergeCell ref="A12:B12"/>
    <mergeCell ref="D27:E27"/>
    <mergeCell ref="I27:J27"/>
    <mergeCell ref="A28:D28"/>
    <mergeCell ref="D33:E33"/>
    <mergeCell ref="I33:J33"/>
    <mergeCell ref="A34:K34"/>
    <mergeCell ref="A35:E35"/>
    <mergeCell ref="D40:E40"/>
    <mergeCell ref="I40:J40"/>
    <mergeCell ref="A41:E41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86FC-C128-42EA-838E-27A4289DBD01}">
  <dimension ref="A1:K126"/>
  <sheetViews>
    <sheetView topLeftCell="A91" zoomScale="90" zoomScaleNormal="90" workbookViewId="0">
      <selection activeCell="I108" sqref="I108"/>
    </sheetView>
  </sheetViews>
  <sheetFormatPr baseColWidth="10" defaultColWidth="8.83203125" defaultRowHeight="15"/>
  <cols>
    <col min="2" max="2" width="45.33203125" bestFit="1" customWidth="1"/>
    <col min="4" max="4" width="12.6640625" bestFit="1" customWidth="1"/>
    <col min="5" max="5" width="12.6640625" customWidth="1"/>
    <col min="6" max="6" width="14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603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604</v>
      </c>
      <c r="B5" s="52"/>
      <c r="C5" s="49"/>
      <c r="D5" s="409"/>
      <c r="E5" s="409"/>
      <c r="F5" s="409"/>
      <c r="G5" s="50"/>
      <c r="H5" s="50"/>
      <c r="I5" s="53"/>
      <c r="J5" s="54" t="s">
        <v>605</v>
      </c>
      <c r="K5" s="55"/>
    </row>
    <row r="6" spans="1:11">
      <c r="A6" s="1217" t="s">
        <v>606</v>
      </c>
      <c r="B6" s="1217"/>
      <c r="C6" s="49"/>
      <c r="D6" s="1219" t="s">
        <v>121</v>
      </c>
      <c r="E6" s="1219"/>
      <c r="F6" s="1219"/>
      <c r="G6" s="56"/>
      <c r="H6" s="56"/>
      <c r="I6" s="1220" t="s">
        <v>607</v>
      </c>
      <c r="J6" s="1220"/>
      <c r="K6" s="1220"/>
    </row>
    <row r="7" spans="1:11" ht="16">
      <c r="A7" s="1250" t="s">
        <v>123</v>
      </c>
      <c r="B7" s="1250"/>
      <c r="C7" s="1250"/>
      <c r="D7" s="1250"/>
      <c r="E7" s="1250"/>
      <c r="F7" s="1250"/>
      <c r="G7" s="1250"/>
      <c r="H7" s="1250"/>
      <c r="I7" s="1250"/>
      <c r="J7" s="1250"/>
      <c r="K7" s="1250"/>
    </row>
    <row r="8" spans="1:11" ht="15.5" customHeight="1">
      <c r="A8" s="1251" t="s">
        <v>608</v>
      </c>
      <c r="B8" s="1251"/>
      <c r="C8" s="1251"/>
      <c r="D8" s="1055" t="e">
        <f>#REF!</f>
        <v>#REF!</v>
      </c>
      <c r="E8" s="1054" t="s">
        <v>148</v>
      </c>
      <c r="F8" s="1054"/>
      <c r="G8" s="1054"/>
      <c r="H8" s="450"/>
      <c r="I8" s="451"/>
      <c r="J8" s="451"/>
      <c r="K8" s="452"/>
    </row>
    <row r="9" spans="1:11" ht="42">
      <c r="A9" s="416" t="s">
        <v>125</v>
      </c>
      <c r="B9" s="416" t="s">
        <v>126</v>
      </c>
      <c r="C9" s="416" t="s">
        <v>127</v>
      </c>
      <c r="D9" s="299" t="s">
        <v>2</v>
      </c>
      <c r="E9" s="299" t="s">
        <v>128</v>
      </c>
      <c r="F9" s="299" t="s">
        <v>129</v>
      </c>
      <c r="G9" s="416" t="s">
        <v>130</v>
      </c>
      <c r="H9" s="416" t="s">
        <v>127</v>
      </c>
      <c r="I9" s="299" t="s">
        <v>2</v>
      </c>
      <c r="J9" s="299" t="s">
        <v>131</v>
      </c>
      <c r="K9" s="299" t="s">
        <v>132</v>
      </c>
    </row>
    <row r="10" spans="1:11">
      <c r="A10" s="417">
        <v>1</v>
      </c>
      <c r="B10" s="417">
        <v>2</v>
      </c>
      <c r="C10" s="417">
        <v>3</v>
      </c>
      <c r="D10" s="418">
        <v>4</v>
      </c>
      <c r="E10" s="418">
        <v>5</v>
      </c>
      <c r="F10" s="418">
        <v>6</v>
      </c>
      <c r="G10" s="418">
        <v>7</v>
      </c>
      <c r="H10" s="418">
        <v>8</v>
      </c>
      <c r="I10" s="418">
        <v>9</v>
      </c>
      <c r="J10" s="418">
        <v>10</v>
      </c>
      <c r="K10" s="418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49" t="s">
        <v>609</v>
      </c>
      <c r="B12" s="1249"/>
      <c r="C12" s="120"/>
      <c r="D12" s="121"/>
      <c r="E12" s="121"/>
      <c r="F12" s="122"/>
      <c r="G12" s="119"/>
      <c r="H12" s="120"/>
      <c r="I12" s="123"/>
      <c r="J12" s="121"/>
      <c r="K12" s="122"/>
    </row>
    <row r="13" spans="1:11">
      <c r="A13" s="453" t="s">
        <v>134</v>
      </c>
      <c r="B13" s="125" t="s">
        <v>610</v>
      </c>
      <c r="C13" s="124" t="s">
        <v>148</v>
      </c>
      <c r="D13" s="124" t="e">
        <f>#REF!</f>
        <v>#REF!</v>
      </c>
      <c r="E13" s="126" t="e">
        <f>#REF!</f>
        <v>#REF!</v>
      </c>
      <c r="F13" s="124" t="e">
        <f>D13*E13</f>
        <v>#REF!</v>
      </c>
      <c r="G13" s="90" t="s">
        <v>611</v>
      </c>
      <c r="H13" s="91" t="s">
        <v>63</v>
      </c>
      <c r="I13" s="491" t="e">
        <f>#REF!</f>
        <v>#REF!</v>
      </c>
      <c r="J13" s="308" t="e">
        <f>#REF!</f>
        <v>#REF!</v>
      </c>
      <c r="K13" s="124" t="e">
        <f t="shared" ref="K13" si="0">I13*J13</f>
        <v>#REF!</v>
      </c>
    </row>
    <row r="14" spans="1:11" ht="30">
      <c r="A14" s="453" t="s">
        <v>152</v>
      </c>
      <c r="B14" s="125" t="s">
        <v>612</v>
      </c>
      <c r="C14" s="124" t="s">
        <v>148</v>
      </c>
      <c r="D14" s="124" t="e">
        <f>#REF!</f>
        <v>#REF!</v>
      </c>
      <c r="E14" s="126" t="e">
        <f>#REF!</f>
        <v>#REF!</v>
      </c>
      <c r="F14" s="124" t="e">
        <f>D14*E14</f>
        <v>#REF!</v>
      </c>
      <c r="G14" s="90" t="s">
        <v>613</v>
      </c>
      <c r="H14" s="184" t="s">
        <v>85</v>
      </c>
      <c r="I14" s="491" t="e">
        <f>ROUNDUP(#REF!,0)</f>
        <v>#REF!</v>
      </c>
      <c r="J14" s="308" t="e">
        <f>#REF!</f>
        <v>#REF!</v>
      </c>
      <c r="K14" s="124" t="e">
        <f>I14*J14</f>
        <v>#REF!</v>
      </c>
    </row>
    <row r="15" spans="1:11">
      <c r="A15" s="453"/>
      <c r="B15" s="125"/>
      <c r="C15" s="124"/>
      <c r="D15" s="124"/>
      <c r="E15" s="126"/>
      <c r="F15" s="124"/>
      <c r="G15" s="90"/>
      <c r="H15" s="91"/>
      <c r="I15" s="204"/>
      <c r="J15" s="92"/>
      <c r="K15" s="124"/>
    </row>
    <row r="16" spans="1:11">
      <c r="A16" s="454"/>
      <c r="B16" s="454"/>
      <c r="C16" s="455"/>
      <c r="D16" s="1261" t="s">
        <v>145</v>
      </c>
      <c r="E16" s="1262"/>
      <c r="F16" s="456" t="e">
        <f>SUM(F13:F15)</f>
        <v>#REF!</v>
      </c>
      <c r="G16" s="454"/>
      <c r="H16" s="454"/>
      <c r="I16" s="1261" t="s">
        <v>146</v>
      </c>
      <c r="J16" s="1262"/>
      <c r="K16" s="456" t="e">
        <f>SUM(K13:K15)</f>
        <v>#REF!</v>
      </c>
    </row>
    <row r="17" spans="1:11">
      <c r="A17" s="459" t="s">
        <v>614</v>
      </c>
      <c r="B17" s="454"/>
      <c r="C17" s="455"/>
      <c r="D17" s="304"/>
      <c r="E17" s="304"/>
      <c r="F17" s="303"/>
      <c r="G17" s="454"/>
      <c r="H17" s="454"/>
      <c r="I17" s="457"/>
      <c r="J17" s="458"/>
      <c r="K17" s="303"/>
    </row>
    <row r="18" spans="1:11">
      <c r="A18" s="453" t="s">
        <v>134</v>
      </c>
      <c r="B18" s="403" t="s">
        <v>568</v>
      </c>
      <c r="C18" s="442" t="s">
        <v>148</v>
      </c>
      <c r="D18" s="157" t="e">
        <f>#REF!</f>
        <v>#REF!</v>
      </c>
      <c r="E18" s="360" t="e">
        <f>#REF!</f>
        <v>#REF!</v>
      </c>
      <c r="F18" s="156" t="e">
        <f>D18*E18</f>
        <v>#REF!</v>
      </c>
      <c r="G18" s="437" t="s">
        <v>533</v>
      </c>
      <c r="H18" s="182" t="s">
        <v>85</v>
      </c>
      <c r="I18" s="421" t="e">
        <f>#REF!</f>
        <v>#REF!</v>
      </c>
      <c r="J18" s="157" t="e">
        <f>#REF!</f>
        <v>#REF!</v>
      </c>
      <c r="K18" s="82" t="e">
        <f t="shared" ref="K18:K40" si="1">I18*J18</f>
        <v>#REF!</v>
      </c>
    </row>
    <row r="19" spans="1:11">
      <c r="A19" s="453"/>
      <c r="B19" s="403"/>
      <c r="C19" s="442"/>
      <c r="D19" s="157"/>
      <c r="E19" s="360"/>
      <c r="F19" s="156"/>
      <c r="G19" s="437" t="s">
        <v>534</v>
      </c>
      <c r="H19" s="182" t="s">
        <v>85</v>
      </c>
      <c r="I19" s="421" t="e">
        <f>#REF!</f>
        <v>#REF!</v>
      </c>
      <c r="J19" s="157" t="e">
        <f>#REF!</f>
        <v>#REF!</v>
      </c>
      <c r="K19" s="82" t="e">
        <f t="shared" si="1"/>
        <v>#REF!</v>
      </c>
    </row>
    <row r="20" spans="1:11">
      <c r="A20" s="453" t="s">
        <v>152</v>
      </c>
      <c r="B20" s="403" t="s">
        <v>570</v>
      </c>
      <c r="C20" s="442" t="s">
        <v>148</v>
      </c>
      <c r="D20" s="157" t="e">
        <f>#REF!</f>
        <v>#REF!</v>
      </c>
      <c r="E20" s="360" t="e">
        <f>#REF!</f>
        <v>#REF!</v>
      </c>
      <c r="F20" s="156" t="e">
        <f>D20*E20</f>
        <v>#REF!</v>
      </c>
      <c r="G20" s="437" t="s">
        <v>532</v>
      </c>
      <c r="H20" s="182" t="s">
        <v>168</v>
      </c>
      <c r="I20" s="421" t="e">
        <f>#REF!</f>
        <v>#REF!</v>
      </c>
      <c r="J20" s="157" t="e">
        <f>#REF!</f>
        <v>#REF!</v>
      </c>
      <c r="K20" s="82" t="e">
        <f t="shared" si="1"/>
        <v>#REF!</v>
      </c>
    </row>
    <row r="21" spans="1:11">
      <c r="A21" s="453" t="s">
        <v>174</v>
      </c>
      <c r="B21" s="403" t="s">
        <v>571</v>
      </c>
      <c r="C21" s="442" t="s">
        <v>148</v>
      </c>
      <c r="D21" s="157" t="e">
        <f>#REF!</f>
        <v>#REF!</v>
      </c>
      <c r="E21" s="360" t="e">
        <f>#REF!</f>
        <v>#REF!</v>
      </c>
      <c r="F21" s="156" t="e">
        <f>D21*E21</f>
        <v>#REF!</v>
      </c>
      <c r="G21" s="437" t="s">
        <v>529</v>
      </c>
      <c r="H21" s="182" t="s">
        <v>85</v>
      </c>
      <c r="I21" s="421" t="e">
        <f>#REF!</f>
        <v>#REF!</v>
      </c>
      <c r="J21" s="157" t="e">
        <f>#REF!</f>
        <v>#REF!</v>
      </c>
      <c r="K21" s="82" t="e">
        <f t="shared" si="1"/>
        <v>#REF!</v>
      </c>
    </row>
    <row r="22" spans="1:11">
      <c r="A22" s="453"/>
      <c r="B22" s="403"/>
      <c r="C22" s="442"/>
      <c r="D22" s="157"/>
      <c r="E22" s="360"/>
      <c r="F22" s="156"/>
      <c r="G22" s="437" t="s">
        <v>530</v>
      </c>
      <c r="H22" s="182" t="s">
        <v>85</v>
      </c>
      <c r="I22" s="421" t="e">
        <f>#REF!</f>
        <v>#REF!</v>
      </c>
      <c r="J22" s="157" t="e">
        <f>#REF!</f>
        <v>#REF!</v>
      </c>
      <c r="K22" s="82" t="e">
        <f t="shared" si="1"/>
        <v>#REF!</v>
      </c>
    </row>
    <row r="23" spans="1:11">
      <c r="A23" s="453" t="s">
        <v>194</v>
      </c>
      <c r="B23" s="125" t="s">
        <v>889</v>
      </c>
      <c r="C23" s="124" t="s">
        <v>86</v>
      </c>
      <c r="D23" s="124" t="e">
        <f>#REF!</f>
        <v>#REF!</v>
      </c>
      <c r="E23" s="82" t="e">
        <f>#REF!</f>
        <v>#REF!</v>
      </c>
      <c r="F23" s="124" t="e">
        <f t="shared" ref="F23:F28" si="2">D23*E23</f>
        <v>#REF!</v>
      </c>
      <c r="G23" s="437" t="s">
        <v>888</v>
      </c>
      <c r="H23" s="159" t="s">
        <v>85</v>
      </c>
      <c r="I23" s="369" t="e">
        <f>#REF!</f>
        <v>#REF!</v>
      </c>
      <c r="J23" s="82" t="e">
        <f>#REF!</f>
        <v>#REF!</v>
      </c>
      <c r="K23" s="342" t="e">
        <f t="shared" si="1"/>
        <v>#REF!</v>
      </c>
    </row>
    <row r="24" spans="1:11">
      <c r="A24" s="890" t="s">
        <v>193</v>
      </c>
      <c r="B24" s="896" t="s">
        <v>886</v>
      </c>
      <c r="C24" s="897" t="s">
        <v>148</v>
      </c>
      <c r="D24" s="897" t="e">
        <f>D20</f>
        <v>#REF!</v>
      </c>
      <c r="E24" s="895" t="e">
        <f>#REF!</f>
        <v>#REF!</v>
      </c>
      <c r="F24" s="898" t="e">
        <f t="shared" si="2"/>
        <v>#REF!</v>
      </c>
      <c r="G24" s="437" t="s">
        <v>615</v>
      </c>
      <c r="H24" s="899" t="s">
        <v>85</v>
      </c>
      <c r="I24" s="900" t="e">
        <f>#REF!</f>
        <v>#REF!</v>
      </c>
      <c r="J24" s="860" t="e">
        <f>#REF!</f>
        <v>#REF!</v>
      </c>
      <c r="K24" s="342" t="e">
        <f t="shared" si="1"/>
        <v>#REF!</v>
      </c>
    </row>
    <row r="25" spans="1:11">
      <c r="A25" s="453" t="s">
        <v>618</v>
      </c>
      <c r="B25" s="403" t="s">
        <v>887</v>
      </c>
      <c r="C25" s="442" t="s">
        <v>148</v>
      </c>
      <c r="D25" s="157" t="e">
        <f>D21</f>
        <v>#REF!</v>
      </c>
      <c r="E25" s="360" t="e">
        <f>#REF!</f>
        <v>#REF!</v>
      </c>
      <c r="F25" s="156" t="e">
        <f t="shared" si="2"/>
        <v>#REF!</v>
      </c>
      <c r="G25" s="437" t="s">
        <v>615</v>
      </c>
      <c r="H25" s="182" t="s">
        <v>85</v>
      </c>
      <c r="I25" s="421" t="e">
        <f>#REF!</f>
        <v>#REF!</v>
      </c>
      <c r="J25" s="157" t="e">
        <f>#REF!</f>
        <v>#REF!</v>
      </c>
      <c r="K25" s="82" t="e">
        <f t="shared" si="1"/>
        <v>#REF!</v>
      </c>
    </row>
    <row r="26" spans="1:11">
      <c r="A26" s="453" t="s">
        <v>716</v>
      </c>
      <c r="B26" s="403" t="s">
        <v>574</v>
      </c>
      <c r="C26" s="442" t="s">
        <v>86</v>
      </c>
      <c r="D26" s="421" t="e">
        <f>#REF!</f>
        <v>#REF!</v>
      </c>
      <c r="E26" s="360" t="e">
        <f>#REF!</f>
        <v>#REF!</v>
      </c>
      <c r="F26" s="156" t="e">
        <f t="shared" si="2"/>
        <v>#REF!</v>
      </c>
      <c r="G26" s="437" t="s">
        <v>616</v>
      </c>
      <c r="H26" s="182" t="s">
        <v>144</v>
      </c>
      <c r="I26" s="421" t="e">
        <f>#REF!</f>
        <v>#REF!</v>
      </c>
      <c r="J26" s="157" t="e">
        <f>#REF!</f>
        <v>#REF!</v>
      </c>
      <c r="K26" s="82" t="e">
        <f t="shared" si="1"/>
        <v>#REF!</v>
      </c>
    </row>
    <row r="27" spans="1:11">
      <c r="A27" s="453" t="s">
        <v>754</v>
      </c>
      <c r="B27" s="403" t="s">
        <v>575</v>
      </c>
      <c r="C27" s="442" t="s">
        <v>148</v>
      </c>
      <c r="D27" s="157" t="e">
        <f>D21</f>
        <v>#REF!</v>
      </c>
      <c r="E27" s="360" t="e">
        <f>#REF!</f>
        <v>#REF!</v>
      </c>
      <c r="F27" s="156" t="e">
        <f t="shared" si="2"/>
        <v>#REF!</v>
      </c>
      <c r="G27" s="437" t="s">
        <v>617</v>
      </c>
      <c r="H27" s="182" t="s">
        <v>85</v>
      </c>
      <c r="I27" s="421" t="e">
        <f>#REF!</f>
        <v>#REF!</v>
      </c>
      <c r="J27" s="157" t="e">
        <f>#REF!</f>
        <v>#REF!</v>
      </c>
      <c r="K27" s="82" t="e">
        <f t="shared" si="1"/>
        <v>#REF!</v>
      </c>
    </row>
    <row r="28" spans="1:11">
      <c r="A28" s="453" t="s">
        <v>820</v>
      </c>
      <c r="B28" s="403" t="s">
        <v>619</v>
      </c>
      <c r="C28" s="442" t="s">
        <v>148</v>
      </c>
      <c r="D28" s="157" t="e">
        <f>D27</f>
        <v>#REF!</v>
      </c>
      <c r="E28" s="360" t="e">
        <f>#REF!</f>
        <v>#REF!</v>
      </c>
      <c r="F28" s="156" t="e">
        <f t="shared" si="2"/>
        <v>#REF!</v>
      </c>
      <c r="G28" s="437" t="s">
        <v>620</v>
      </c>
      <c r="H28" s="182" t="s">
        <v>63</v>
      </c>
      <c r="I28" s="421" t="e">
        <f>#REF!</f>
        <v>#REF!</v>
      </c>
      <c r="J28" s="157" t="e">
        <f>#REF!</f>
        <v>#REF!</v>
      </c>
      <c r="K28" s="82" t="e">
        <f t="shared" si="1"/>
        <v>#REF!</v>
      </c>
    </row>
    <row r="29" spans="1:11">
      <c r="A29" s="453"/>
      <c r="B29" s="403"/>
      <c r="C29" s="442"/>
      <c r="D29" s="157"/>
      <c r="E29" s="360"/>
      <c r="F29" s="156"/>
      <c r="G29" s="437" t="s">
        <v>553</v>
      </c>
      <c r="H29" s="182" t="s">
        <v>144</v>
      </c>
      <c r="I29" s="421" t="e">
        <f>ROUNDUP(#REF!,0)</f>
        <v>#REF!</v>
      </c>
      <c r="J29" s="157" t="e">
        <f>#REF!</f>
        <v>#REF!</v>
      </c>
      <c r="K29" s="82" t="e">
        <f t="shared" si="1"/>
        <v>#REF!</v>
      </c>
    </row>
    <row r="30" spans="1:11">
      <c r="A30" s="453"/>
      <c r="B30" s="403"/>
      <c r="C30" s="442"/>
      <c r="D30" s="157"/>
      <c r="E30" s="360"/>
      <c r="F30" s="156"/>
      <c r="G30" s="437" t="s">
        <v>539</v>
      </c>
      <c r="H30" s="182" t="s">
        <v>540</v>
      </c>
      <c r="I30" s="421" t="e">
        <f>#REF!</f>
        <v>#REF!</v>
      </c>
      <c r="J30" s="157" t="e">
        <f>#REF!</f>
        <v>#REF!</v>
      </c>
      <c r="K30" s="82" t="e">
        <f t="shared" si="1"/>
        <v>#REF!</v>
      </c>
    </row>
    <row r="31" spans="1:11">
      <c r="A31" s="453"/>
      <c r="B31" s="403"/>
      <c r="C31" s="442"/>
      <c r="D31" s="157"/>
      <c r="E31" s="360"/>
      <c r="F31" s="156"/>
      <c r="G31" s="437" t="s">
        <v>542</v>
      </c>
      <c r="H31" s="182" t="s">
        <v>144</v>
      </c>
      <c r="I31" s="421" t="e">
        <f>#REF!</f>
        <v>#REF!</v>
      </c>
      <c r="J31" s="157" t="e">
        <f>#REF!</f>
        <v>#REF!</v>
      </c>
      <c r="K31" s="82" t="e">
        <f t="shared" si="1"/>
        <v>#REF!</v>
      </c>
    </row>
    <row r="32" spans="1:11">
      <c r="A32" s="453"/>
      <c r="B32" s="403"/>
      <c r="C32" s="442"/>
      <c r="D32" s="157"/>
      <c r="E32" s="360"/>
      <c r="F32" s="156"/>
      <c r="G32" s="437" t="s">
        <v>554</v>
      </c>
      <c r="H32" s="182" t="s">
        <v>85</v>
      </c>
      <c r="I32" s="421" t="e">
        <f>#REF!</f>
        <v>#REF!</v>
      </c>
      <c r="J32" s="157" t="e">
        <f>#REF!</f>
        <v>#REF!</v>
      </c>
      <c r="K32" s="82" t="e">
        <f t="shared" si="1"/>
        <v>#REF!</v>
      </c>
    </row>
    <row r="33" spans="1:11">
      <c r="A33" s="453"/>
      <c r="B33" s="403"/>
      <c r="C33" s="442"/>
      <c r="D33" s="157"/>
      <c r="E33" s="360"/>
      <c r="F33" s="156"/>
      <c r="G33" s="437" t="s">
        <v>175</v>
      </c>
      <c r="H33" s="182" t="s">
        <v>85</v>
      </c>
      <c r="I33" s="421" t="e">
        <f>#REF!</f>
        <v>#REF!</v>
      </c>
      <c r="J33" s="157" t="e">
        <f>#REF!</f>
        <v>#REF!</v>
      </c>
      <c r="K33" s="82" t="e">
        <f t="shared" si="1"/>
        <v>#REF!</v>
      </c>
    </row>
    <row r="34" spans="1:11">
      <c r="A34" s="453"/>
      <c r="B34" s="403"/>
      <c r="C34" s="442"/>
      <c r="D34" s="157"/>
      <c r="E34" s="360"/>
      <c r="F34" s="156"/>
      <c r="G34" s="437" t="s">
        <v>555</v>
      </c>
      <c r="H34" s="182" t="s">
        <v>85</v>
      </c>
      <c r="I34" s="421" t="e">
        <f>#REF!</f>
        <v>#REF!</v>
      </c>
      <c r="J34" s="157" t="e">
        <f>#REF!</f>
        <v>#REF!</v>
      </c>
      <c r="K34" s="82" t="e">
        <f t="shared" si="1"/>
        <v>#REF!</v>
      </c>
    </row>
    <row r="35" spans="1:11">
      <c r="A35" s="453"/>
      <c r="B35" s="403"/>
      <c r="C35" s="442"/>
      <c r="D35" s="157"/>
      <c r="E35" s="360"/>
      <c r="F35" s="156"/>
      <c r="G35" s="437" t="s">
        <v>176</v>
      </c>
      <c r="H35" s="182" t="s">
        <v>85</v>
      </c>
      <c r="I35" s="421" t="e">
        <f>#REF!</f>
        <v>#REF!</v>
      </c>
      <c r="J35" s="157" t="e">
        <f>#REF!</f>
        <v>#REF!</v>
      </c>
      <c r="K35" s="82" t="e">
        <f t="shared" si="1"/>
        <v>#REF!</v>
      </c>
    </row>
    <row r="36" spans="1:11">
      <c r="A36" s="453"/>
      <c r="B36" s="403"/>
      <c r="C36" s="442"/>
      <c r="D36" s="157"/>
      <c r="E36" s="360"/>
      <c r="F36" s="156"/>
      <c r="G36" s="437" t="s">
        <v>621</v>
      </c>
      <c r="H36" s="182" t="s">
        <v>85</v>
      </c>
      <c r="I36" s="421" t="e">
        <f>#REF!</f>
        <v>#REF!</v>
      </c>
      <c r="J36" s="157" t="e">
        <f>#REF!</f>
        <v>#REF!</v>
      </c>
      <c r="K36" s="82" t="e">
        <f t="shared" si="1"/>
        <v>#REF!</v>
      </c>
    </row>
    <row r="37" spans="1:11">
      <c r="A37" s="453"/>
      <c r="B37" s="403"/>
      <c r="C37" s="442"/>
      <c r="D37" s="157"/>
      <c r="E37" s="360"/>
      <c r="F37" s="156"/>
      <c r="G37" s="437" t="s">
        <v>560</v>
      </c>
      <c r="H37" s="182" t="s">
        <v>144</v>
      </c>
      <c r="I37" s="421" t="e">
        <f>#REF!</f>
        <v>#REF!</v>
      </c>
      <c r="J37" s="157" t="e">
        <f>#REF!</f>
        <v>#REF!</v>
      </c>
      <c r="K37" s="82" t="e">
        <f t="shared" si="1"/>
        <v>#REF!</v>
      </c>
    </row>
    <row r="38" spans="1:11">
      <c r="A38" s="453"/>
      <c r="B38" s="403"/>
      <c r="C38" s="442"/>
      <c r="D38" s="157"/>
      <c r="E38" s="360"/>
      <c r="F38" s="156"/>
      <c r="G38" s="437" t="s">
        <v>622</v>
      </c>
      <c r="H38" s="182" t="s">
        <v>144</v>
      </c>
      <c r="I38" s="421" t="e">
        <f>#REF!</f>
        <v>#REF!</v>
      </c>
      <c r="J38" s="157" t="e">
        <f>#REF!</f>
        <v>#REF!</v>
      </c>
      <c r="K38" s="82" t="e">
        <f t="shared" si="1"/>
        <v>#REF!</v>
      </c>
    </row>
    <row r="39" spans="1:11">
      <c r="A39" s="453"/>
      <c r="B39" s="403"/>
      <c r="C39" s="442"/>
      <c r="D39" s="157"/>
      <c r="E39" s="360"/>
      <c r="F39" s="156"/>
      <c r="G39" s="437" t="s">
        <v>623</v>
      </c>
      <c r="H39" s="182" t="s">
        <v>85</v>
      </c>
      <c r="I39" s="421" t="e">
        <f>#REF!</f>
        <v>#REF!</v>
      </c>
      <c r="J39" s="157" t="e">
        <f>#REF!</f>
        <v>#REF!</v>
      </c>
      <c r="K39" s="82" t="e">
        <f t="shared" si="1"/>
        <v>#REF!</v>
      </c>
    </row>
    <row r="40" spans="1:11">
      <c r="A40" s="453"/>
      <c r="B40" s="403"/>
      <c r="C40" s="442"/>
      <c r="D40" s="157"/>
      <c r="E40" s="157"/>
      <c r="F40" s="39"/>
      <c r="G40" s="437" t="s">
        <v>166</v>
      </c>
      <c r="H40" s="182" t="s">
        <v>85</v>
      </c>
      <c r="I40" s="421" t="e">
        <f>#REF!</f>
        <v>#REF!</v>
      </c>
      <c r="J40" s="157" t="e">
        <f>#REF!</f>
        <v>#REF!</v>
      </c>
      <c r="K40" s="82" t="e">
        <f t="shared" si="1"/>
        <v>#REF!</v>
      </c>
    </row>
    <row r="41" spans="1:11">
      <c r="A41" s="120"/>
      <c r="B41" s="119"/>
      <c r="C41" s="120"/>
      <c r="D41" s="1252" t="s">
        <v>145</v>
      </c>
      <c r="E41" s="1253"/>
      <c r="F41" s="118" t="e">
        <f>SUM(F18:F28)</f>
        <v>#REF!</v>
      </c>
      <c r="G41" s="119"/>
      <c r="H41" s="120"/>
      <c r="I41" s="1254" t="s">
        <v>146</v>
      </c>
      <c r="J41" s="1254"/>
      <c r="K41" s="118" t="e">
        <f>SUM(K18:K40)</f>
        <v>#REF!</v>
      </c>
    </row>
    <row r="42" spans="1:11">
      <c r="A42" s="1249" t="s">
        <v>624</v>
      </c>
      <c r="B42" s="1249"/>
      <c r="C42" s="120"/>
      <c r="D42" s="120"/>
      <c r="E42" s="121"/>
      <c r="F42" s="122"/>
      <c r="G42" s="119"/>
      <c r="H42" s="120"/>
      <c r="I42" s="460"/>
      <c r="J42" s="121"/>
      <c r="K42" s="122"/>
    </row>
    <row r="43" spans="1:11">
      <c r="A43" s="461" t="s">
        <v>134</v>
      </c>
      <c r="B43" s="443" t="s">
        <v>577</v>
      </c>
      <c r="C43" s="435" t="s">
        <v>148</v>
      </c>
      <c r="D43" s="435" t="e">
        <f>#REF!</f>
        <v>#REF!</v>
      </c>
      <c r="E43" s="342" t="e">
        <f>#REF!</f>
        <v>#REF!</v>
      </c>
      <c r="F43" s="435" t="e">
        <f>D43*E43</f>
        <v>#REF!</v>
      </c>
      <c r="G43" s="436" t="s">
        <v>506</v>
      </c>
      <c r="H43" s="492" t="s">
        <v>507</v>
      </c>
      <c r="I43" s="493" t="e">
        <f>#REF!</f>
        <v>#REF!</v>
      </c>
      <c r="J43" s="494" t="e">
        <f>#REF!</f>
        <v>#REF!</v>
      </c>
      <c r="K43" s="342" t="e">
        <f>I43*J43</f>
        <v>#REF!</v>
      </c>
    </row>
    <row r="44" spans="1:11">
      <c r="A44" s="453" t="s">
        <v>152</v>
      </c>
      <c r="B44" s="125" t="s">
        <v>578</v>
      </c>
      <c r="C44" s="124" t="s">
        <v>148</v>
      </c>
      <c r="D44" s="124" t="e">
        <f>#REF!</f>
        <v>#REF!</v>
      </c>
      <c r="E44" s="82" t="e">
        <f>#REF!</f>
        <v>#REF!</v>
      </c>
      <c r="F44" s="124" t="e">
        <f>D44*E44</f>
        <v>#REF!</v>
      </c>
      <c r="G44" s="437" t="s">
        <v>509</v>
      </c>
      <c r="H44" s="159" t="s">
        <v>170</v>
      </c>
      <c r="I44" s="369" t="e">
        <f>#REF!</f>
        <v>#REF!</v>
      </c>
      <c r="J44" s="82" t="e">
        <f>#REF!</f>
        <v>#REF!</v>
      </c>
      <c r="K44" s="342" t="e">
        <f t="shared" ref="K44:K60" si="3">I44*J44</f>
        <v>#REF!</v>
      </c>
    </row>
    <row r="45" spans="1:11">
      <c r="A45" s="453"/>
      <c r="B45" s="125"/>
      <c r="C45" s="124"/>
      <c r="D45" s="124"/>
      <c r="E45" s="82"/>
      <c r="F45" s="124"/>
      <c r="G45" s="437" t="s">
        <v>511</v>
      </c>
      <c r="H45" s="159" t="s">
        <v>168</v>
      </c>
      <c r="I45" s="369" t="e">
        <f>#REF!</f>
        <v>#REF!</v>
      </c>
      <c r="J45" s="82" t="e">
        <f>#REF!</f>
        <v>#REF!</v>
      </c>
      <c r="K45" s="342" t="e">
        <f t="shared" si="3"/>
        <v>#REF!</v>
      </c>
    </row>
    <row r="46" spans="1:11">
      <c r="A46" s="453"/>
      <c r="B46" s="125"/>
      <c r="C46" s="124"/>
      <c r="D46" s="124"/>
      <c r="E46" s="82"/>
      <c r="F46" s="124"/>
      <c r="G46" s="437" t="s">
        <v>513</v>
      </c>
      <c r="H46" s="159" t="s">
        <v>514</v>
      </c>
      <c r="I46" s="369" t="e">
        <f>#REF!</f>
        <v>#REF!</v>
      </c>
      <c r="J46" s="82" t="e">
        <f>#REF!</f>
        <v>#REF!</v>
      </c>
      <c r="K46" s="342" t="e">
        <f t="shared" si="3"/>
        <v>#REF!</v>
      </c>
    </row>
    <row r="47" spans="1:11">
      <c r="A47" s="453"/>
      <c r="B47" s="125"/>
      <c r="C47" s="124"/>
      <c r="D47" s="124"/>
      <c r="E47" s="82"/>
      <c r="F47" s="124"/>
      <c r="G47" s="437" t="s">
        <v>516</v>
      </c>
      <c r="H47" s="159" t="s">
        <v>514</v>
      </c>
      <c r="I47" s="369" t="e">
        <f>#REF!</f>
        <v>#REF!</v>
      </c>
      <c r="J47" s="82" t="e">
        <f>#REF!</f>
        <v>#REF!</v>
      </c>
      <c r="K47" s="342" t="e">
        <f t="shared" si="3"/>
        <v>#REF!</v>
      </c>
    </row>
    <row r="48" spans="1:11">
      <c r="A48" s="453"/>
      <c r="B48" s="125"/>
      <c r="C48" s="124"/>
      <c r="D48" s="124"/>
      <c r="E48" s="82"/>
      <c r="F48" s="124"/>
      <c r="G48" s="437" t="s">
        <v>517</v>
      </c>
      <c r="H48" s="159" t="s">
        <v>85</v>
      </c>
      <c r="I48" s="369" t="e">
        <f>#REF!</f>
        <v>#REF!</v>
      </c>
      <c r="J48" s="82" t="e">
        <f>#REF!</f>
        <v>#REF!</v>
      </c>
      <c r="K48" s="342" t="e">
        <f t="shared" si="3"/>
        <v>#REF!</v>
      </c>
    </row>
    <row r="49" spans="1:11">
      <c r="A49" s="453"/>
      <c r="B49" s="125"/>
      <c r="C49" s="124"/>
      <c r="D49" s="124"/>
      <c r="E49" s="82"/>
      <c r="F49" s="124"/>
      <c r="G49" s="437" t="s">
        <v>520</v>
      </c>
      <c r="H49" s="159" t="s">
        <v>85</v>
      </c>
      <c r="I49" s="369" t="e">
        <f>#REF!</f>
        <v>#REF!</v>
      </c>
      <c r="J49" s="82" t="e">
        <f>#REF!</f>
        <v>#REF!</v>
      </c>
      <c r="K49" s="342" t="e">
        <f t="shared" si="3"/>
        <v>#REF!</v>
      </c>
    </row>
    <row r="50" spans="1:11">
      <c r="A50" s="453"/>
      <c r="B50" s="125"/>
      <c r="C50" s="124"/>
      <c r="D50" s="124"/>
      <c r="E50" s="82"/>
      <c r="F50" s="124"/>
      <c r="G50" s="437" t="s">
        <v>522</v>
      </c>
      <c r="H50" s="159" t="s">
        <v>85</v>
      </c>
      <c r="I50" s="369" t="e">
        <f>#REF!</f>
        <v>#REF!</v>
      </c>
      <c r="J50" s="82" t="e">
        <f>#REF!</f>
        <v>#REF!</v>
      </c>
      <c r="K50" s="342" t="e">
        <f t="shared" si="3"/>
        <v>#REF!</v>
      </c>
    </row>
    <row r="51" spans="1:11">
      <c r="A51" s="453"/>
      <c r="B51" s="125"/>
      <c r="C51" s="124"/>
      <c r="D51" s="124"/>
      <c r="E51" s="82"/>
      <c r="F51" s="124"/>
      <c r="G51" s="437" t="s">
        <v>523</v>
      </c>
      <c r="H51" s="159" t="s">
        <v>85</v>
      </c>
      <c r="I51" s="369" t="e">
        <f>#REF!</f>
        <v>#REF!</v>
      </c>
      <c r="J51" s="82" t="e">
        <f>#REF!</f>
        <v>#REF!</v>
      </c>
      <c r="K51" s="342" t="e">
        <f t="shared" si="3"/>
        <v>#REF!</v>
      </c>
    </row>
    <row r="52" spans="1:11">
      <c r="A52" s="453"/>
      <c r="B52" s="125"/>
      <c r="C52" s="124"/>
      <c r="D52" s="124"/>
      <c r="E52" s="82"/>
      <c r="F52" s="124"/>
      <c r="G52" s="437" t="s">
        <v>524</v>
      </c>
      <c r="H52" s="159" t="s">
        <v>85</v>
      </c>
      <c r="I52" s="369" t="e">
        <f>#REF!</f>
        <v>#REF!</v>
      </c>
      <c r="J52" s="82" t="e">
        <f>#REF!</f>
        <v>#REF!</v>
      </c>
      <c r="K52" s="342" t="e">
        <f t="shared" si="3"/>
        <v>#REF!</v>
      </c>
    </row>
    <row r="53" spans="1:11">
      <c r="A53" s="453"/>
      <c r="B53" s="125"/>
      <c r="C53" s="124"/>
      <c r="D53" s="124"/>
      <c r="E53" s="82"/>
      <c r="F53" s="124"/>
      <c r="G53" s="437" t="s">
        <v>525</v>
      </c>
      <c r="H53" s="159" t="s">
        <v>85</v>
      </c>
      <c r="I53" s="369" t="e">
        <f>#REF!</f>
        <v>#REF!</v>
      </c>
      <c r="J53" s="82" t="e">
        <f>#REF!</f>
        <v>#REF!</v>
      </c>
      <c r="K53" s="342" t="e">
        <f t="shared" si="3"/>
        <v>#REF!</v>
      </c>
    </row>
    <row r="54" spans="1:11">
      <c r="A54" s="453"/>
      <c r="B54" s="125"/>
      <c r="C54" s="124"/>
      <c r="D54" s="124"/>
      <c r="E54" s="82"/>
      <c r="F54" s="124"/>
      <c r="G54" s="437" t="s">
        <v>526</v>
      </c>
      <c r="H54" s="159" t="s">
        <v>168</v>
      </c>
      <c r="I54" s="369" t="e">
        <f>#REF!</f>
        <v>#REF!</v>
      </c>
      <c r="J54" s="82" t="e">
        <f>#REF!</f>
        <v>#REF!</v>
      </c>
      <c r="K54" s="342" t="e">
        <f t="shared" si="3"/>
        <v>#REF!</v>
      </c>
    </row>
    <row r="55" spans="1:11">
      <c r="A55" s="453"/>
      <c r="B55" s="125"/>
      <c r="C55" s="124"/>
      <c r="D55" s="124"/>
      <c r="E55" s="82"/>
      <c r="F55" s="124"/>
      <c r="G55" s="437" t="s">
        <v>527</v>
      </c>
      <c r="H55" s="159" t="s">
        <v>168</v>
      </c>
      <c r="I55" s="369" t="e">
        <f>#REF!</f>
        <v>#REF!</v>
      </c>
      <c r="J55" s="82" t="e">
        <f>#REF!</f>
        <v>#REF!</v>
      </c>
      <c r="K55" s="342" t="e">
        <f t="shared" si="3"/>
        <v>#REF!</v>
      </c>
    </row>
    <row r="56" spans="1:11">
      <c r="A56" s="453"/>
      <c r="B56" s="125"/>
      <c r="C56" s="124"/>
      <c r="D56" s="124"/>
      <c r="E56" s="82"/>
      <c r="F56" s="124"/>
      <c r="G56" s="437" t="s">
        <v>528</v>
      </c>
      <c r="H56" s="159" t="s">
        <v>85</v>
      </c>
      <c r="I56" s="369" t="e">
        <f>#REF!</f>
        <v>#REF!</v>
      </c>
      <c r="J56" s="82" t="e">
        <f>#REF!</f>
        <v>#REF!</v>
      </c>
      <c r="K56" s="342" t="e">
        <f t="shared" si="3"/>
        <v>#REF!</v>
      </c>
    </row>
    <row r="57" spans="1:11">
      <c r="A57" s="453"/>
      <c r="B57" s="125"/>
      <c r="C57" s="124"/>
      <c r="D57" s="124"/>
      <c r="E57" s="82"/>
      <c r="F57" s="124"/>
      <c r="G57" s="437" t="s">
        <v>536</v>
      </c>
      <c r="H57" s="159" t="s">
        <v>85</v>
      </c>
      <c r="I57" s="369" t="e">
        <f>#REF!</f>
        <v>#REF!</v>
      </c>
      <c r="J57" s="82" t="e">
        <f>#REF!</f>
        <v>#REF!</v>
      </c>
      <c r="K57" s="342" t="e">
        <f t="shared" si="3"/>
        <v>#REF!</v>
      </c>
    </row>
    <row r="58" spans="1:11">
      <c r="A58" s="453"/>
      <c r="B58" s="125"/>
      <c r="C58" s="124"/>
      <c r="D58" s="124"/>
      <c r="E58" s="82"/>
      <c r="F58" s="124"/>
      <c r="G58" s="437" t="s">
        <v>537</v>
      </c>
      <c r="H58" s="159" t="s">
        <v>85</v>
      </c>
      <c r="I58" s="369" t="e">
        <f>#REF!</f>
        <v>#REF!</v>
      </c>
      <c r="J58" s="82" t="e">
        <f>#REF!</f>
        <v>#REF!</v>
      </c>
      <c r="K58" s="342" t="e">
        <f t="shared" si="3"/>
        <v>#REF!</v>
      </c>
    </row>
    <row r="59" spans="1:11">
      <c r="A59" s="453"/>
      <c r="B59" s="125"/>
      <c r="C59" s="124"/>
      <c r="D59" s="124"/>
      <c r="E59" s="82"/>
      <c r="F59" s="124"/>
      <c r="G59" s="437" t="s">
        <v>543</v>
      </c>
      <c r="H59" s="159" t="s">
        <v>85</v>
      </c>
      <c r="I59" s="369" t="e">
        <f>#REF!</f>
        <v>#REF!</v>
      </c>
      <c r="J59" s="82" t="e">
        <f>#REF!</f>
        <v>#REF!</v>
      </c>
      <c r="K59" s="342" t="e">
        <f t="shared" si="3"/>
        <v>#REF!</v>
      </c>
    </row>
    <row r="60" spans="1:11">
      <c r="A60" s="453"/>
      <c r="B60" s="125"/>
      <c r="C60" s="124"/>
      <c r="D60" s="124"/>
      <c r="E60" s="82"/>
      <c r="F60" s="124"/>
      <c r="G60" s="437" t="s">
        <v>544</v>
      </c>
      <c r="H60" s="159" t="s">
        <v>85</v>
      </c>
      <c r="I60" s="369" t="e">
        <f>#REF!</f>
        <v>#REF!</v>
      </c>
      <c r="J60" s="82" t="e">
        <f>#REF!</f>
        <v>#REF!</v>
      </c>
      <c r="K60" s="342" t="e">
        <f t="shared" si="3"/>
        <v>#REF!</v>
      </c>
    </row>
    <row r="61" spans="1:11" ht="15.5" customHeight="1">
      <c r="A61" s="453"/>
      <c r="B61" s="125"/>
      <c r="C61" s="124"/>
      <c r="D61" s="124"/>
      <c r="E61" s="82"/>
      <c r="F61" s="124"/>
      <c r="G61" s="437"/>
      <c r="H61" s="159"/>
      <c r="I61" s="159"/>
      <c r="J61" s="82"/>
      <c r="K61" s="82"/>
    </row>
    <row r="62" spans="1:11">
      <c r="A62" s="120"/>
      <c r="B62" s="119"/>
      <c r="C62" s="120"/>
      <c r="D62" s="1252" t="s">
        <v>145</v>
      </c>
      <c r="E62" s="1253"/>
      <c r="F62" s="118" t="e">
        <f>SUM(F43:F61)</f>
        <v>#REF!</v>
      </c>
      <c r="G62" s="119"/>
      <c r="H62" s="120"/>
      <c r="I62" s="1254" t="s">
        <v>146</v>
      </c>
      <c r="J62" s="1254"/>
      <c r="K62" s="118" t="e">
        <f>SUM(K43:K61)</f>
        <v>#REF!</v>
      </c>
    </row>
    <row r="63" spans="1:11">
      <c r="A63" s="1249" t="s">
        <v>983</v>
      </c>
      <c r="B63" s="1249"/>
      <c r="C63" s="120"/>
      <c r="D63" s="120"/>
      <c r="E63" s="121"/>
      <c r="F63" s="122"/>
      <c r="G63" s="119"/>
      <c r="H63" s="120"/>
      <c r="I63" s="460"/>
      <c r="J63" s="121"/>
      <c r="K63" s="122"/>
    </row>
    <row r="64" spans="1:11">
      <c r="A64" s="453" t="s">
        <v>134</v>
      </c>
      <c r="B64" s="125" t="s">
        <v>625</v>
      </c>
      <c r="C64" s="124" t="s">
        <v>86</v>
      </c>
      <c r="D64" s="124" t="e">
        <f>#REF!</f>
        <v>#REF!</v>
      </c>
      <c r="E64" s="82" t="e">
        <f>#REF!</f>
        <v>#REF!</v>
      </c>
      <c r="F64" s="124" t="e">
        <f>D64*E64</f>
        <v>#REF!</v>
      </c>
      <c r="G64" s="437" t="s">
        <v>584</v>
      </c>
      <c r="H64" s="159" t="s">
        <v>85</v>
      </c>
      <c r="I64" s="82" t="e">
        <f>#REF!</f>
        <v>#REF!</v>
      </c>
      <c r="J64" s="82" t="e">
        <f>#REF!</f>
        <v>#REF!</v>
      </c>
      <c r="K64" s="342" t="e">
        <f>I64*J64</f>
        <v>#REF!</v>
      </c>
    </row>
    <row r="65" spans="1:11">
      <c r="A65" s="453" t="s">
        <v>152</v>
      </c>
      <c r="B65" s="125" t="s">
        <v>626</v>
      </c>
      <c r="C65" s="124" t="s">
        <v>86</v>
      </c>
      <c r="D65" s="124" t="e">
        <f>#REF!</f>
        <v>#REF!</v>
      </c>
      <c r="E65" s="82" t="e">
        <f>#REF!</f>
        <v>#REF!</v>
      </c>
      <c r="F65" s="124" t="e">
        <f>D65*E65</f>
        <v>#REF!</v>
      </c>
      <c r="G65" s="437" t="s">
        <v>585</v>
      </c>
      <c r="H65" s="159" t="s">
        <v>85</v>
      </c>
      <c r="I65" s="82" t="e">
        <f>#REF!</f>
        <v>#REF!</v>
      </c>
      <c r="J65" s="82" t="e">
        <f>#REF!</f>
        <v>#REF!</v>
      </c>
      <c r="K65" s="342" t="e">
        <f t="shared" ref="K65:K76" si="4">I65*J65</f>
        <v>#REF!</v>
      </c>
    </row>
    <row r="66" spans="1:11">
      <c r="A66" s="453"/>
      <c r="B66" s="125"/>
      <c r="C66" s="124"/>
      <c r="D66" s="124"/>
      <c r="E66" s="82"/>
      <c r="F66" s="124"/>
      <c r="G66" s="437" t="s">
        <v>586</v>
      </c>
      <c r="H66" s="159" t="s">
        <v>85</v>
      </c>
      <c r="I66" s="82" t="e">
        <f>#REF!</f>
        <v>#REF!</v>
      </c>
      <c r="J66" s="82" t="e">
        <f>#REF!</f>
        <v>#REF!</v>
      </c>
      <c r="K66" s="342" t="e">
        <f t="shared" si="4"/>
        <v>#REF!</v>
      </c>
    </row>
    <row r="67" spans="1:11">
      <c r="A67" s="453"/>
      <c r="B67" s="125"/>
      <c r="C67" s="124"/>
      <c r="D67" s="124"/>
      <c r="E67" s="82"/>
      <c r="F67" s="124"/>
      <c r="G67" s="437" t="s">
        <v>587</v>
      </c>
      <c r="H67" s="159" t="s">
        <v>85</v>
      </c>
      <c r="I67" s="82" t="e">
        <f>#REF!</f>
        <v>#REF!</v>
      </c>
      <c r="J67" s="82" t="e">
        <f>#REF!</f>
        <v>#REF!</v>
      </c>
      <c r="K67" s="342" t="e">
        <f t="shared" si="4"/>
        <v>#REF!</v>
      </c>
    </row>
    <row r="68" spans="1:11">
      <c r="A68" s="453"/>
      <c r="B68" s="125"/>
      <c r="C68" s="124"/>
      <c r="D68" s="124"/>
      <c r="E68" s="82"/>
      <c r="F68" s="124"/>
      <c r="G68" s="437" t="s">
        <v>588</v>
      </c>
      <c r="H68" s="159" t="s">
        <v>85</v>
      </c>
      <c r="I68" s="82" t="e">
        <f>#REF!</f>
        <v>#REF!</v>
      </c>
      <c r="J68" s="82" t="e">
        <f>#REF!</f>
        <v>#REF!</v>
      </c>
      <c r="K68" s="342" t="e">
        <f t="shared" si="4"/>
        <v>#REF!</v>
      </c>
    </row>
    <row r="69" spans="1:11">
      <c r="A69" s="453"/>
      <c r="B69" s="125"/>
      <c r="C69" s="124"/>
      <c r="D69" s="124"/>
      <c r="E69" s="82"/>
      <c r="F69" s="124"/>
      <c r="G69" s="437" t="s">
        <v>589</v>
      </c>
      <c r="H69" s="159" t="s">
        <v>85</v>
      </c>
      <c r="I69" s="82" t="e">
        <f>#REF!</f>
        <v>#REF!</v>
      </c>
      <c r="J69" s="82" t="e">
        <f>#REF!</f>
        <v>#REF!</v>
      </c>
      <c r="K69" s="342" t="e">
        <f t="shared" si="4"/>
        <v>#REF!</v>
      </c>
    </row>
    <row r="70" spans="1:11">
      <c r="A70" s="453"/>
      <c r="B70" s="125"/>
      <c r="C70" s="124"/>
      <c r="D70" s="124"/>
      <c r="E70" s="82"/>
      <c r="F70" s="124"/>
      <c r="G70" s="437" t="s">
        <v>590</v>
      </c>
      <c r="H70" s="159" t="s">
        <v>85</v>
      </c>
      <c r="I70" s="82" t="e">
        <f>#REF!</f>
        <v>#REF!</v>
      </c>
      <c r="J70" s="82" t="e">
        <f>#REF!</f>
        <v>#REF!</v>
      </c>
      <c r="K70" s="342" t="e">
        <f t="shared" si="4"/>
        <v>#REF!</v>
      </c>
    </row>
    <row r="71" spans="1:11">
      <c r="A71" s="453"/>
      <c r="B71" s="125"/>
      <c r="C71" s="124"/>
      <c r="D71" s="124"/>
      <c r="E71" s="82"/>
      <c r="F71" s="124"/>
      <c r="G71" s="437" t="s">
        <v>591</v>
      </c>
      <c r="H71" s="159" t="s">
        <v>85</v>
      </c>
      <c r="I71" s="82" t="e">
        <f>#REF!</f>
        <v>#REF!</v>
      </c>
      <c r="J71" s="82" t="e">
        <f>#REF!</f>
        <v>#REF!</v>
      </c>
      <c r="K71" s="342" t="e">
        <f t="shared" si="4"/>
        <v>#REF!</v>
      </c>
    </row>
    <row r="72" spans="1:11">
      <c r="A72" s="453"/>
      <c r="B72" s="125"/>
      <c r="C72" s="124"/>
      <c r="D72" s="124"/>
      <c r="E72" s="82"/>
      <c r="F72" s="124"/>
      <c r="G72" s="437" t="s">
        <v>592</v>
      </c>
      <c r="H72" s="159" t="s">
        <v>85</v>
      </c>
      <c r="I72" s="82" t="e">
        <f>#REF!</f>
        <v>#REF!</v>
      </c>
      <c r="J72" s="82" t="e">
        <f>#REF!</f>
        <v>#REF!</v>
      </c>
      <c r="K72" s="342" t="e">
        <f t="shared" si="4"/>
        <v>#REF!</v>
      </c>
    </row>
    <row r="73" spans="1:11">
      <c r="A73" s="453"/>
      <c r="B73" s="125"/>
      <c r="C73" s="124"/>
      <c r="D73" s="124"/>
      <c r="E73" s="82"/>
      <c r="F73" s="124"/>
      <c r="G73" s="437" t="s">
        <v>593</v>
      </c>
      <c r="H73" s="159" t="s">
        <v>85</v>
      </c>
      <c r="I73" s="82" t="e">
        <f>#REF!</f>
        <v>#REF!</v>
      </c>
      <c r="J73" s="82" t="e">
        <f>#REF!</f>
        <v>#REF!</v>
      </c>
      <c r="K73" s="342" t="e">
        <f t="shared" si="4"/>
        <v>#REF!</v>
      </c>
    </row>
    <row r="74" spans="1:11">
      <c r="A74" s="453"/>
      <c r="B74" s="125"/>
      <c r="C74" s="124"/>
      <c r="D74" s="124"/>
      <c r="E74" s="82"/>
      <c r="F74" s="124"/>
      <c r="G74" s="437" t="s">
        <v>594</v>
      </c>
      <c r="H74" s="159" t="s">
        <v>85</v>
      </c>
      <c r="I74" s="82" t="e">
        <f>#REF!</f>
        <v>#REF!</v>
      </c>
      <c r="J74" s="82" t="e">
        <f>#REF!</f>
        <v>#REF!</v>
      </c>
      <c r="K74" s="342" t="e">
        <f t="shared" si="4"/>
        <v>#REF!</v>
      </c>
    </row>
    <row r="75" spans="1:11" ht="16">
      <c r="A75" s="453"/>
      <c r="B75" s="125"/>
      <c r="C75" s="124"/>
      <c r="D75" s="124"/>
      <c r="E75" s="82"/>
      <c r="F75" s="124"/>
      <c r="G75" s="437" t="s">
        <v>595</v>
      </c>
      <c r="H75" s="159" t="s">
        <v>85</v>
      </c>
      <c r="I75" s="82" t="e">
        <f>#REF!</f>
        <v>#REF!</v>
      </c>
      <c r="J75" s="82" t="e">
        <f>#REF!</f>
        <v>#REF!</v>
      </c>
      <c r="K75" s="342" t="e">
        <f t="shared" si="4"/>
        <v>#REF!</v>
      </c>
    </row>
    <row r="76" spans="1:11" ht="16">
      <c r="A76" s="453"/>
      <c r="B76" s="125"/>
      <c r="C76" s="124"/>
      <c r="D76" s="124"/>
      <c r="E76" s="82"/>
      <c r="F76" s="124"/>
      <c r="G76" s="437" t="s">
        <v>596</v>
      </c>
      <c r="H76" s="159" t="s">
        <v>85</v>
      </c>
      <c r="I76" s="82" t="e">
        <f>#REF!</f>
        <v>#REF!</v>
      </c>
      <c r="J76" s="82" t="e">
        <f>#REF!</f>
        <v>#REF!</v>
      </c>
      <c r="K76" s="342" t="e">
        <f t="shared" si="4"/>
        <v>#REF!</v>
      </c>
    </row>
    <row r="77" spans="1:11">
      <c r="A77" s="462"/>
      <c r="B77" s="119"/>
      <c r="C77" s="120"/>
      <c r="D77" s="1252" t="s">
        <v>145</v>
      </c>
      <c r="E77" s="1253"/>
      <c r="F77" s="118" t="e">
        <f>SUM(F64:F76)</f>
        <v>#REF!</v>
      </c>
      <c r="G77" s="463"/>
      <c r="H77" s="464"/>
      <c r="I77" s="1254" t="s">
        <v>146</v>
      </c>
      <c r="J77" s="1255"/>
      <c r="K77" s="420" t="e">
        <f>SUM(K64:K76)</f>
        <v>#REF!</v>
      </c>
    </row>
    <row r="78" spans="1:11">
      <c r="A78" s="1239" t="s">
        <v>984</v>
      </c>
      <c r="B78" s="1239"/>
      <c r="C78" s="120"/>
      <c r="D78" s="121"/>
      <c r="E78" s="121"/>
      <c r="F78" s="122"/>
      <c r="G78" s="119"/>
      <c r="H78" s="120"/>
      <c r="I78" s="123"/>
      <c r="J78" s="123"/>
      <c r="K78" s="122"/>
    </row>
    <row r="79" spans="1:11">
      <c r="A79" s="453" t="s">
        <v>134</v>
      </c>
      <c r="B79" s="125" t="s">
        <v>625</v>
      </c>
      <c r="C79" s="124" t="s">
        <v>86</v>
      </c>
      <c r="D79" s="124" t="e">
        <f>#REF!</f>
        <v>#REF!</v>
      </c>
      <c r="E79" s="82" t="e">
        <f>#REF!</f>
        <v>#REF!</v>
      </c>
      <c r="F79" s="124" t="e">
        <f>D79*E79</f>
        <v>#REF!</v>
      </c>
      <c r="G79" s="437" t="s">
        <v>584</v>
      </c>
      <c r="H79" s="159" t="s">
        <v>85</v>
      </c>
      <c r="I79" s="369" t="e">
        <f>#REF!</f>
        <v>#REF!</v>
      </c>
      <c r="J79" s="82" t="e">
        <f>#REF!</f>
        <v>#REF!</v>
      </c>
      <c r="K79" s="342" t="e">
        <f>I79*J79</f>
        <v>#REF!</v>
      </c>
    </row>
    <row r="80" spans="1:11">
      <c r="A80" s="453" t="s">
        <v>152</v>
      </c>
      <c r="B80" s="125" t="s">
        <v>626</v>
      </c>
      <c r="C80" s="124" t="s">
        <v>86</v>
      </c>
      <c r="D80" s="124" t="e">
        <f>#REF!</f>
        <v>#REF!</v>
      </c>
      <c r="E80" s="82" t="e">
        <f>#REF!</f>
        <v>#REF!</v>
      </c>
      <c r="F80" s="124" t="e">
        <f>D80*E80</f>
        <v>#REF!</v>
      </c>
      <c r="G80" s="437" t="s">
        <v>585</v>
      </c>
      <c r="H80" s="159" t="s">
        <v>85</v>
      </c>
      <c r="I80" s="369" t="e">
        <f>#REF!</f>
        <v>#REF!</v>
      </c>
      <c r="J80" s="82" t="e">
        <f>#REF!</f>
        <v>#REF!</v>
      </c>
      <c r="K80" s="342" t="e">
        <f t="shared" ref="K80:K91" si="5">I80*J80</f>
        <v>#REF!</v>
      </c>
    </row>
    <row r="81" spans="1:11">
      <c r="A81" s="453"/>
      <c r="B81" s="125"/>
      <c r="C81" s="124"/>
      <c r="D81" s="124"/>
      <c r="E81" s="82"/>
      <c r="F81" s="124"/>
      <c r="G81" s="437" t="s">
        <v>586</v>
      </c>
      <c r="H81" s="159" t="s">
        <v>85</v>
      </c>
      <c r="I81" s="369" t="e">
        <f>#REF!</f>
        <v>#REF!</v>
      </c>
      <c r="J81" s="82" t="e">
        <f>#REF!</f>
        <v>#REF!</v>
      </c>
      <c r="K81" s="342" t="e">
        <f t="shared" si="5"/>
        <v>#REF!</v>
      </c>
    </row>
    <row r="82" spans="1:11">
      <c r="A82" s="453"/>
      <c r="B82" s="125"/>
      <c r="C82" s="124"/>
      <c r="D82" s="124"/>
      <c r="E82" s="82"/>
      <c r="F82" s="124"/>
      <c r="G82" s="437" t="s">
        <v>587</v>
      </c>
      <c r="H82" s="159" t="s">
        <v>85</v>
      </c>
      <c r="I82" s="369" t="e">
        <f>#REF!</f>
        <v>#REF!</v>
      </c>
      <c r="J82" s="82" t="e">
        <f>#REF!</f>
        <v>#REF!</v>
      </c>
      <c r="K82" s="342" t="e">
        <f t="shared" si="5"/>
        <v>#REF!</v>
      </c>
    </row>
    <row r="83" spans="1:11">
      <c r="A83" s="453"/>
      <c r="B83" s="125"/>
      <c r="C83" s="124"/>
      <c r="D83" s="124"/>
      <c r="E83" s="82"/>
      <c r="F83" s="124"/>
      <c r="G83" s="437" t="s">
        <v>588</v>
      </c>
      <c r="H83" s="159" t="s">
        <v>85</v>
      </c>
      <c r="I83" s="369" t="e">
        <f>#REF!</f>
        <v>#REF!</v>
      </c>
      <c r="J83" s="82" t="e">
        <f>#REF!</f>
        <v>#REF!</v>
      </c>
      <c r="K83" s="342" t="e">
        <f t="shared" si="5"/>
        <v>#REF!</v>
      </c>
    </row>
    <row r="84" spans="1:11">
      <c r="A84" s="453"/>
      <c r="B84" s="125"/>
      <c r="C84" s="124"/>
      <c r="D84" s="124"/>
      <c r="E84" s="82"/>
      <c r="F84" s="124"/>
      <c r="G84" s="495" t="s">
        <v>589</v>
      </c>
      <c r="H84" s="159" t="s">
        <v>85</v>
      </c>
      <c r="I84" s="369" t="e">
        <f>#REF!</f>
        <v>#REF!</v>
      </c>
      <c r="J84" s="82" t="e">
        <f>#REF!</f>
        <v>#REF!</v>
      </c>
      <c r="K84" s="342" t="e">
        <f t="shared" si="5"/>
        <v>#REF!</v>
      </c>
    </row>
    <row r="85" spans="1:11">
      <c r="A85" s="453"/>
      <c r="B85" s="125"/>
      <c r="C85" s="124"/>
      <c r="D85" s="124"/>
      <c r="E85" s="82"/>
      <c r="F85" s="124"/>
      <c r="G85" s="495" t="s">
        <v>590</v>
      </c>
      <c r="H85" s="159" t="s">
        <v>85</v>
      </c>
      <c r="I85" s="369" t="e">
        <f>#REF!</f>
        <v>#REF!</v>
      </c>
      <c r="J85" s="82" t="e">
        <f>#REF!</f>
        <v>#REF!</v>
      </c>
      <c r="K85" s="342" t="e">
        <f t="shared" si="5"/>
        <v>#REF!</v>
      </c>
    </row>
    <row r="86" spans="1:11">
      <c r="A86" s="453"/>
      <c r="B86" s="125"/>
      <c r="C86" s="124"/>
      <c r="D86" s="124"/>
      <c r="E86" s="82"/>
      <c r="F86" s="124"/>
      <c r="G86" s="495" t="s">
        <v>591</v>
      </c>
      <c r="H86" s="159" t="s">
        <v>85</v>
      </c>
      <c r="I86" s="369" t="e">
        <f>#REF!</f>
        <v>#REF!</v>
      </c>
      <c r="J86" s="82" t="e">
        <f>#REF!</f>
        <v>#REF!</v>
      </c>
      <c r="K86" s="342" t="e">
        <f t="shared" si="5"/>
        <v>#REF!</v>
      </c>
    </row>
    <row r="87" spans="1:11">
      <c r="A87" s="453"/>
      <c r="B87" s="125"/>
      <c r="C87" s="124"/>
      <c r="D87" s="124"/>
      <c r="E87" s="82"/>
      <c r="F87" s="124"/>
      <c r="G87" s="495" t="s">
        <v>592</v>
      </c>
      <c r="H87" s="159" t="s">
        <v>85</v>
      </c>
      <c r="I87" s="369" t="e">
        <f>#REF!</f>
        <v>#REF!</v>
      </c>
      <c r="J87" s="82" t="e">
        <f>#REF!</f>
        <v>#REF!</v>
      </c>
      <c r="K87" s="342" t="e">
        <f t="shared" si="5"/>
        <v>#REF!</v>
      </c>
    </row>
    <row r="88" spans="1:11">
      <c r="A88" s="453"/>
      <c r="B88" s="125"/>
      <c r="C88" s="124"/>
      <c r="D88" s="124"/>
      <c r="E88" s="82"/>
      <c r="F88" s="124"/>
      <c r="G88" s="495" t="s">
        <v>593</v>
      </c>
      <c r="H88" s="159" t="s">
        <v>85</v>
      </c>
      <c r="I88" s="369" t="e">
        <f>#REF!</f>
        <v>#REF!</v>
      </c>
      <c r="J88" s="82" t="e">
        <f>#REF!</f>
        <v>#REF!</v>
      </c>
      <c r="K88" s="342" t="e">
        <f t="shared" si="5"/>
        <v>#REF!</v>
      </c>
    </row>
    <row r="89" spans="1:11">
      <c r="A89" s="453"/>
      <c r="B89" s="125"/>
      <c r="C89" s="124"/>
      <c r="D89" s="124"/>
      <c r="E89" s="82"/>
      <c r="F89" s="124"/>
      <c r="G89" s="495" t="s">
        <v>598</v>
      </c>
      <c r="H89" s="159" t="s">
        <v>85</v>
      </c>
      <c r="I89" s="369" t="e">
        <f>#REF!</f>
        <v>#REF!</v>
      </c>
      <c r="J89" s="82" t="e">
        <f>#REF!</f>
        <v>#REF!</v>
      </c>
      <c r="K89" s="342" t="e">
        <f t="shared" si="5"/>
        <v>#REF!</v>
      </c>
    </row>
    <row r="90" spans="1:11">
      <c r="A90" s="453"/>
      <c r="B90" s="125"/>
      <c r="C90" s="124"/>
      <c r="D90" s="124"/>
      <c r="E90" s="82"/>
      <c r="F90" s="124"/>
      <c r="G90" s="495" t="s">
        <v>599</v>
      </c>
      <c r="H90" s="159" t="s">
        <v>85</v>
      </c>
      <c r="I90" s="369" t="e">
        <f>#REF!</f>
        <v>#REF!</v>
      </c>
      <c r="J90" s="82" t="e">
        <f>#REF!</f>
        <v>#REF!</v>
      </c>
      <c r="K90" s="342" t="e">
        <f t="shared" si="5"/>
        <v>#REF!</v>
      </c>
    </row>
    <row r="91" spans="1:11">
      <c r="A91" s="453"/>
      <c r="B91" s="125"/>
      <c r="C91" s="124"/>
      <c r="D91" s="124"/>
      <c r="E91" s="82"/>
      <c r="F91" s="124"/>
      <c r="G91" s="495" t="s">
        <v>600</v>
      </c>
      <c r="H91" s="159" t="s">
        <v>85</v>
      </c>
      <c r="I91" s="369" t="e">
        <f>#REF!</f>
        <v>#REF!</v>
      </c>
      <c r="J91" s="82" t="e">
        <f>#REF!</f>
        <v>#REF!</v>
      </c>
      <c r="K91" s="342" t="e">
        <f t="shared" si="5"/>
        <v>#REF!</v>
      </c>
    </row>
    <row r="92" spans="1:11">
      <c r="A92" s="120"/>
      <c r="B92" s="119"/>
      <c r="C92" s="120"/>
      <c r="D92" s="1252" t="s">
        <v>145</v>
      </c>
      <c r="E92" s="1253"/>
      <c r="F92" s="118" t="e">
        <f>SUM(F79:F91)</f>
        <v>#REF!</v>
      </c>
      <c r="G92" s="119"/>
      <c r="H92" s="120"/>
      <c r="I92" s="1254" t="s">
        <v>146</v>
      </c>
      <c r="J92" s="1255"/>
      <c r="K92" s="420" t="e">
        <f>SUM(K79:K91)</f>
        <v>#REF!</v>
      </c>
    </row>
    <row r="93" spans="1:11">
      <c r="A93" s="1239" t="s">
        <v>985</v>
      </c>
      <c r="B93" s="1239"/>
      <c r="C93" s="120"/>
      <c r="D93" s="121"/>
      <c r="E93" s="121"/>
      <c r="F93" s="122"/>
      <c r="G93" s="119"/>
      <c r="H93" s="120"/>
      <c r="I93" s="123"/>
      <c r="J93" s="123"/>
      <c r="K93" s="122"/>
    </row>
    <row r="94" spans="1:11">
      <c r="A94" s="124" t="s">
        <v>134</v>
      </c>
      <c r="B94" s="125" t="s">
        <v>581</v>
      </c>
      <c r="C94" s="124" t="s">
        <v>63</v>
      </c>
      <c r="D94" s="447" t="e">
        <f>#REF!</f>
        <v>#REF!</v>
      </c>
      <c r="E94" s="126" t="e">
        <f>#REF!</f>
        <v>#REF!</v>
      </c>
      <c r="F94" s="124" t="e">
        <f>D94*E94</f>
        <v>#REF!</v>
      </c>
      <c r="G94" s="368" t="s">
        <v>640</v>
      </c>
      <c r="H94" s="182" t="s">
        <v>155</v>
      </c>
      <c r="I94" s="198" t="e">
        <f>ROUNDUP(#REF!,0)</f>
        <v>#REF!</v>
      </c>
      <c r="J94" s="109" t="e">
        <f>#REF!</f>
        <v>#REF!</v>
      </c>
      <c r="K94" s="124" t="e">
        <f t="shared" ref="K94:K95" si="6">I94*J94</f>
        <v>#REF!</v>
      </c>
    </row>
    <row r="95" spans="1:11">
      <c r="A95" s="124" t="s">
        <v>152</v>
      </c>
      <c r="B95" s="125" t="s">
        <v>582</v>
      </c>
      <c r="C95" s="124" t="s">
        <v>343</v>
      </c>
      <c r="D95" s="447" t="e">
        <f>#REF!/1000*1.05</f>
        <v>#REF!</v>
      </c>
      <c r="E95" s="126" t="e">
        <f>#REF!</f>
        <v>#REF!</v>
      </c>
      <c r="F95" s="124" t="e">
        <f>D95*E95</f>
        <v>#REF!</v>
      </c>
      <c r="G95" s="127" t="s">
        <v>641</v>
      </c>
      <c r="H95" s="182" t="s">
        <v>155</v>
      </c>
      <c r="I95" s="198" t="e">
        <f>#REF!</f>
        <v>#REF!</v>
      </c>
      <c r="J95" s="109" t="e">
        <f>#REF!</f>
        <v>#REF!</v>
      </c>
      <c r="K95" s="124" t="e">
        <f t="shared" si="6"/>
        <v>#REF!</v>
      </c>
    </row>
    <row r="96" spans="1:11">
      <c r="A96" s="120"/>
      <c r="B96" s="119"/>
      <c r="C96" s="120"/>
      <c r="D96" s="1256" t="s">
        <v>145</v>
      </c>
      <c r="E96" s="1257"/>
      <c r="F96" s="132" t="e">
        <f>SUM(F94:F95)</f>
        <v>#REF!</v>
      </c>
      <c r="G96" s="119"/>
      <c r="H96" s="120"/>
      <c r="I96" s="1242" t="s">
        <v>20</v>
      </c>
      <c r="J96" s="1243"/>
      <c r="K96" s="132" t="e">
        <f>SUM(K94:K95)</f>
        <v>#REF!</v>
      </c>
    </row>
    <row r="97" spans="1:11">
      <c r="A97" s="120"/>
      <c r="B97" s="119"/>
      <c r="C97" s="120"/>
      <c r="D97" s="121"/>
      <c r="E97" s="121"/>
      <c r="F97" s="122"/>
      <c r="G97" s="119"/>
      <c r="H97" s="120"/>
      <c r="I97" s="123"/>
      <c r="J97" s="123"/>
      <c r="K97" s="122"/>
    </row>
    <row r="98" spans="1:11" ht="13.75" customHeight="1"/>
    <row r="99" spans="1:11">
      <c r="C99" s="1204" t="s">
        <v>158</v>
      </c>
      <c r="D99" s="1204"/>
      <c r="E99" s="1204"/>
      <c r="F99" s="1204"/>
      <c r="G99" s="423" t="e">
        <f>F16+F41+F62+F96+F92+F77</f>
        <v>#REF!</v>
      </c>
    </row>
    <row r="100" spans="1:11">
      <c r="C100" s="1204" t="s">
        <v>159</v>
      </c>
      <c r="D100" s="1204"/>
      <c r="E100" s="1204"/>
      <c r="F100" s="1204"/>
      <c r="G100" s="423" t="e">
        <f>G99*0.03</f>
        <v>#REF!</v>
      </c>
    </row>
    <row r="101" spans="1:11">
      <c r="C101" s="1204" t="s">
        <v>160</v>
      </c>
      <c r="D101" s="1204"/>
      <c r="E101" s="1204"/>
      <c r="F101" s="1204"/>
      <c r="G101" s="423" t="e">
        <f>G99*0.16</f>
        <v>#REF!</v>
      </c>
    </row>
    <row r="102" spans="1:11" ht="13.75" customHeight="1">
      <c r="C102" s="1204" t="s">
        <v>20</v>
      </c>
      <c r="D102" s="1204"/>
      <c r="E102" s="1204"/>
      <c r="F102" s="1204"/>
      <c r="G102" s="423" t="e">
        <f>G99+G100+G101</f>
        <v>#REF!</v>
      </c>
    </row>
    <row r="103" spans="1:11">
      <c r="C103" s="1204" t="s">
        <v>161</v>
      </c>
      <c r="D103" s="1204"/>
      <c r="E103" s="1204"/>
      <c r="F103" s="1204"/>
      <c r="G103" s="423" t="e">
        <f>K16+K41+K62+K92+K77</f>
        <v>#REF!</v>
      </c>
    </row>
    <row r="104" spans="1:11">
      <c r="C104" s="1258" t="s">
        <v>863</v>
      </c>
      <c r="D104" s="1259"/>
      <c r="E104" s="1259"/>
      <c r="F104" s="1260"/>
      <c r="G104" s="850" t="e">
        <f>G103*0.035</f>
        <v>#REF!</v>
      </c>
    </row>
    <row r="105" spans="1:11">
      <c r="C105" s="1204" t="s">
        <v>162</v>
      </c>
      <c r="D105" s="1204"/>
      <c r="E105" s="1204"/>
      <c r="F105" s="1204"/>
      <c r="G105" s="423" t="e">
        <f>K96</f>
        <v>#REF!</v>
      </c>
    </row>
    <row r="106" spans="1:11">
      <c r="C106" s="1204" t="s">
        <v>20</v>
      </c>
      <c r="D106" s="1204"/>
      <c r="E106" s="1204"/>
      <c r="F106" s="1204"/>
      <c r="G106" s="423" t="e">
        <f>G103+G105+G104</f>
        <v>#REF!</v>
      </c>
    </row>
    <row r="107" spans="1:11">
      <c r="C107" s="1244" t="s">
        <v>629</v>
      </c>
      <c r="D107" s="1244"/>
      <c r="E107" s="1244"/>
      <c r="F107" s="1244"/>
      <c r="G107" s="424" t="e">
        <f>G102+G106</f>
        <v>#REF!</v>
      </c>
    </row>
    <row r="108" spans="1:11" ht="17" thickBot="1">
      <c r="C108" s="1245" t="s">
        <v>164</v>
      </c>
      <c r="D108" s="1245"/>
      <c r="E108" s="1245"/>
      <c r="F108" s="1245"/>
      <c r="G108" s="431" t="e">
        <f>G99*0.03</f>
        <v>#REF!</v>
      </c>
      <c r="I108" s="139"/>
      <c r="J108" s="140"/>
    </row>
    <row r="109" spans="1:11" s="141" customFormat="1" ht="16" thickBot="1">
      <c r="A109"/>
      <c r="B109"/>
      <c r="C109" s="1246" t="s">
        <v>630</v>
      </c>
      <c r="D109" s="1247"/>
      <c r="E109" s="1247"/>
      <c r="F109" s="1248"/>
      <c r="G109" s="432" t="e">
        <f>G107+G108</f>
        <v>#REF!</v>
      </c>
      <c r="H109"/>
      <c r="I109"/>
      <c r="J109"/>
      <c r="K109"/>
    </row>
    <row r="110" spans="1:11" s="141" customFormat="1">
      <c r="C110"/>
      <c r="D110"/>
      <c r="E110"/>
      <c r="F110"/>
      <c r="G110"/>
    </row>
    <row r="111" spans="1:11" s="141" customFormat="1" ht="14">
      <c r="F111" s="142"/>
      <c r="G111" s="143"/>
    </row>
    <row r="112" spans="1:11" s="141" customFormat="1" ht="14">
      <c r="F112" s="142"/>
      <c r="G112" s="144"/>
    </row>
    <row r="113" spans="1:11" ht="16">
      <c r="A113" s="141"/>
      <c r="B113" s="141"/>
      <c r="C113" s="141"/>
      <c r="D113" s="141"/>
      <c r="E113" s="141"/>
      <c r="F113" s="142"/>
      <c r="G113" s="145"/>
      <c r="H113" s="141"/>
      <c r="I113" s="141"/>
      <c r="J113" s="141"/>
      <c r="K113" s="141"/>
    </row>
    <row r="114" spans="1:11">
      <c r="C114" s="141"/>
      <c r="D114" s="141"/>
      <c r="E114" s="141"/>
      <c r="F114" s="142"/>
      <c r="G114" s="144"/>
    </row>
    <row r="115" spans="1:11">
      <c r="F115" s="146"/>
      <c r="G115" s="147"/>
    </row>
    <row r="116" spans="1:11">
      <c r="G116" s="148"/>
    </row>
    <row r="117" spans="1:11">
      <c r="G117" s="292"/>
    </row>
    <row r="118" spans="1:11">
      <c r="G118" s="149"/>
    </row>
    <row r="119" spans="1:11">
      <c r="G119" s="292"/>
    </row>
    <row r="120" spans="1:11">
      <c r="G120" s="149"/>
    </row>
    <row r="121" spans="1:11">
      <c r="G121" s="292"/>
    </row>
    <row r="122" spans="1:11">
      <c r="G122" s="149"/>
    </row>
    <row r="123" spans="1:11">
      <c r="G123" s="292"/>
    </row>
    <row r="124" spans="1:11">
      <c r="G124" s="149"/>
    </row>
    <row r="125" spans="1:11">
      <c r="G125" s="292"/>
    </row>
    <row r="126" spans="1:11">
      <c r="G126" s="36"/>
    </row>
  </sheetData>
  <mergeCells count="41">
    <mergeCell ref="D16:E16"/>
    <mergeCell ref="I16:J16"/>
    <mergeCell ref="C103:F103"/>
    <mergeCell ref="C105:F105"/>
    <mergeCell ref="C106:F106"/>
    <mergeCell ref="D77:E77"/>
    <mergeCell ref="I77:J77"/>
    <mergeCell ref="C107:F107"/>
    <mergeCell ref="C108:F108"/>
    <mergeCell ref="C109:F109"/>
    <mergeCell ref="D96:E96"/>
    <mergeCell ref="I96:J96"/>
    <mergeCell ref="C99:F99"/>
    <mergeCell ref="C100:F100"/>
    <mergeCell ref="C101:F101"/>
    <mergeCell ref="C102:F102"/>
    <mergeCell ref="C104:F104"/>
    <mergeCell ref="A78:B78"/>
    <mergeCell ref="D92:E92"/>
    <mergeCell ref="I92:J92"/>
    <mergeCell ref="A93:B93"/>
    <mergeCell ref="D41:E41"/>
    <mergeCell ref="I41:J41"/>
    <mergeCell ref="A42:B42"/>
    <mergeCell ref="D62:E62"/>
    <mergeCell ref="I62:J62"/>
    <mergeCell ref="A63:B63"/>
    <mergeCell ref="A12:B12"/>
    <mergeCell ref="A1:K1"/>
    <mergeCell ref="A2:K2"/>
    <mergeCell ref="A3:B3"/>
    <mergeCell ref="D3:F3"/>
    <mergeCell ref="H3:J3"/>
    <mergeCell ref="A4:B4"/>
    <mergeCell ref="D4:F4"/>
    <mergeCell ref="H4:K4"/>
    <mergeCell ref="A6:B6"/>
    <mergeCell ref="D6:F6"/>
    <mergeCell ref="I6:K6"/>
    <mergeCell ref="A7:K7"/>
    <mergeCell ref="A8:C8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0527-676C-4FD7-A515-ACB21468694D}">
  <dimension ref="A1:K145"/>
  <sheetViews>
    <sheetView zoomScale="90" zoomScaleNormal="90" workbookViewId="0">
      <selection activeCell="F81" sqref="F81"/>
    </sheetView>
  </sheetViews>
  <sheetFormatPr baseColWidth="10" defaultColWidth="8.83203125" defaultRowHeight="15"/>
  <cols>
    <col min="2" max="2" width="45.33203125" bestFit="1" customWidth="1"/>
    <col min="4" max="4" width="10.5" bestFit="1" customWidth="1"/>
    <col min="5" max="6" width="12.6640625" customWidth="1"/>
    <col min="7" max="7" width="59.33203125" customWidth="1"/>
    <col min="9" max="9" width="11.1640625" bestFit="1" customWidth="1"/>
    <col min="10" max="10" width="12.83203125" customWidth="1"/>
    <col min="11" max="11" width="15.832031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603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604</v>
      </c>
      <c r="B5" s="52"/>
      <c r="C5" s="49"/>
      <c r="D5" s="409"/>
      <c r="E5" s="409"/>
      <c r="F5" s="409"/>
      <c r="G5" s="50"/>
      <c r="H5" s="50"/>
      <c r="I5" s="53"/>
      <c r="J5" s="54" t="s">
        <v>605</v>
      </c>
      <c r="K5" s="55"/>
    </row>
    <row r="6" spans="1:11">
      <c r="A6" s="1217" t="s">
        <v>606</v>
      </c>
      <c r="B6" s="1217"/>
      <c r="C6" s="49"/>
      <c r="D6" s="1219" t="s">
        <v>121</v>
      </c>
      <c r="E6" s="1219"/>
      <c r="F6" s="1219"/>
      <c r="G6" s="56"/>
      <c r="H6" s="56"/>
      <c r="I6" s="1220" t="s">
        <v>607</v>
      </c>
      <c r="J6" s="1220"/>
      <c r="K6" s="1220"/>
    </row>
    <row r="7" spans="1:11" ht="16">
      <c r="A7" s="1250" t="s">
        <v>123</v>
      </c>
      <c r="B7" s="1250"/>
      <c r="C7" s="1250"/>
      <c r="D7" s="1250"/>
      <c r="E7" s="1250"/>
      <c r="F7" s="1250"/>
      <c r="G7" s="1250"/>
      <c r="H7" s="1250"/>
      <c r="I7" s="1250"/>
      <c r="J7" s="1250"/>
      <c r="K7" s="1250"/>
    </row>
    <row r="8" spans="1:11" ht="15.5" customHeight="1">
      <c r="A8" s="1251" t="s">
        <v>608</v>
      </c>
      <c r="B8" s="1251"/>
      <c r="C8" s="1251"/>
      <c r="D8" s="1251"/>
      <c r="E8" s="1054" t="e">
        <f>#REF!</f>
        <v>#REF!</v>
      </c>
      <c r="F8" s="1054" t="s">
        <v>148</v>
      </c>
      <c r="G8" s="1054"/>
      <c r="H8" s="450"/>
      <c r="I8" s="451"/>
      <c r="J8" s="451"/>
      <c r="K8" s="452"/>
    </row>
    <row r="9" spans="1:11" ht="42">
      <c r="A9" s="416" t="s">
        <v>125</v>
      </c>
      <c r="B9" s="416" t="s">
        <v>126</v>
      </c>
      <c r="C9" s="416" t="s">
        <v>127</v>
      </c>
      <c r="D9" s="299" t="s">
        <v>2</v>
      </c>
      <c r="E9" s="299" t="s">
        <v>128</v>
      </c>
      <c r="F9" s="299" t="s">
        <v>129</v>
      </c>
      <c r="G9" s="416" t="s">
        <v>130</v>
      </c>
      <c r="H9" s="416" t="s">
        <v>127</v>
      </c>
      <c r="I9" s="299" t="s">
        <v>2</v>
      </c>
      <c r="J9" s="299" t="s">
        <v>131</v>
      </c>
      <c r="K9" s="299" t="s">
        <v>132</v>
      </c>
    </row>
    <row r="10" spans="1:11">
      <c r="A10" s="417">
        <v>1</v>
      </c>
      <c r="B10" s="417">
        <v>2</v>
      </c>
      <c r="C10" s="417">
        <v>3</v>
      </c>
      <c r="D10" s="418">
        <v>4</v>
      </c>
      <c r="E10" s="418">
        <v>5</v>
      </c>
      <c r="F10" s="418">
        <v>6</v>
      </c>
      <c r="G10" s="418">
        <v>7</v>
      </c>
      <c r="H10" s="418">
        <v>8</v>
      </c>
      <c r="I10" s="418">
        <v>9</v>
      </c>
      <c r="J10" s="418">
        <v>10</v>
      </c>
      <c r="K10" s="418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49" t="s">
        <v>609</v>
      </c>
      <c r="B12" s="1249"/>
      <c r="C12" s="120"/>
      <c r="D12" s="121"/>
      <c r="E12" s="121"/>
      <c r="F12" s="122"/>
      <c r="G12" s="119"/>
      <c r="H12" s="120"/>
      <c r="I12" s="123"/>
      <c r="J12" s="121"/>
      <c r="K12" s="122"/>
    </row>
    <row r="13" spans="1:11">
      <c r="A13" s="453" t="s">
        <v>134</v>
      </c>
      <c r="B13" s="125" t="s">
        <v>610</v>
      </c>
      <c r="C13" s="124" t="s">
        <v>148</v>
      </c>
      <c r="D13" s="124" t="e">
        <f>#REF!</f>
        <v>#REF!</v>
      </c>
      <c r="E13" s="126" t="e">
        <f>#REF!</f>
        <v>#REF!</v>
      </c>
      <c r="F13" s="124" t="e">
        <f>D13*E13</f>
        <v>#REF!</v>
      </c>
      <c r="G13" s="90" t="s">
        <v>631</v>
      </c>
      <c r="H13" s="184" t="s">
        <v>63</v>
      </c>
      <c r="I13" s="491" t="e">
        <f>#REF!</f>
        <v>#REF!</v>
      </c>
      <c r="J13" s="308" t="e">
        <f>#REF!</f>
        <v>#REF!</v>
      </c>
      <c r="K13" s="124" t="e">
        <f t="shared" ref="K13" si="0">I13*J13</f>
        <v>#REF!</v>
      </c>
    </row>
    <row r="14" spans="1:11" ht="30">
      <c r="A14" s="453" t="s">
        <v>152</v>
      </c>
      <c r="B14" s="125" t="s">
        <v>612</v>
      </c>
      <c r="C14" s="124" t="s">
        <v>148</v>
      </c>
      <c r="D14" s="124" t="e">
        <f>#REF!</f>
        <v>#REF!</v>
      </c>
      <c r="E14" s="126" t="e">
        <f>#REF!</f>
        <v>#REF!</v>
      </c>
      <c r="F14" s="124" t="e">
        <f>D14*E14</f>
        <v>#REF!</v>
      </c>
      <c r="G14" s="90" t="s">
        <v>613</v>
      </c>
      <c r="H14" s="184" t="s">
        <v>85</v>
      </c>
      <c r="I14" s="491" t="e">
        <f>#REF!</f>
        <v>#REF!</v>
      </c>
      <c r="J14" s="308" t="e">
        <f>#REF!</f>
        <v>#REF!</v>
      </c>
      <c r="K14" s="124" t="e">
        <f>I14*J14</f>
        <v>#REF!</v>
      </c>
    </row>
    <row r="15" spans="1:11">
      <c r="A15" s="453"/>
      <c r="B15" s="125"/>
      <c r="C15" s="124"/>
      <c r="D15" s="124"/>
      <c r="E15" s="126"/>
      <c r="F15" s="124"/>
      <c r="G15" s="90"/>
      <c r="H15" s="91"/>
      <c r="I15" s="204"/>
      <c r="J15" s="92"/>
      <c r="K15" s="124"/>
    </row>
    <row r="16" spans="1:11">
      <c r="A16" s="454"/>
      <c r="B16" s="454"/>
      <c r="C16" s="455"/>
      <c r="D16" s="1261" t="s">
        <v>145</v>
      </c>
      <c r="E16" s="1262"/>
      <c r="F16" s="456" t="e">
        <f>SUM(F13:F15)</f>
        <v>#REF!</v>
      </c>
      <c r="G16" s="454"/>
      <c r="H16" s="454"/>
      <c r="I16" s="1263" t="s">
        <v>146</v>
      </c>
      <c r="J16" s="1264"/>
      <c r="K16" s="456" t="e">
        <f>SUM(K13:K15)</f>
        <v>#REF!</v>
      </c>
    </row>
    <row r="17" spans="1:11">
      <c r="A17" s="459" t="s">
        <v>614</v>
      </c>
      <c r="B17" s="454"/>
      <c r="C17" s="455"/>
      <c r="D17" s="304"/>
      <c r="E17" s="304"/>
      <c r="F17" s="303"/>
      <c r="G17" s="454"/>
      <c r="H17" s="454"/>
      <c r="I17" s="457"/>
      <c r="J17" s="458"/>
      <c r="K17" s="303"/>
    </row>
    <row r="18" spans="1:11">
      <c r="A18" s="453" t="s">
        <v>134</v>
      </c>
      <c r="B18" s="403" t="s">
        <v>568</v>
      </c>
      <c r="C18" s="442" t="s">
        <v>148</v>
      </c>
      <c r="D18" s="157" t="e">
        <f>D13</f>
        <v>#REF!</v>
      </c>
      <c r="E18" s="360" t="e">
        <f>#REF!</f>
        <v>#REF!</v>
      </c>
      <c r="F18" s="156" t="e">
        <f>D18*E18</f>
        <v>#REF!</v>
      </c>
      <c r="G18" s="437" t="s">
        <v>533</v>
      </c>
      <c r="H18" s="182" t="s">
        <v>85</v>
      </c>
      <c r="I18" s="421" t="e">
        <f>#REF!</f>
        <v>#REF!</v>
      </c>
      <c r="J18" s="157" t="e">
        <f>#REF!</f>
        <v>#REF!</v>
      </c>
      <c r="K18" s="82" t="e">
        <f t="shared" ref="K18:K37" si="1">I18*J18</f>
        <v>#REF!</v>
      </c>
    </row>
    <row r="19" spans="1:11">
      <c r="A19" s="453"/>
      <c r="B19" s="403"/>
      <c r="C19" s="442"/>
      <c r="D19" s="157"/>
      <c r="E19" s="360"/>
      <c r="F19" s="156"/>
      <c r="G19" s="437" t="s">
        <v>534</v>
      </c>
      <c r="H19" s="182" t="s">
        <v>85</v>
      </c>
      <c r="I19" s="421" t="e">
        <f>#REF!</f>
        <v>#REF!</v>
      </c>
      <c r="J19" s="157" t="e">
        <f>#REF!</f>
        <v>#REF!</v>
      </c>
      <c r="K19" s="82" t="e">
        <f t="shared" si="1"/>
        <v>#REF!</v>
      </c>
    </row>
    <row r="20" spans="1:11">
      <c r="A20" s="453" t="s">
        <v>152</v>
      </c>
      <c r="B20" s="403" t="s">
        <v>570</v>
      </c>
      <c r="C20" s="442" t="s">
        <v>148</v>
      </c>
      <c r="D20" s="157" t="e">
        <f>#REF!</f>
        <v>#REF!</v>
      </c>
      <c r="E20" s="360" t="e">
        <f>#REF!</f>
        <v>#REF!</v>
      </c>
      <c r="F20" s="156" t="e">
        <f>D20*E20</f>
        <v>#REF!</v>
      </c>
      <c r="G20" s="437" t="s">
        <v>532</v>
      </c>
      <c r="H20" s="182" t="s">
        <v>168</v>
      </c>
      <c r="I20" s="421" t="e">
        <f>#REF!</f>
        <v>#REF!</v>
      </c>
      <c r="J20" s="157" t="e">
        <f>#REF!</f>
        <v>#REF!</v>
      </c>
      <c r="K20" s="82" t="e">
        <f t="shared" si="1"/>
        <v>#REF!</v>
      </c>
    </row>
    <row r="21" spans="1:11">
      <c r="A21" s="453" t="s">
        <v>174</v>
      </c>
      <c r="B21" s="403" t="s">
        <v>571</v>
      </c>
      <c r="C21" s="442" t="s">
        <v>148</v>
      </c>
      <c r="D21" s="157" t="e">
        <f>D18</f>
        <v>#REF!</v>
      </c>
      <c r="E21" s="360" t="e">
        <f>#REF!</f>
        <v>#REF!</v>
      </c>
      <c r="F21" s="156" t="e">
        <f>D21*E21</f>
        <v>#REF!</v>
      </c>
      <c r="G21" s="437" t="s">
        <v>529</v>
      </c>
      <c r="H21" s="182" t="s">
        <v>85</v>
      </c>
      <c r="I21" s="421" t="e">
        <f>#REF!</f>
        <v>#REF!</v>
      </c>
      <c r="J21" s="157" t="e">
        <f>#REF!</f>
        <v>#REF!</v>
      </c>
      <c r="K21" s="82" t="e">
        <f t="shared" si="1"/>
        <v>#REF!</v>
      </c>
    </row>
    <row r="22" spans="1:11">
      <c r="A22" s="453"/>
      <c r="B22" s="403"/>
      <c r="C22" s="442"/>
      <c r="D22" s="157"/>
      <c r="E22" s="360"/>
      <c r="F22" s="156"/>
      <c r="G22" s="437" t="s">
        <v>530</v>
      </c>
      <c r="H22" s="182" t="s">
        <v>85</v>
      </c>
      <c r="I22" s="421" t="e">
        <f>#REF!</f>
        <v>#REF!</v>
      </c>
      <c r="J22" s="157" t="e">
        <f>#REF!</f>
        <v>#REF!</v>
      </c>
      <c r="K22" s="82" t="e">
        <f t="shared" si="1"/>
        <v>#REF!</v>
      </c>
    </row>
    <row r="23" spans="1:11">
      <c r="A23" s="453" t="s">
        <v>194</v>
      </c>
      <c r="B23" s="125" t="s">
        <v>889</v>
      </c>
      <c r="C23" s="124" t="s">
        <v>86</v>
      </c>
      <c r="D23" s="124" t="e">
        <f>#REF!</f>
        <v>#REF!</v>
      </c>
      <c r="E23" s="82" t="e">
        <f>#REF!</f>
        <v>#REF!</v>
      </c>
      <c r="F23" s="124" t="e">
        <f>D23*E23</f>
        <v>#REF!</v>
      </c>
      <c r="G23" s="437" t="s">
        <v>888</v>
      </c>
      <c r="H23" s="159" t="s">
        <v>85</v>
      </c>
      <c r="I23" s="369" t="e">
        <f>#REF!</f>
        <v>#REF!</v>
      </c>
      <c r="J23" s="82" t="e">
        <f>#REF!</f>
        <v>#REF!</v>
      </c>
      <c r="K23" s="342" t="e">
        <f t="shared" si="1"/>
        <v>#REF!</v>
      </c>
    </row>
    <row r="24" spans="1:11">
      <c r="A24" s="890" t="s">
        <v>193</v>
      </c>
      <c r="B24" s="896" t="s">
        <v>886</v>
      </c>
      <c r="C24" s="897" t="s">
        <v>148</v>
      </c>
      <c r="D24" s="897" t="e">
        <f>D20</f>
        <v>#REF!</v>
      </c>
      <c r="E24" s="895" t="e">
        <f>#REF!</f>
        <v>#REF!</v>
      </c>
      <c r="F24" s="898" t="e">
        <f>D24*E24</f>
        <v>#REF!</v>
      </c>
      <c r="G24" s="891" t="s">
        <v>615</v>
      </c>
      <c r="H24" s="899" t="s">
        <v>85</v>
      </c>
      <c r="I24" s="900" t="e">
        <f>#REF!</f>
        <v>#REF!</v>
      </c>
      <c r="J24" s="860" t="e">
        <f>#REF!</f>
        <v>#REF!</v>
      </c>
      <c r="K24" s="342" t="e">
        <f t="shared" si="1"/>
        <v>#REF!</v>
      </c>
    </row>
    <row r="25" spans="1:11">
      <c r="A25" s="453" t="s">
        <v>618</v>
      </c>
      <c r="B25" s="403" t="s">
        <v>887</v>
      </c>
      <c r="C25" s="442" t="s">
        <v>148</v>
      </c>
      <c r="D25" s="157" t="e">
        <f>D21</f>
        <v>#REF!</v>
      </c>
      <c r="E25" s="360" t="e">
        <f>#REF!</f>
        <v>#REF!</v>
      </c>
      <c r="F25" s="156" t="e">
        <f>D25*E25</f>
        <v>#REF!</v>
      </c>
      <c r="G25" s="437" t="s">
        <v>615</v>
      </c>
      <c r="H25" s="182" t="s">
        <v>85</v>
      </c>
      <c r="I25" s="421" t="e">
        <f>#REF!</f>
        <v>#REF!</v>
      </c>
      <c r="J25" s="157" t="e">
        <f>#REF!</f>
        <v>#REF!</v>
      </c>
      <c r="K25" s="82" t="e">
        <f t="shared" si="1"/>
        <v>#REF!</v>
      </c>
    </row>
    <row r="26" spans="1:11">
      <c r="A26" s="453" t="s">
        <v>716</v>
      </c>
      <c r="B26" s="403" t="s">
        <v>574</v>
      </c>
      <c r="C26" s="442" t="s">
        <v>86</v>
      </c>
      <c r="D26" s="421" t="e">
        <f>#REF!*3</f>
        <v>#REF!</v>
      </c>
      <c r="E26" s="360" t="e">
        <f>#REF!</f>
        <v>#REF!</v>
      </c>
      <c r="F26" s="156" t="e">
        <f>D26*E26</f>
        <v>#REF!</v>
      </c>
      <c r="G26" s="437" t="s">
        <v>616</v>
      </c>
      <c r="H26" s="182" t="s">
        <v>144</v>
      </c>
      <c r="I26" s="421" t="e">
        <f>#REF!</f>
        <v>#REF!</v>
      </c>
      <c r="J26" s="157" t="e">
        <f>#REF!</f>
        <v>#REF!</v>
      </c>
      <c r="K26" s="82" t="e">
        <f t="shared" si="1"/>
        <v>#REF!</v>
      </c>
    </row>
    <row r="27" spans="1:11">
      <c r="A27" s="453" t="s">
        <v>754</v>
      </c>
      <c r="B27" s="403" t="s">
        <v>575</v>
      </c>
      <c r="C27" s="442" t="s">
        <v>148</v>
      </c>
      <c r="D27" s="157" t="e">
        <f>D18</f>
        <v>#REF!</v>
      </c>
      <c r="E27" s="360" t="e">
        <f>#REF!</f>
        <v>#REF!</v>
      </c>
      <c r="F27" s="156" t="e">
        <f>D27*E27</f>
        <v>#REF!</v>
      </c>
      <c r="G27" s="437" t="s">
        <v>617</v>
      </c>
      <c r="H27" s="182" t="s">
        <v>85</v>
      </c>
      <c r="I27" s="421" t="e">
        <f>#REF!</f>
        <v>#REF!</v>
      </c>
      <c r="J27" s="157" t="e">
        <f>#REF!</f>
        <v>#REF!</v>
      </c>
      <c r="K27" s="82" t="e">
        <f t="shared" si="1"/>
        <v>#REF!</v>
      </c>
    </row>
    <row r="28" spans="1:11">
      <c r="A28" s="453"/>
      <c r="B28" s="403"/>
      <c r="C28" s="442"/>
      <c r="D28" s="157"/>
      <c r="E28" s="360"/>
      <c r="F28" s="156"/>
      <c r="G28" s="437" t="s">
        <v>632</v>
      </c>
      <c r="H28" s="182" t="s">
        <v>63</v>
      </c>
      <c r="I28" s="421" t="e">
        <f>#REF!</f>
        <v>#REF!</v>
      </c>
      <c r="J28" s="157" t="e">
        <f>#REF!</f>
        <v>#REF!</v>
      </c>
      <c r="K28" s="82" t="e">
        <f t="shared" si="1"/>
        <v>#REF!</v>
      </c>
    </row>
    <row r="29" spans="1:11">
      <c r="A29" s="453"/>
      <c r="B29" s="403"/>
      <c r="C29" s="442"/>
      <c r="D29" s="157"/>
      <c r="E29" s="360"/>
      <c r="F29" s="156"/>
      <c r="G29" s="437" t="s">
        <v>553</v>
      </c>
      <c r="H29" s="182" t="s">
        <v>144</v>
      </c>
      <c r="I29" s="421" t="e">
        <f>#REF!</f>
        <v>#REF!</v>
      </c>
      <c r="J29" s="157" t="e">
        <f>#REF!</f>
        <v>#REF!</v>
      </c>
      <c r="K29" s="82" t="e">
        <f t="shared" si="1"/>
        <v>#REF!</v>
      </c>
    </row>
    <row r="30" spans="1:11">
      <c r="A30" s="453"/>
      <c r="B30" s="403"/>
      <c r="C30" s="442"/>
      <c r="D30" s="157"/>
      <c r="E30" s="360"/>
      <c r="F30" s="156"/>
      <c r="G30" s="437" t="s">
        <v>554</v>
      </c>
      <c r="H30" s="182" t="s">
        <v>85</v>
      </c>
      <c r="I30" s="421" t="e">
        <f>#REF!</f>
        <v>#REF!</v>
      </c>
      <c r="J30" s="157" t="e">
        <f>#REF!</f>
        <v>#REF!</v>
      </c>
      <c r="K30" s="82" t="e">
        <f t="shared" si="1"/>
        <v>#REF!</v>
      </c>
    </row>
    <row r="31" spans="1:11">
      <c r="A31" s="453"/>
      <c r="B31" s="403"/>
      <c r="C31" s="442"/>
      <c r="D31" s="157"/>
      <c r="E31" s="360"/>
      <c r="F31" s="156"/>
      <c r="G31" s="437" t="s">
        <v>175</v>
      </c>
      <c r="H31" s="182" t="s">
        <v>85</v>
      </c>
      <c r="I31" s="421" t="e">
        <f>#REF!</f>
        <v>#REF!</v>
      </c>
      <c r="J31" s="157" t="e">
        <f>#REF!</f>
        <v>#REF!</v>
      </c>
      <c r="K31" s="82" t="e">
        <f t="shared" si="1"/>
        <v>#REF!</v>
      </c>
    </row>
    <row r="32" spans="1:11">
      <c r="A32" s="453"/>
      <c r="B32" s="403"/>
      <c r="C32" s="442"/>
      <c r="D32" s="157"/>
      <c r="E32" s="360"/>
      <c r="F32" s="156"/>
      <c r="G32" s="437" t="s">
        <v>171</v>
      </c>
      <c r="H32" s="182" t="s">
        <v>85</v>
      </c>
      <c r="I32" s="421" t="e">
        <f>#REF!</f>
        <v>#REF!</v>
      </c>
      <c r="J32" s="157" t="e">
        <f>#REF!</f>
        <v>#REF!</v>
      </c>
      <c r="K32" s="82" t="e">
        <f t="shared" si="1"/>
        <v>#REF!</v>
      </c>
    </row>
    <row r="33" spans="1:11">
      <c r="A33" s="453"/>
      <c r="B33" s="403"/>
      <c r="C33" s="442"/>
      <c r="D33" s="157"/>
      <c r="E33" s="360"/>
      <c r="F33" s="156"/>
      <c r="G33" s="437" t="s">
        <v>176</v>
      </c>
      <c r="H33" s="182" t="s">
        <v>85</v>
      </c>
      <c r="I33" s="421" t="e">
        <f>#REF!</f>
        <v>#REF!</v>
      </c>
      <c r="J33" s="157" t="e">
        <f>#REF!</f>
        <v>#REF!</v>
      </c>
      <c r="K33" s="82" t="e">
        <f t="shared" si="1"/>
        <v>#REF!</v>
      </c>
    </row>
    <row r="34" spans="1:11">
      <c r="A34" s="453"/>
      <c r="B34" s="403"/>
      <c r="C34" s="442"/>
      <c r="D34" s="157"/>
      <c r="E34" s="360"/>
      <c r="F34" s="156"/>
      <c r="G34" s="437" t="s">
        <v>621</v>
      </c>
      <c r="H34" s="182" t="s">
        <v>85</v>
      </c>
      <c r="I34" s="421" t="e">
        <f>#REF!</f>
        <v>#REF!</v>
      </c>
      <c r="J34" s="157" t="e">
        <f>#REF!</f>
        <v>#REF!</v>
      </c>
      <c r="K34" s="82" t="e">
        <f t="shared" si="1"/>
        <v>#REF!</v>
      </c>
    </row>
    <row r="35" spans="1:11">
      <c r="A35" s="453"/>
      <c r="B35" s="403"/>
      <c r="C35" s="442"/>
      <c r="D35" s="157"/>
      <c r="E35" s="360"/>
      <c r="F35" s="156"/>
      <c r="G35" s="437" t="s">
        <v>560</v>
      </c>
      <c r="H35" s="182" t="s">
        <v>144</v>
      </c>
      <c r="I35" s="421" t="e">
        <f>#REF!</f>
        <v>#REF!</v>
      </c>
      <c r="J35" s="157" t="e">
        <f>#REF!</f>
        <v>#REF!</v>
      </c>
      <c r="K35" s="82" t="e">
        <f t="shared" si="1"/>
        <v>#REF!</v>
      </c>
    </row>
    <row r="36" spans="1:11">
      <c r="A36" s="453"/>
      <c r="B36" s="403"/>
      <c r="C36" s="442"/>
      <c r="D36" s="157"/>
      <c r="E36" s="360"/>
      <c r="F36" s="156"/>
      <c r="G36" s="437" t="s">
        <v>622</v>
      </c>
      <c r="H36" s="182" t="s">
        <v>144</v>
      </c>
      <c r="I36" s="421" t="e">
        <f>#REF!</f>
        <v>#REF!</v>
      </c>
      <c r="J36" s="157" t="e">
        <f>#REF!</f>
        <v>#REF!</v>
      </c>
      <c r="K36" s="82" t="e">
        <f t="shared" si="1"/>
        <v>#REF!</v>
      </c>
    </row>
    <row r="37" spans="1:11">
      <c r="A37" s="453"/>
      <c r="B37" s="403"/>
      <c r="C37" s="442"/>
      <c r="D37" s="157"/>
      <c r="E37" s="360"/>
      <c r="F37" s="156"/>
      <c r="G37" s="437" t="s">
        <v>166</v>
      </c>
      <c r="H37" s="182" t="s">
        <v>85</v>
      </c>
      <c r="I37" s="421" t="e">
        <f>#REF!</f>
        <v>#REF!</v>
      </c>
      <c r="J37" s="157" t="e">
        <f>#REF!</f>
        <v>#REF!</v>
      </c>
      <c r="K37" s="82" t="e">
        <f t="shared" si="1"/>
        <v>#REF!</v>
      </c>
    </row>
    <row r="38" spans="1:11">
      <c r="A38" s="453"/>
      <c r="B38" s="403"/>
      <c r="C38" s="442"/>
      <c r="D38" s="157"/>
      <c r="E38" s="157"/>
      <c r="F38" s="39"/>
      <c r="G38" s="437"/>
      <c r="H38" s="182"/>
      <c r="I38" s="421"/>
      <c r="J38" s="157"/>
      <c r="K38" s="82"/>
    </row>
    <row r="39" spans="1:11">
      <c r="A39" s="120"/>
      <c r="B39" s="119"/>
      <c r="C39" s="120"/>
      <c r="D39" s="1252" t="s">
        <v>145</v>
      </c>
      <c r="E39" s="1253"/>
      <c r="F39" s="118" t="e">
        <f>SUM(F18:F38)</f>
        <v>#REF!</v>
      </c>
      <c r="G39" s="119"/>
      <c r="H39" s="120"/>
      <c r="I39" s="1254" t="s">
        <v>146</v>
      </c>
      <c r="J39" s="1254"/>
      <c r="K39" s="118" t="e">
        <f>SUM(K18:K38)</f>
        <v>#REF!</v>
      </c>
    </row>
    <row r="40" spans="1:11" ht="19">
      <c r="A40" s="1249" t="s">
        <v>624</v>
      </c>
      <c r="B40" s="1249"/>
      <c r="C40" s="120"/>
      <c r="D40" s="120"/>
      <c r="E40" s="121"/>
      <c r="F40" s="122"/>
      <c r="G40" s="465"/>
      <c r="H40" s="120"/>
      <c r="I40" s="460"/>
      <c r="J40" s="121"/>
      <c r="K40" s="122"/>
    </row>
    <row r="41" spans="1:11" ht="19">
      <c r="A41" s="461" t="s">
        <v>134</v>
      </c>
      <c r="B41" s="443" t="s">
        <v>577</v>
      </c>
      <c r="C41" s="435" t="s">
        <v>148</v>
      </c>
      <c r="D41" s="435" t="e">
        <f>D27</f>
        <v>#REF!</v>
      </c>
      <c r="E41" s="342" t="e">
        <f>#REF!</f>
        <v>#REF!</v>
      </c>
      <c r="F41" s="435" t="e">
        <f>D41*E41</f>
        <v>#REF!</v>
      </c>
      <c r="G41" s="497" t="s">
        <v>633</v>
      </c>
      <c r="H41" s="496" t="s">
        <v>148</v>
      </c>
      <c r="I41" s="433" t="e">
        <f>#REF!</f>
        <v>#REF!</v>
      </c>
      <c r="J41" s="434" t="e">
        <f>#REF!</f>
        <v>#REF!</v>
      </c>
      <c r="K41" s="438" t="e">
        <f>I41*J41</f>
        <v>#REF!</v>
      </c>
    </row>
    <row r="42" spans="1:11">
      <c r="A42" s="453"/>
      <c r="B42" s="125"/>
      <c r="C42" s="124"/>
      <c r="D42" s="124"/>
      <c r="E42" s="82"/>
      <c r="F42" s="124"/>
      <c r="G42" s="159">
        <v>1</v>
      </c>
      <c r="H42" s="159" t="s">
        <v>639</v>
      </c>
      <c r="I42" s="181" t="e">
        <f>#REF!</f>
        <v>#REF!</v>
      </c>
      <c r="J42" s="181" t="e">
        <f>#REF!</f>
        <v>#REF!</v>
      </c>
      <c r="K42" s="359"/>
    </row>
    <row r="43" spans="1:11">
      <c r="A43" s="453"/>
      <c r="B43" s="125"/>
      <c r="C43" s="124"/>
      <c r="D43" s="124"/>
      <c r="E43" s="82"/>
      <c r="F43" s="124"/>
      <c r="G43" s="159">
        <v>2</v>
      </c>
      <c r="H43" s="159" t="s">
        <v>639</v>
      </c>
      <c r="I43" s="181" t="e">
        <f>#REF!</f>
        <v>#REF!</v>
      </c>
      <c r="J43" s="181" t="e">
        <f>#REF!</f>
        <v>#REF!</v>
      </c>
      <c r="K43" s="466"/>
    </row>
    <row r="44" spans="1:11">
      <c r="A44" s="453"/>
      <c r="B44" s="125"/>
      <c r="C44" s="124"/>
      <c r="D44" s="124"/>
      <c r="E44" s="82"/>
      <c r="F44" s="124"/>
      <c r="G44" s="159">
        <v>3</v>
      </c>
      <c r="H44" s="159" t="s">
        <v>639</v>
      </c>
      <c r="I44" s="181" t="e">
        <f>#REF!</f>
        <v>#REF!</v>
      </c>
      <c r="J44" s="181" t="e">
        <f>#REF!</f>
        <v>#REF!</v>
      </c>
      <c r="K44" s="466"/>
    </row>
    <row r="45" spans="1:11">
      <c r="A45" s="453"/>
      <c r="B45" s="125"/>
      <c r="C45" s="124"/>
      <c r="D45" s="124"/>
      <c r="E45" s="82"/>
      <c r="F45" s="124"/>
      <c r="G45" s="159">
        <v>4</v>
      </c>
      <c r="H45" s="159" t="s">
        <v>639</v>
      </c>
      <c r="I45" s="181" t="e">
        <f>#REF!</f>
        <v>#REF!</v>
      </c>
      <c r="J45" s="181" t="e">
        <f>#REF!</f>
        <v>#REF!</v>
      </c>
      <c r="K45" s="466"/>
    </row>
    <row r="46" spans="1:11">
      <c r="A46" s="453"/>
      <c r="B46" s="125"/>
      <c r="C46" s="124"/>
      <c r="D46" s="124"/>
      <c r="E46" s="82"/>
      <c r="F46" s="124"/>
      <c r="G46" s="159">
        <v>5</v>
      </c>
      <c r="H46" s="159" t="s">
        <v>639</v>
      </c>
      <c r="I46" s="181" t="e">
        <f>#REF!</f>
        <v>#REF!</v>
      </c>
      <c r="J46" s="181" t="e">
        <f>#REF!</f>
        <v>#REF!</v>
      </c>
      <c r="K46" s="466"/>
    </row>
    <row r="47" spans="1:11">
      <c r="A47" s="453"/>
      <c r="B47" s="125"/>
      <c r="C47" s="124"/>
      <c r="D47" s="124"/>
      <c r="E47" s="82"/>
      <c r="F47" s="124"/>
      <c r="G47" s="159">
        <v>6</v>
      </c>
      <c r="H47" s="159" t="s">
        <v>639</v>
      </c>
      <c r="I47" s="181" t="e">
        <f>#REF!</f>
        <v>#REF!</v>
      </c>
      <c r="J47" s="181" t="e">
        <f>#REF!</f>
        <v>#REF!</v>
      </c>
      <c r="K47" s="466"/>
    </row>
    <row r="48" spans="1:11">
      <c r="A48" s="453"/>
      <c r="B48" s="125"/>
      <c r="C48" s="124"/>
      <c r="D48" s="124"/>
      <c r="E48" s="82"/>
      <c r="F48" s="124"/>
      <c r="G48" s="159">
        <v>7</v>
      </c>
      <c r="H48" s="159" t="s">
        <v>639</v>
      </c>
      <c r="I48" s="181" t="e">
        <f>#REF!</f>
        <v>#REF!</v>
      </c>
      <c r="J48" s="181" t="e">
        <f>#REF!</f>
        <v>#REF!</v>
      </c>
      <c r="K48" s="466"/>
    </row>
    <row r="49" spans="1:11">
      <c r="A49" s="453"/>
      <c r="B49" s="125"/>
      <c r="C49" s="124"/>
      <c r="D49" s="124"/>
      <c r="E49" s="82"/>
      <c r="F49" s="124"/>
      <c r="G49" s="159">
        <v>8</v>
      </c>
      <c r="H49" s="159" t="s">
        <v>639</v>
      </c>
      <c r="I49" s="181" t="e">
        <f>#REF!</f>
        <v>#REF!</v>
      </c>
      <c r="J49" s="181" t="e">
        <f>#REF!</f>
        <v>#REF!</v>
      </c>
      <c r="K49" s="466"/>
    </row>
    <row r="50" spans="1:11">
      <c r="A50" s="453"/>
      <c r="B50" s="125"/>
      <c r="C50" s="124"/>
      <c r="D50" s="124"/>
      <c r="E50" s="82"/>
      <c r="F50" s="124"/>
      <c r="G50" s="159">
        <v>9</v>
      </c>
      <c r="H50" s="159" t="s">
        <v>639</v>
      </c>
      <c r="I50" s="181" t="e">
        <f>#REF!</f>
        <v>#REF!</v>
      </c>
      <c r="J50" s="181" t="e">
        <f>#REF!</f>
        <v>#REF!</v>
      </c>
      <c r="K50" s="466"/>
    </row>
    <row r="51" spans="1:11">
      <c r="A51" s="453"/>
      <c r="B51" s="125"/>
      <c r="C51" s="124"/>
      <c r="D51" s="124"/>
      <c r="E51" s="82"/>
      <c r="F51" s="124"/>
      <c r="G51" s="159">
        <v>10</v>
      </c>
      <c r="H51" s="159" t="s">
        <v>639</v>
      </c>
      <c r="I51" s="181" t="e">
        <f>#REF!</f>
        <v>#REF!</v>
      </c>
      <c r="J51" s="181" t="e">
        <f>#REF!</f>
        <v>#REF!</v>
      </c>
      <c r="K51" s="466"/>
    </row>
    <row r="52" spans="1:11">
      <c r="A52" s="453"/>
      <c r="B52" s="125"/>
      <c r="C52" s="124"/>
      <c r="D52" s="124"/>
      <c r="E52" s="82"/>
      <c r="F52" s="124"/>
      <c r="G52" s="159">
        <v>11</v>
      </c>
      <c r="H52" s="159" t="s">
        <v>639</v>
      </c>
      <c r="I52" s="181" t="e">
        <f>#REF!</f>
        <v>#REF!</v>
      </c>
      <c r="J52" s="181" t="e">
        <f>#REF!</f>
        <v>#REF!</v>
      </c>
      <c r="K52" s="466"/>
    </row>
    <row r="53" spans="1:11">
      <c r="A53" s="453"/>
      <c r="B53" s="125"/>
      <c r="C53" s="124"/>
      <c r="D53" s="124"/>
      <c r="E53" s="82"/>
      <c r="F53" s="124"/>
      <c r="G53" s="159">
        <v>12</v>
      </c>
      <c r="H53" s="159" t="s">
        <v>639</v>
      </c>
      <c r="I53" s="181" t="e">
        <f>#REF!</f>
        <v>#REF!</v>
      </c>
      <c r="J53" s="181" t="e">
        <f>#REF!</f>
        <v>#REF!</v>
      </c>
      <c r="K53" s="466"/>
    </row>
    <row r="54" spans="1:11">
      <c r="A54" s="453"/>
      <c r="B54" s="125"/>
      <c r="C54" s="124"/>
      <c r="D54" s="124"/>
      <c r="E54" s="82"/>
      <c r="F54" s="124"/>
      <c r="G54" s="159">
        <v>13</v>
      </c>
      <c r="H54" s="159" t="s">
        <v>639</v>
      </c>
      <c r="I54" s="181" t="e">
        <f>#REF!</f>
        <v>#REF!</v>
      </c>
      <c r="J54" s="181" t="e">
        <f>#REF!</f>
        <v>#REF!</v>
      </c>
      <c r="K54" s="466"/>
    </row>
    <row r="55" spans="1:11">
      <c r="A55" s="453"/>
      <c r="B55" s="125"/>
      <c r="C55" s="124"/>
      <c r="D55" s="124"/>
      <c r="E55" s="82"/>
      <c r="F55" s="124"/>
      <c r="G55" s="159">
        <v>14</v>
      </c>
      <c r="H55" s="159" t="s">
        <v>639</v>
      </c>
      <c r="I55" s="181" t="e">
        <f>#REF!</f>
        <v>#REF!</v>
      </c>
      <c r="J55" s="181" t="e">
        <f>#REF!</f>
        <v>#REF!</v>
      </c>
      <c r="K55" s="466"/>
    </row>
    <row r="56" spans="1:11">
      <c r="A56" s="453"/>
      <c r="B56" s="125"/>
      <c r="C56" s="124"/>
      <c r="D56" s="124"/>
      <c r="E56" s="82"/>
      <c r="F56" s="124"/>
      <c r="G56" s="159">
        <v>15</v>
      </c>
      <c r="H56" s="159" t="s">
        <v>639</v>
      </c>
      <c r="I56" s="181" t="e">
        <f>#REF!</f>
        <v>#REF!</v>
      </c>
      <c r="J56" s="181" t="e">
        <f>#REF!</f>
        <v>#REF!</v>
      </c>
      <c r="K56" s="466"/>
    </row>
    <row r="57" spans="1:11">
      <c r="A57" s="453"/>
      <c r="B57" s="125"/>
      <c r="C57" s="124"/>
      <c r="D57" s="124"/>
      <c r="E57" s="82"/>
      <c r="F57" s="124"/>
      <c r="G57" s="159">
        <v>16</v>
      </c>
      <c r="H57" s="159" t="s">
        <v>639</v>
      </c>
      <c r="I57" s="181" t="e">
        <f>#REF!</f>
        <v>#REF!</v>
      </c>
      <c r="J57" s="181" t="e">
        <f>#REF!</f>
        <v>#REF!</v>
      </c>
      <c r="K57" s="466"/>
    </row>
    <row r="58" spans="1:11">
      <c r="A58" s="453"/>
      <c r="B58" s="125"/>
      <c r="C58" s="124"/>
      <c r="D58" s="124"/>
      <c r="E58" s="82"/>
      <c r="F58" s="124"/>
      <c r="G58" s="159">
        <v>17</v>
      </c>
      <c r="H58" s="159" t="s">
        <v>639</v>
      </c>
      <c r="I58" s="181" t="e">
        <f>#REF!</f>
        <v>#REF!</v>
      </c>
      <c r="J58" s="181" t="e">
        <f>#REF!</f>
        <v>#REF!</v>
      </c>
      <c r="K58" s="466"/>
    </row>
    <row r="59" spans="1:11">
      <c r="A59" s="453"/>
      <c r="B59" s="125"/>
      <c r="C59" s="124"/>
      <c r="D59" s="124"/>
      <c r="E59" s="82"/>
      <c r="F59" s="124"/>
      <c r="G59" s="159">
        <v>18</v>
      </c>
      <c r="H59" s="159" t="s">
        <v>639</v>
      </c>
      <c r="I59" s="181" t="e">
        <f>#REF!</f>
        <v>#REF!</v>
      </c>
      <c r="J59" s="181" t="e">
        <f>#REF!</f>
        <v>#REF!</v>
      </c>
      <c r="K59" s="466"/>
    </row>
    <row r="60" spans="1:11">
      <c r="A60" s="453"/>
      <c r="B60" s="125"/>
      <c r="C60" s="124"/>
      <c r="D60" s="124"/>
      <c r="E60" s="82"/>
      <c r="F60" s="124"/>
      <c r="G60" s="159">
        <v>19</v>
      </c>
      <c r="H60" s="159" t="s">
        <v>639</v>
      </c>
      <c r="I60" s="181" t="e">
        <f>#REF!</f>
        <v>#REF!</v>
      </c>
      <c r="J60" s="181" t="e">
        <f>#REF!</f>
        <v>#REF!</v>
      </c>
      <c r="K60" s="466"/>
    </row>
    <row r="61" spans="1:11">
      <c r="A61" s="453"/>
      <c r="B61" s="125"/>
      <c r="C61" s="124"/>
      <c r="D61" s="124"/>
      <c r="E61" s="82"/>
      <c r="F61" s="124"/>
      <c r="G61" s="159">
        <v>20</v>
      </c>
      <c r="H61" s="159" t="s">
        <v>639</v>
      </c>
      <c r="I61" s="181" t="e">
        <f>#REF!</f>
        <v>#REF!</v>
      </c>
      <c r="J61" s="181" t="e">
        <f>#REF!</f>
        <v>#REF!</v>
      </c>
      <c r="K61" s="466"/>
    </row>
    <row r="62" spans="1:11">
      <c r="A62" s="453"/>
      <c r="B62" s="125"/>
      <c r="C62" s="124"/>
      <c r="D62" s="124"/>
      <c r="E62" s="82"/>
      <c r="F62" s="124"/>
      <c r="G62" s="159">
        <v>21</v>
      </c>
      <c r="H62" s="159" t="s">
        <v>639</v>
      </c>
      <c r="I62" s="181" t="e">
        <f>#REF!</f>
        <v>#REF!</v>
      </c>
      <c r="J62" s="181" t="e">
        <f>#REF!</f>
        <v>#REF!</v>
      </c>
      <c r="K62" s="466"/>
    </row>
    <row r="63" spans="1:11">
      <c r="A63" s="453"/>
      <c r="B63" s="125"/>
      <c r="C63" s="124"/>
      <c r="D63" s="124"/>
      <c r="E63" s="82"/>
      <c r="F63" s="124"/>
      <c r="G63" s="159">
        <v>22</v>
      </c>
      <c r="H63" s="159" t="s">
        <v>639</v>
      </c>
      <c r="I63" s="181" t="e">
        <f>#REF!</f>
        <v>#REF!</v>
      </c>
      <c r="J63" s="181" t="e">
        <f>#REF!</f>
        <v>#REF!</v>
      </c>
      <c r="K63" s="466"/>
    </row>
    <row r="64" spans="1:11">
      <c r="A64" s="453"/>
      <c r="B64" s="125"/>
      <c r="C64" s="124"/>
      <c r="D64" s="124"/>
      <c r="E64" s="82"/>
      <c r="F64" s="124"/>
      <c r="G64" s="437" t="s">
        <v>541</v>
      </c>
      <c r="H64" s="159" t="s">
        <v>85</v>
      </c>
      <c r="I64" s="181" t="e">
        <f>#REF!</f>
        <v>#REF!</v>
      </c>
      <c r="J64" s="159" t="e">
        <f>#REF!</f>
        <v>#REF!</v>
      </c>
      <c r="K64" s="342" t="e">
        <f>I64*J64</f>
        <v>#REF!</v>
      </c>
    </row>
    <row r="65" spans="1:11">
      <c r="A65" s="453"/>
      <c r="B65" s="125"/>
      <c r="C65" s="124"/>
      <c r="D65" s="124"/>
      <c r="E65" s="82"/>
      <c r="F65" s="124"/>
      <c r="G65" s="437" t="s">
        <v>520</v>
      </c>
      <c r="H65" s="159" t="s">
        <v>85</v>
      </c>
      <c r="I65" s="181" t="e">
        <f>#REF!</f>
        <v>#REF!</v>
      </c>
      <c r="J65" s="159" t="e">
        <f>#REF!</f>
        <v>#REF!</v>
      </c>
      <c r="K65" s="342" t="e">
        <f t="shared" ref="K65:K80" si="2">I65*J65</f>
        <v>#REF!</v>
      </c>
    </row>
    <row r="66" spans="1:11">
      <c r="A66" s="453"/>
      <c r="B66" s="125"/>
      <c r="C66" s="124"/>
      <c r="D66" s="124"/>
      <c r="E66" s="82"/>
      <c r="F66" s="124"/>
      <c r="G66" s="437" t="s">
        <v>522</v>
      </c>
      <c r="H66" s="159" t="s">
        <v>85</v>
      </c>
      <c r="I66" s="181" t="e">
        <f>#REF!</f>
        <v>#REF!</v>
      </c>
      <c r="J66" s="159" t="e">
        <f>#REF!</f>
        <v>#REF!</v>
      </c>
      <c r="K66" s="342" t="e">
        <f t="shared" si="2"/>
        <v>#REF!</v>
      </c>
    </row>
    <row r="67" spans="1:11">
      <c r="A67" s="453"/>
      <c r="B67" s="125"/>
      <c r="C67" s="124"/>
      <c r="D67" s="124"/>
      <c r="E67" s="82"/>
      <c r="F67" s="124"/>
      <c r="G67" s="437" t="s">
        <v>523</v>
      </c>
      <c r="H67" s="159" t="s">
        <v>85</v>
      </c>
      <c r="I67" s="181" t="e">
        <f>#REF!</f>
        <v>#REF!</v>
      </c>
      <c r="J67" s="159" t="e">
        <f>#REF!</f>
        <v>#REF!</v>
      </c>
      <c r="K67" s="342" t="e">
        <f t="shared" si="2"/>
        <v>#REF!</v>
      </c>
    </row>
    <row r="68" spans="1:11">
      <c r="A68" s="453"/>
      <c r="B68" s="125"/>
      <c r="C68" s="124"/>
      <c r="D68" s="124"/>
      <c r="E68" s="82"/>
      <c r="F68" s="124"/>
      <c r="G68" s="437" t="s">
        <v>546</v>
      </c>
      <c r="H68" s="159" t="s">
        <v>85</v>
      </c>
      <c r="I68" s="181" t="e">
        <f>#REF!</f>
        <v>#REF!</v>
      </c>
      <c r="J68" s="159" t="e">
        <f>#REF!</f>
        <v>#REF!</v>
      </c>
      <c r="K68" s="342" t="e">
        <f t="shared" si="2"/>
        <v>#REF!</v>
      </c>
    </row>
    <row r="69" spans="1:11">
      <c r="A69" s="453"/>
      <c r="B69" s="125"/>
      <c r="C69" s="124"/>
      <c r="D69" s="124"/>
      <c r="E69" s="82"/>
      <c r="F69" s="124"/>
      <c r="G69" s="437" t="s">
        <v>548</v>
      </c>
      <c r="H69" s="159" t="s">
        <v>85</v>
      </c>
      <c r="I69" s="181" t="e">
        <f>#REF!</f>
        <v>#REF!</v>
      </c>
      <c r="J69" s="159" t="e">
        <f>#REF!</f>
        <v>#REF!</v>
      </c>
      <c r="K69" s="342" t="e">
        <f t="shared" si="2"/>
        <v>#REF!</v>
      </c>
    </row>
    <row r="70" spans="1:11">
      <c r="A70" s="453"/>
      <c r="B70" s="125"/>
      <c r="C70" s="124"/>
      <c r="D70" s="124"/>
      <c r="E70" s="82"/>
      <c r="F70" s="124"/>
      <c r="G70" s="437" t="s">
        <v>550</v>
      </c>
      <c r="H70" s="159" t="s">
        <v>85</v>
      </c>
      <c r="I70" s="181" t="e">
        <f>#REF!</f>
        <v>#REF!</v>
      </c>
      <c r="J70" s="159" t="e">
        <f>#REF!</f>
        <v>#REF!</v>
      </c>
      <c r="K70" s="342" t="e">
        <f t="shared" si="2"/>
        <v>#REF!</v>
      </c>
    </row>
    <row r="71" spans="1:11">
      <c r="A71" s="453"/>
      <c r="B71" s="125"/>
      <c r="C71" s="124"/>
      <c r="D71" s="124"/>
      <c r="E71" s="82"/>
      <c r="F71" s="124"/>
      <c r="G71" s="437" t="s">
        <v>552</v>
      </c>
      <c r="H71" s="159" t="s">
        <v>507</v>
      </c>
      <c r="I71" s="181" t="e">
        <f>#REF!</f>
        <v>#REF!</v>
      </c>
      <c r="J71" s="159" t="e">
        <f>#REF!</f>
        <v>#REF!</v>
      </c>
      <c r="K71" s="342" t="e">
        <f t="shared" si="2"/>
        <v>#REF!</v>
      </c>
    </row>
    <row r="72" spans="1:11">
      <c r="A72" s="453"/>
      <c r="B72" s="125"/>
      <c r="C72" s="124"/>
      <c r="D72" s="124"/>
      <c r="E72" s="82"/>
      <c r="F72" s="124"/>
      <c r="G72" s="437" t="s">
        <v>527</v>
      </c>
      <c r="H72" s="159" t="s">
        <v>507</v>
      </c>
      <c r="I72" s="181" t="e">
        <f>#REF!</f>
        <v>#REF!</v>
      </c>
      <c r="J72" s="159" t="e">
        <f>#REF!</f>
        <v>#REF!</v>
      </c>
      <c r="K72" s="342" t="e">
        <f t="shared" si="2"/>
        <v>#REF!</v>
      </c>
    </row>
    <row r="73" spans="1:11">
      <c r="A73" s="453"/>
      <c r="B73" s="125"/>
      <c r="C73" s="124"/>
      <c r="D73" s="124"/>
      <c r="E73" s="82"/>
      <c r="F73" s="124"/>
      <c r="G73" s="437" t="s">
        <v>528</v>
      </c>
      <c r="H73" s="159" t="s">
        <v>85</v>
      </c>
      <c r="I73" s="181" t="e">
        <f>#REF!</f>
        <v>#REF!</v>
      </c>
      <c r="J73" s="159" t="e">
        <f>#REF!</f>
        <v>#REF!</v>
      </c>
      <c r="K73" s="342" t="e">
        <f t="shared" si="2"/>
        <v>#REF!</v>
      </c>
    </row>
    <row r="74" spans="1:11">
      <c r="A74" s="453"/>
      <c r="B74" s="125"/>
      <c r="C74" s="124"/>
      <c r="D74" s="124"/>
      <c r="E74" s="82"/>
      <c r="F74" s="124"/>
      <c r="G74" s="437" t="s">
        <v>529</v>
      </c>
      <c r="H74" s="159" t="s">
        <v>85</v>
      </c>
      <c r="I74" s="181" t="e">
        <f>#REF!</f>
        <v>#REF!</v>
      </c>
      <c r="J74" s="159" t="e">
        <f>#REF!</f>
        <v>#REF!</v>
      </c>
      <c r="K74" s="342" t="e">
        <f t="shared" si="2"/>
        <v>#REF!</v>
      </c>
    </row>
    <row r="75" spans="1:11">
      <c r="A75" s="453"/>
      <c r="B75" s="125"/>
      <c r="C75" s="124"/>
      <c r="D75" s="124"/>
      <c r="E75" s="82"/>
      <c r="F75" s="124"/>
      <c r="G75" s="437" t="s">
        <v>530</v>
      </c>
      <c r="H75" s="159" t="s">
        <v>85</v>
      </c>
      <c r="I75" s="181" t="e">
        <f>#REF!</f>
        <v>#REF!</v>
      </c>
      <c r="J75" s="159" t="e">
        <f>#REF!</f>
        <v>#REF!</v>
      </c>
      <c r="K75" s="342" t="e">
        <f t="shared" si="2"/>
        <v>#REF!</v>
      </c>
    </row>
    <row r="76" spans="1:11">
      <c r="A76" s="453"/>
      <c r="B76" s="125"/>
      <c r="C76" s="124"/>
      <c r="D76" s="124"/>
      <c r="E76" s="82"/>
      <c r="F76" s="124"/>
      <c r="G76" s="437" t="s">
        <v>532</v>
      </c>
      <c r="H76" s="159" t="s">
        <v>85</v>
      </c>
      <c r="I76" s="181" t="e">
        <f>#REF!</f>
        <v>#REF!</v>
      </c>
      <c r="J76" s="159" t="e">
        <f>#REF!</f>
        <v>#REF!</v>
      </c>
      <c r="K76" s="342" t="e">
        <f t="shared" si="2"/>
        <v>#REF!</v>
      </c>
    </row>
    <row r="77" spans="1:11">
      <c r="A77" s="453"/>
      <c r="B77" s="125"/>
      <c r="C77" s="124"/>
      <c r="D77" s="124"/>
      <c r="E77" s="82"/>
      <c r="F77" s="124"/>
      <c r="G77" s="437" t="s">
        <v>533</v>
      </c>
      <c r="H77" s="159" t="s">
        <v>85</v>
      </c>
      <c r="I77" s="181" t="e">
        <f>#REF!</f>
        <v>#REF!</v>
      </c>
      <c r="J77" s="159" t="e">
        <f>#REF!</f>
        <v>#REF!</v>
      </c>
      <c r="K77" s="342" t="e">
        <f t="shared" si="2"/>
        <v>#REF!</v>
      </c>
    </row>
    <row r="78" spans="1:11">
      <c r="A78" s="453"/>
      <c r="B78" s="125"/>
      <c r="C78" s="124"/>
      <c r="D78" s="124"/>
      <c r="E78" s="82"/>
      <c r="F78" s="124"/>
      <c r="G78" s="437" t="s">
        <v>534</v>
      </c>
      <c r="H78" s="159" t="s">
        <v>85</v>
      </c>
      <c r="I78" s="181" t="e">
        <f>#REF!</f>
        <v>#REF!</v>
      </c>
      <c r="J78" s="159" t="e">
        <f>#REF!</f>
        <v>#REF!</v>
      </c>
      <c r="K78" s="342" t="e">
        <f t="shared" si="2"/>
        <v>#REF!</v>
      </c>
    </row>
    <row r="79" spans="1:11">
      <c r="A79" s="453"/>
      <c r="B79" s="125"/>
      <c r="C79" s="124"/>
      <c r="D79" s="124"/>
      <c r="E79" s="82"/>
      <c r="F79" s="124"/>
      <c r="G79" s="437" t="s">
        <v>536</v>
      </c>
      <c r="H79" s="159" t="s">
        <v>85</v>
      </c>
      <c r="I79" s="181" t="e">
        <f>#REF!</f>
        <v>#REF!</v>
      </c>
      <c r="J79" s="159" t="e">
        <f>#REF!</f>
        <v>#REF!</v>
      </c>
      <c r="K79" s="342" t="e">
        <f t="shared" si="2"/>
        <v>#REF!</v>
      </c>
    </row>
    <row r="80" spans="1:11">
      <c r="A80" s="453"/>
      <c r="B80" s="125"/>
      <c r="C80" s="124"/>
      <c r="D80" s="124"/>
      <c r="E80" s="82"/>
      <c r="F80" s="124"/>
      <c r="G80" s="437" t="s">
        <v>537</v>
      </c>
      <c r="H80" s="159" t="s">
        <v>85</v>
      </c>
      <c r="I80" s="181" t="e">
        <f>#REF!</f>
        <v>#REF!</v>
      </c>
      <c r="J80" s="159" t="e">
        <f>#REF!</f>
        <v>#REF!</v>
      </c>
      <c r="K80" s="860" t="e">
        <f t="shared" si="2"/>
        <v>#REF!</v>
      </c>
    </row>
    <row r="81" spans="1:11">
      <c r="A81" s="120"/>
      <c r="B81" s="119"/>
      <c r="C81" s="120"/>
      <c r="D81" s="1252" t="s">
        <v>145</v>
      </c>
      <c r="E81" s="1253"/>
      <c r="F81" s="118" t="e">
        <f>SUM(F41:F80)</f>
        <v>#REF!</v>
      </c>
      <c r="G81" s="119"/>
      <c r="H81" s="120"/>
      <c r="I81" s="1254" t="s">
        <v>146</v>
      </c>
      <c r="J81" s="1254"/>
      <c r="K81" s="118" t="e">
        <f>SUM(K41:K80)</f>
        <v>#REF!</v>
      </c>
    </row>
    <row r="82" spans="1:11">
      <c r="A82" s="1249" t="s">
        <v>983</v>
      </c>
      <c r="B82" s="1249"/>
      <c r="C82" s="120"/>
      <c r="D82" s="120"/>
      <c r="E82" s="121"/>
      <c r="F82" s="122"/>
      <c r="G82" s="119"/>
      <c r="H82" s="120"/>
      <c r="I82" s="460"/>
      <c r="J82" s="121"/>
      <c r="K82" s="122"/>
    </row>
    <row r="83" spans="1:11">
      <c r="A83" s="453" t="s">
        <v>134</v>
      </c>
      <c r="B83" s="125" t="s">
        <v>625</v>
      </c>
      <c r="C83" s="124" t="s">
        <v>86</v>
      </c>
      <c r="D83" s="124" t="e">
        <f>#REF!</f>
        <v>#REF!</v>
      </c>
      <c r="E83" s="82" t="e">
        <f>#REF!</f>
        <v>#REF!</v>
      </c>
      <c r="F83" s="124" t="e">
        <f>D83*E83</f>
        <v>#REF!</v>
      </c>
      <c r="G83" s="437" t="s">
        <v>584</v>
      </c>
      <c r="H83" s="159" t="s">
        <v>85</v>
      </c>
      <c r="I83" s="82" t="e">
        <f>#REF!</f>
        <v>#REF!</v>
      </c>
      <c r="J83" s="82" t="e">
        <f>#REF!</f>
        <v>#REF!</v>
      </c>
      <c r="K83" s="342" t="e">
        <f>I83*J83</f>
        <v>#REF!</v>
      </c>
    </row>
    <row r="84" spans="1:11">
      <c r="A84" s="453" t="s">
        <v>152</v>
      </c>
      <c r="B84" s="125" t="s">
        <v>626</v>
      </c>
      <c r="C84" s="124" t="s">
        <v>86</v>
      </c>
      <c r="D84" s="124" t="e">
        <f>#REF!</f>
        <v>#REF!</v>
      </c>
      <c r="E84" s="82" t="e">
        <f>#REF!</f>
        <v>#REF!</v>
      </c>
      <c r="F84" s="124" t="e">
        <f>D84*E84</f>
        <v>#REF!</v>
      </c>
      <c r="G84" s="437" t="s">
        <v>585</v>
      </c>
      <c r="H84" s="159" t="s">
        <v>85</v>
      </c>
      <c r="I84" s="82" t="e">
        <f>#REF!</f>
        <v>#REF!</v>
      </c>
      <c r="J84" s="82" t="e">
        <f>#REF!</f>
        <v>#REF!</v>
      </c>
      <c r="K84" s="342" t="e">
        <f t="shared" ref="K84:K94" si="3">I84*J84</f>
        <v>#REF!</v>
      </c>
    </row>
    <row r="85" spans="1:11">
      <c r="A85" s="453"/>
      <c r="B85" s="125"/>
      <c r="C85" s="124"/>
      <c r="D85" s="124"/>
      <c r="E85" s="82"/>
      <c r="F85" s="124"/>
      <c r="G85" s="437" t="s">
        <v>586</v>
      </c>
      <c r="H85" s="159" t="s">
        <v>85</v>
      </c>
      <c r="I85" s="82" t="e">
        <f>#REF!</f>
        <v>#REF!</v>
      </c>
      <c r="J85" s="82" t="e">
        <f>#REF!</f>
        <v>#REF!</v>
      </c>
      <c r="K85" s="342" t="e">
        <f t="shared" si="3"/>
        <v>#REF!</v>
      </c>
    </row>
    <row r="86" spans="1:11">
      <c r="A86" s="453"/>
      <c r="B86" s="125"/>
      <c r="C86" s="124"/>
      <c r="D86" s="124"/>
      <c r="E86" s="82"/>
      <c r="F86" s="124"/>
      <c r="G86" s="437" t="s">
        <v>587</v>
      </c>
      <c r="H86" s="159" t="s">
        <v>85</v>
      </c>
      <c r="I86" s="82" t="e">
        <f>#REF!</f>
        <v>#REF!</v>
      </c>
      <c r="J86" s="82" t="e">
        <f>#REF!</f>
        <v>#REF!</v>
      </c>
      <c r="K86" s="342" t="e">
        <f t="shared" si="3"/>
        <v>#REF!</v>
      </c>
    </row>
    <row r="87" spans="1:11">
      <c r="A87" s="453"/>
      <c r="B87" s="125"/>
      <c r="C87" s="124"/>
      <c r="D87" s="124"/>
      <c r="E87" s="82"/>
      <c r="F87" s="124"/>
      <c r="G87" s="437" t="s">
        <v>588</v>
      </c>
      <c r="H87" s="159" t="s">
        <v>85</v>
      </c>
      <c r="I87" s="82" t="e">
        <f>#REF!</f>
        <v>#REF!</v>
      </c>
      <c r="J87" s="82" t="e">
        <f>#REF!</f>
        <v>#REF!</v>
      </c>
      <c r="K87" s="342" t="e">
        <f t="shared" si="3"/>
        <v>#REF!</v>
      </c>
    </row>
    <row r="88" spans="1:11">
      <c r="A88" s="453"/>
      <c r="B88" s="125"/>
      <c r="C88" s="124"/>
      <c r="D88" s="124"/>
      <c r="E88" s="82"/>
      <c r="F88" s="124"/>
      <c r="G88" s="437" t="s">
        <v>589</v>
      </c>
      <c r="H88" s="159" t="s">
        <v>85</v>
      </c>
      <c r="I88" s="82" t="e">
        <f>#REF!</f>
        <v>#REF!</v>
      </c>
      <c r="J88" s="82" t="e">
        <f>#REF!</f>
        <v>#REF!</v>
      </c>
      <c r="K88" s="342" t="e">
        <f t="shared" si="3"/>
        <v>#REF!</v>
      </c>
    </row>
    <row r="89" spans="1:11">
      <c r="A89" s="453"/>
      <c r="B89" s="125"/>
      <c r="C89" s="124"/>
      <c r="D89" s="124"/>
      <c r="E89" s="82"/>
      <c r="F89" s="124"/>
      <c r="G89" s="437" t="s">
        <v>590</v>
      </c>
      <c r="H89" s="159" t="s">
        <v>85</v>
      </c>
      <c r="I89" s="82" t="e">
        <f>#REF!</f>
        <v>#REF!</v>
      </c>
      <c r="J89" s="82" t="e">
        <f>#REF!</f>
        <v>#REF!</v>
      </c>
      <c r="K89" s="342" t="e">
        <f t="shared" si="3"/>
        <v>#REF!</v>
      </c>
    </row>
    <row r="90" spans="1:11">
      <c r="A90" s="453"/>
      <c r="B90" s="125"/>
      <c r="C90" s="124"/>
      <c r="D90" s="124"/>
      <c r="E90" s="82"/>
      <c r="F90" s="124"/>
      <c r="G90" s="437" t="s">
        <v>591</v>
      </c>
      <c r="H90" s="159" t="s">
        <v>85</v>
      </c>
      <c r="I90" s="82" t="e">
        <f>#REF!</f>
        <v>#REF!</v>
      </c>
      <c r="J90" s="82" t="e">
        <f>#REF!</f>
        <v>#REF!</v>
      </c>
      <c r="K90" s="342" t="e">
        <f t="shared" si="3"/>
        <v>#REF!</v>
      </c>
    </row>
    <row r="91" spans="1:11">
      <c r="A91" s="453"/>
      <c r="B91" s="125"/>
      <c r="C91" s="124"/>
      <c r="D91" s="124"/>
      <c r="E91" s="82"/>
      <c r="F91" s="124"/>
      <c r="G91" s="437" t="s">
        <v>592</v>
      </c>
      <c r="H91" s="159" t="s">
        <v>85</v>
      </c>
      <c r="I91" s="82" t="e">
        <f>#REF!</f>
        <v>#REF!</v>
      </c>
      <c r="J91" s="82" t="e">
        <f>#REF!</f>
        <v>#REF!</v>
      </c>
      <c r="K91" s="342" t="e">
        <f t="shared" si="3"/>
        <v>#REF!</v>
      </c>
    </row>
    <row r="92" spans="1:11">
      <c r="A92" s="453"/>
      <c r="B92" s="125"/>
      <c r="C92" s="124"/>
      <c r="D92" s="124"/>
      <c r="E92" s="82"/>
      <c r="F92" s="124"/>
      <c r="G92" s="437" t="s">
        <v>593</v>
      </c>
      <c r="H92" s="159" t="s">
        <v>85</v>
      </c>
      <c r="I92" s="82" t="e">
        <f>#REF!</f>
        <v>#REF!</v>
      </c>
      <c r="J92" s="82" t="e">
        <f>#REF!</f>
        <v>#REF!</v>
      </c>
      <c r="K92" s="342" t="e">
        <f t="shared" si="3"/>
        <v>#REF!</v>
      </c>
    </row>
    <row r="93" spans="1:11">
      <c r="A93" s="453"/>
      <c r="B93" s="125"/>
      <c r="C93" s="124"/>
      <c r="D93" s="124"/>
      <c r="E93" s="82"/>
      <c r="F93" s="124"/>
      <c r="G93" s="437" t="s">
        <v>594</v>
      </c>
      <c r="H93" s="159" t="s">
        <v>85</v>
      </c>
      <c r="I93" s="82" t="e">
        <f>#REF!</f>
        <v>#REF!</v>
      </c>
      <c r="J93" s="82" t="e">
        <f>#REF!</f>
        <v>#REF!</v>
      </c>
      <c r="K93" s="342" t="e">
        <f t="shared" si="3"/>
        <v>#REF!</v>
      </c>
    </row>
    <row r="94" spans="1:11" ht="16">
      <c r="A94" s="453"/>
      <c r="B94" s="125"/>
      <c r="C94" s="124"/>
      <c r="D94" s="124"/>
      <c r="E94" s="82"/>
      <c r="F94" s="124"/>
      <c r="G94" s="437" t="s">
        <v>595</v>
      </c>
      <c r="H94" s="159" t="s">
        <v>85</v>
      </c>
      <c r="I94" s="82" t="e">
        <f>#REF!</f>
        <v>#REF!</v>
      </c>
      <c r="J94" s="82" t="e">
        <f>#REF!</f>
        <v>#REF!</v>
      </c>
      <c r="K94" s="342" t="e">
        <f t="shared" si="3"/>
        <v>#REF!</v>
      </c>
    </row>
    <row r="95" spans="1:11" ht="16">
      <c r="A95" s="453"/>
      <c r="B95" s="125"/>
      <c r="C95" s="124"/>
      <c r="D95" s="124"/>
      <c r="E95" s="82"/>
      <c r="F95" s="124"/>
      <c r="G95" s="437" t="s">
        <v>596</v>
      </c>
      <c r="H95" s="159" t="s">
        <v>85</v>
      </c>
      <c r="I95" s="82" t="e">
        <f>#REF!</f>
        <v>#REF!</v>
      </c>
      <c r="J95" s="82" t="e">
        <f>#REF!</f>
        <v>#REF!</v>
      </c>
      <c r="K95" s="82" t="e">
        <f>I95*J95</f>
        <v>#REF!</v>
      </c>
    </row>
    <row r="96" spans="1:11">
      <c r="A96" s="462"/>
      <c r="B96" s="119"/>
      <c r="C96" s="120"/>
      <c r="D96" s="1252" t="s">
        <v>145</v>
      </c>
      <c r="E96" s="1253"/>
      <c r="F96" s="118" t="e">
        <f>SUM(F83:F95)</f>
        <v>#REF!</v>
      </c>
      <c r="G96" s="463"/>
      <c r="H96" s="464"/>
      <c r="I96" s="1254" t="s">
        <v>146</v>
      </c>
      <c r="J96" s="1255"/>
      <c r="K96" s="420" t="e">
        <f>SUM(K83:K95)</f>
        <v>#REF!</v>
      </c>
    </row>
    <row r="97" spans="1:11">
      <c r="A97" s="1239" t="s">
        <v>984</v>
      </c>
      <c r="B97" s="1239"/>
      <c r="C97" s="120"/>
      <c r="D97" s="121"/>
      <c r="E97" s="121"/>
      <c r="F97" s="122"/>
      <c r="G97" s="119"/>
      <c r="H97" s="120"/>
      <c r="I97" s="123"/>
      <c r="J97" s="123"/>
      <c r="K97" s="122"/>
    </row>
    <row r="98" spans="1:11">
      <c r="A98" s="453" t="s">
        <v>134</v>
      </c>
      <c r="B98" s="125" t="s">
        <v>625</v>
      </c>
      <c r="C98" s="124" t="s">
        <v>86</v>
      </c>
      <c r="D98" s="124" t="e">
        <f>#REF!</f>
        <v>#REF!</v>
      </c>
      <c r="E98" s="82" t="e">
        <f>#REF!</f>
        <v>#REF!</v>
      </c>
      <c r="F98" s="124" t="e">
        <f>D98*E98</f>
        <v>#REF!</v>
      </c>
      <c r="G98" s="437" t="s">
        <v>584</v>
      </c>
      <c r="H98" s="159" t="s">
        <v>85</v>
      </c>
      <c r="I98" s="369" t="e">
        <f>#REF!</f>
        <v>#REF!</v>
      </c>
      <c r="J98" s="82" t="e">
        <f>#REF!</f>
        <v>#REF!</v>
      </c>
      <c r="K98" s="342" t="e">
        <f>I98*J98</f>
        <v>#REF!</v>
      </c>
    </row>
    <row r="99" spans="1:11">
      <c r="A99" s="453" t="s">
        <v>152</v>
      </c>
      <c r="B99" s="125" t="s">
        <v>626</v>
      </c>
      <c r="C99" s="124" t="s">
        <v>86</v>
      </c>
      <c r="D99" s="124" t="e">
        <f>#REF!</f>
        <v>#REF!</v>
      </c>
      <c r="E99" s="82" t="e">
        <f>#REF!</f>
        <v>#REF!</v>
      </c>
      <c r="F99" s="124" t="e">
        <f>D99*E99</f>
        <v>#REF!</v>
      </c>
      <c r="G99" s="437" t="s">
        <v>585</v>
      </c>
      <c r="H99" s="159" t="s">
        <v>85</v>
      </c>
      <c r="I99" s="369" t="e">
        <f>#REF!</f>
        <v>#REF!</v>
      </c>
      <c r="J99" s="82" t="e">
        <f>#REF!</f>
        <v>#REF!</v>
      </c>
      <c r="K99" s="342" t="e">
        <f t="shared" ref="K99:K110" si="4">I99*J99</f>
        <v>#REF!</v>
      </c>
    </row>
    <row r="100" spans="1:11">
      <c r="A100" s="453"/>
      <c r="B100" s="125"/>
      <c r="C100" s="124"/>
      <c r="D100" s="124"/>
      <c r="E100" s="82"/>
      <c r="F100" s="124"/>
      <c r="G100" s="437" t="s">
        <v>586</v>
      </c>
      <c r="H100" s="159" t="s">
        <v>85</v>
      </c>
      <c r="I100" s="369" t="e">
        <f>#REF!</f>
        <v>#REF!</v>
      </c>
      <c r="J100" s="82" t="e">
        <f>#REF!</f>
        <v>#REF!</v>
      </c>
      <c r="K100" s="342" t="e">
        <f t="shared" si="4"/>
        <v>#REF!</v>
      </c>
    </row>
    <row r="101" spans="1:11">
      <c r="A101" s="453"/>
      <c r="B101" s="125"/>
      <c r="C101" s="124"/>
      <c r="D101" s="124"/>
      <c r="E101" s="82"/>
      <c r="F101" s="124"/>
      <c r="G101" s="437" t="s">
        <v>587</v>
      </c>
      <c r="H101" s="159" t="s">
        <v>85</v>
      </c>
      <c r="I101" s="369" t="e">
        <f>#REF!</f>
        <v>#REF!</v>
      </c>
      <c r="J101" s="82" t="e">
        <f>#REF!</f>
        <v>#REF!</v>
      </c>
      <c r="K101" s="342" t="e">
        <f t="shared" si="4"/>
        <v>#REF!</v>
      </c>
    </row>
    <row r="102" spans="1:11">
      <c r="A102" s="453"/>
      <c r="B102" s="125"/>
      <c r="C102" s="124"/>
      <c r="D102" s="124"/>
      <c r="E102" s="82"/>
      <c r="F102" s="124"/>
      <c r="G102" s="437" t="s">
        <v>588</v>
      </c>
      <c r="H102" s="159" t="s">
        <v>85</v>
      </c>
      <c r="I102" s="369" t="e">
        <f>#REF!</f>
        <v>#REF!</v>
      </c>
      <c r="J102" s="82" t="e">
        <f>#REF!</f>
        <v>#REF!</v>
      </c>
      <c r="K102" s="342" t="e">
        <f t="shared" si="4"/>
        <v>#REF!</v>
      </c>
    </row>
    <row r="103" spans="1:11">
      <c r="A103" s="453"/>
      <c r="B103" s="125"/>
      <c r="C103" s="124"/>
      <c r="D103" s="124"/>
      <c r="E103" s="82"/>
      <c r="F103" s="124"/>
      <c r="G103" s="495" t="s">
        <v>589</v>
      </c>
      <c r="H103" s="159" t="s">
        <v>85</v>
      </c>
      <c r="I103" s="369" t="e">
        <f>#REF!</f>
        <v>#REF!</v>
      </c>
      <c r="J103" s="82" t="e">
        <f>#REF!</f>
        <v>#REF!</v>
      </c>
      <c r="K103" s="342" t="e">
        <f t="shared" si="4"/>
        <v>#REF!</v>
      </c>
    </row>
    <row r="104" spans="1:11">
      <c r="A104" s="453"/>
      <c r="B104" s="125"/>
      <c r="C104" s="124"/>
      <c r="D104" s="124"/>
      <c r="E104" s="82"/>
      <c r="F104" s="124"/>
      <c r="G104" s="495" t="s">
        <v>590</v>
      </c>
      <c r="H104" s="159" t="s">
        <v>85</v>
      </c>
      <c r="I104" s="369" t="e">
        <f>#REF!</f>
        <v>#REF!</v>
      </c>
      <c r="J104" s="82" t="e">
        <f>#REF!</f>
        <v>#REF!</v>
      </c>
      <c r="K104" s="342" t="e">
        <f t="shared" si="4"/>
        <v>#REF!</v>
      </c>
    </row>
    <row r="105" spans="1:11">
      <c r="A105" s="453"/>
      <c r="B105" s="125"/>
      <c r="C105" s="124"/>
      <c r="D105" s="124"/>
      <c r="E105" s="82"/>
      <c r="F105" s="124"/>
      <c r="G105" s="495" t="s">
        <v>591</v>
      </c>
      <c r="H105" s="159" t="s">
        <v>85</v>
      </c>
      <c r="I105" s="369" t="e">
        <f>#REF!</f>
        <v>#REF!</v>
      </c>
      <c r="J105" s="82" t="e">
        <f>#REF!</f>
        <v>#REF!</v>
      </c>
      <c r="K105" s="342" t="e">
        <f t="shared" si="4"/>
        <v>#REF!</v>
      </c>
    </row>
    <row r="106" spans="1:11">
      <c r="A106" s="453"/>
      <c r="B106" s="125"/>
      <c r="C106" s="124"/>
      <c r="D106" s="124"/>
      <c r="E106" s="82"/>
      <c r="F106" s="124"/>
      <c r="G106" s="495" t="s">
        <v>592</v>
      </c>
      <c r="H106" s="159" t="s">
        <v>85</v>
      </c>
      <c r="I106" s="369" t="e">
        <f>#REF!</f>
        <v>#REF!</v>
      </c>
      <c r="J106" s="82" t="e">
        <f>#REF!</f>
        <v>#REF!</v>
      </c>
      <c r="K106" s="342" t="e">
        <f t="shared" si="4"/>
        <v>#REF!</v>
      </c>
    </row>
    <row r="107" spans="1:11">
      <c r="A107" s="453"/>
      <c r="B107" s="125"/>
      <c r="C107" s="124"/>
      <c r="D107" s="124"/>
      <c r="E107" s="82"/>
      <c r="F107" s="124"/>
      <c r="G107" s="495" t="s">
        <v>593</v>
      </c>
      <c r="H107" s="159" t="s">
        <v>85</v>
      </c>
      <c r="I107" s="369" t="e">
        <f>#REF!</f>
        <v>#REF!</v>
      </c>
      <c r="J107" s="82" t="e">
        <f>#REF!</f>
        <v>#REF!</v>
      </c>
      <c r="K107" s="342" t="e">
        <f t="shared" si="4"/>
        <v>#REF!</v>
      </c>
    </row>
    <row r="108" spans="1:11">
      <c r="A108" s="453"/>
      <c r="B108" s="125"/>
      <c r="C108" s="124"/>
      <c r="D108" s="124"/>
      <c r="E108" s="82"/>
      <c r="F108" s="124"/>
      <c r="G108" s="495" t="s">
        <v>598</v>
      </c>
      <c r="H108" s="159" t="s">
        <v>85</v>
      </c>
      <c r="I108" s="369" t="e">
        <f>#REF!</f>
        <v>#REF!</v>
      </c>
      <c r="J108" s="82" t="e">
        <f>#REF!</f>
        <v>#REF!</v>
      </c>
      <c r="K108" s="342" t="e">
        <f t="shared" si="4"/>
        <v>#REF!</v>
      </c>
    </row>
    <row r="109" spans="1:11">
      <c r="A109" s="453"/>
      <c r="B109" s="125"/>
      <c r="C109" s="124"/>
      <c r="D109" s="124"/>
      <c r="E109" s="82"/>
      <c r="F109" s="124"/>
      <c r="G109" s="495" t="s">
        <v>599</v>
      </c>
      <c r="H109" s="159" t="s">
        <v>85</v>
      </c>
      <c r="I109" s="369" t="e">
        <f>#REF!</f>
        <v>#REF!</v>
      </c>
      <c r="J109" s="82" t="e">
        <f>#REF!</f>
        <v>#REF!</v>
      </c>
      <c r="K109" s="342" t="e">
        <f t="shared" si="4"/>
        <v>#REF!</v>
      </c>
    </row>
    <row r="110" spans="1:11">
      <c r="A110" s="453"/>
      <c r="B110" s="125"/>
      <c r="C110" s="124"/>
      <c r="D110" s="124"/>
      <c r="E110" s="82"/>
      <c r="F110" s="124"/>
      <c r="G110" s="495" t="s">
        <v>600</v>
      </c>
      <c r="H110" s="159" t="s">
        <v>85</v>
      </c>
      <c r="I110" s="369" t="e">
        <f>#REF!</f>
        <v>#REF!</v>
      </c>
      <c r="J110" s="82" t="e">
        <f>#REF!</f>
        <v>#REF!</v>
      </c>
      <c r="K110" s="342" t="e">
        <f t="shared" si="4"/>
        <v>#REF!</v>
      </c>
    </row>
    <row r="111" spans="1:11">
      <c r="A111" s="120"/>
      <c r="B111" s="119"/>
      <c r="C111" s="120"/>
      <c r="D111" s="1252" t="s">
        <v>145</v>
      </c>
      <c r="E111" s="1253"/>
      <c r="F111" s="118" t="e">
        <f>SUM(F98:F110)</f>
        <v>#REF!</v>
      </c>
      <c r="G111" s="119"/>
      <c r="H111" s="120"/>
      <c r="I111" s="1254" t="s">
        <v>146</v>
      </c>
      <c r="J111" s="1255"/>
      <c r="K111" s="420" t="e">
        <f>SUM(K98:K110)</f>
        <v>#REF!</v>
      </c>
    </row>
    <row r="112" spans="1:11">
      <c r="A112" s="1239" t="s">
        <v>985</v>
      </c>
      <c r="B112" s="1239"/>
      <c r="C112" s="120"/>
      <c r="D112" s="121"/>
      <c r="E112" s="121"/>
      <c r="F112" s="122"/>
      <c r="G112" s="119"/>
      <c r="H112" s="120"/>
      <c r="I112" s="123"/>
      <c r="J112" s="123"/>
      <c r="K112" s="122"/>
    </row>
    <row r="113" spans="1:11">
      <c r="A113" s="124"/>
      <c r="B113" s="125" t="s">
        <v>581</v>
      </c>
      <c r="C113" s="124" t="s">
        <v>63</v>
      </c>
      <c r="D113" s="448" t="e">
        <f>#REF!</f>
        <v>#REF!</v>
      </c>
      <c r="E113" s="126" t="e">
        <f>#REF!</f>
        <v>#REF!</v>
      </c>
      <c r="F113" s="124" t="e">
        <f>D113*E113</f>
        <v>#REF!</v>
      </c>
      <c r="G113" s="368" t="s">
        <v>627</v>
      </c>
      <c r="H113" s="182" t="s">
        <v>155</v>
      </c>
      <c r="I113" s="421" t="e">
        <f>ROUNDUP(#REF!,0)</f>
        <v>#REF!</v>
      </c>
      <c r="J113" s="109" t="e">
        <f>#REF!</f>
        <v>#REF!</v>
      </c>
      <c r="K113" s="124" t="e">
        <f t="shared" ref="K113:K114" si="5">I113*J113</f>
        <v>#REF!</v>
      </c>
    </row>
    <row r="114" spans="1:11">
      <c r="A114" s="124"/>
      <c r="B114" s="125" t="s">
        <v>582</v>
      </c>
      <c r="C114" s="124" t="s">
        <v>519</v>
      </c>
      <c r="D114" s="448" t="e">
        <f>#REF!/1000*1.05</f>
        <v>#REF!</v>
      </c>
      <c r="E114" s="126" t="e">
        <f>#REF!</f>
        <v>#REF!</v>
      </c>
      <c r="F114" s="498" t="e">
        <f>D114*E114</f>
        <v>#REF!</v>
      </c>
      <c r="G114" s="368" t="s">
        <v>628</v>
      </c>
      <c r="H114" s="182" t="s">
        <v>155</v>
      </c>
      <c r="I114" s="129" t="e">
        <f>#REF!</f>
        <v>#REF!</v>
      </c>
      <c r="J114" s="124" t="e">
        <f>#REF!</f>
        <v>#REF!</v>
      </c>
      <c r="K114" s="124" t="e">
        <f t="shared" si="5"/>
        <v>#REF!</v>
      </c>
    </row>
    <row r="115" spans="1:11">
      <c r="A115" s="120"/>
      <c r="B115" s="119"/>
      <c r="C115" s="120"/>
      <c r="D115" s="1256" t="s">
        <v>145</v>
      </c>
      <c r="E115" s="1257"/>
      <c r="F115" s="132" t="e">
        <f>SUM(F113:F114)</f>
        <v>#REF!</v>
      </c>
      <c r="G115" s="119"/>
      <c r="H115" s="120"/>
      <c r="I115" s="1242" t="s">
        <v>20</v>
      </c>
      <c r="J115" s="1243"/>
      <c r="K115" s="132" t="e">
        <f>SUM(K113:K114)</f>
        <v>#REF!</v>
      </c>
    </row>
    <row r="116" spans="1:11" ht="13.75" customHeight="1">
      <c r="A116" s="120"/>
      <c r="B116" s="119"/>
      <c r="C116" s="120"/>
      <c r="D116" s="121"/>
      <c r="E116" s="121"/>
      <c r="F116" s="122"/>
      <c r="G116" s="119"/>
      <c r="H116" s="120"/>
      <c r="I116" s="123"/>
      <c r="J116" s="123"/>
      <c r="K116" s="122"/>
    </row>
    <row r="118" spans="1:11">
      <c r="C118" s="1204" t="s">
        <v>158</v>
      </c>
      <c r="D118" s="1204"/>
      <c r="E118" s="1204"/>
      <c r="F118" s="1204"/>
      <c r="G118" s="423" t="e">
        <f>F16+F39+F81+F115+F96+F111</f>
        <v>#REF!</v>
      </c>
    </row>
    <row r="119" spans="1:11">
      <c r="C119" s="1204" t="s">
        <v>159</v>
      </c>
      <c r="D119" s="1204"/>
      <c r="E119" s="1204"/>
      <c r="F119" s="1204"/>
      <c r="G119" s="423" t="e">
        <f>G118*0.03</f>
        <v>#REF!</v>
      </c>
    </row>
    <row r="120" spans="1:11" ht="13.75" customHeight="1">
      <c r="C120" s="1204" t="s">
        <v>160</v>
      </c>
      <c r="D120" s="1204"/>
      <c r="E120" s="1204"/>
      <c r="F120" s="1204"/>
      <c r="G120" s="423" t="e">
        <f>G118*0.16</f>
        <v>#REF!</v>
      </c>
    </row>
    <row r="121" spans="1:11">
      <c r="C121" s="1204" t="s">
        <v>20</v>
      </c>
      <c r="D121" s="1204"/>
      <c r="E121" s="1204"/>
      <c r="F121" s="1204"/>
      <c r="G121" s="423" t="e">
        <f>G118+G119+G120</f>
        <v>#REF!</v>
      </c>
    </row>
    <row r="122" spans="1:11">
      <c r="C122" s="1204" t="s">
        <v>161</v>
      </c>
      <c r="D122" s="1204"/>
      <c r="E122" s="1204"/>
      <c r="F122" s="1204"/>
      <c r="G122" s="423" t="e">
        <f>K16+K39+K81+K111+K96</f>
        <v>#REF!</v>
      </c>
    </row>
    <row r="123" spans="1:11">
      <c r="C123" s="1258" t="s">
        <v>863</v>
      </c>
      <c r="D123" s="1259"/>
      <c r="E123" s="1259"/>
      <c r="F123" s="1260"/>
      <c r="G123" s="934" t="e">
        <f>G122*0.035</f>
        <v>#REF!</v>
      </c>
    </row>
    <row r="124" spans="1:11">
      <c r="C124" s="1204" t="s">
        <v>162</v>
      </c>
      <c r="D124" s="1204"/>
      <c r="E124" s="1204"/>
      <c r="F124" s="1204"/>
      <c r="G124" s="423" t="e">
        <f>K115</f>
        <v>#REF!</v>
      </c>
    </row>
    <row r="125" spans="1:11">
      <c r="C125" s="1204" t="s">
        <v>20</v>
      </c>
      <c r="D125" s="1204"/>
      <c r="E125" s="1204"/>
      <c r="F125" s="1204"/>
      <c r="G125" s="423" t="e">
        <f>G122+G124+G123</f>
        <v>#REF!</v>
      </c>
    </row>
    <row r="126" spans="1:11">
      <c r="C126" s="1244" t="s">
        <v>629</v>
      </c>
      <c r="D126" s="1244"/>
      <c r="E126" s="1244"/>
      <c r="F126" s="1244"/>
      <c r="G126" s="424" t="e">
        <f>G121+G125</f>
        <v>#REF!</v>
      </c>
    </row>
    <row r="127" spans="1:11" s="141" customFormat="1" ht="17" thickBot="1">
      <c r="A127"/>
      <c r="B127"/>
      <c r="C127" s="1207" t="s">
        <v>164</v>
      </c>
      <c r="D127" s="1265"/>
      <c r="E127" s="1265"/>
      <c r="F127" s="1208"/>
      <c r="G127" s="431" t="e">
        <f>G118*0.03</f>
        <v>#REF!</v>
      </c>
      <c r="H127"/>
      <c r="I127" s="139"/>
      <c r="J127" s="140"/>
      <c r="K127"/>
    </row>
    <row r="128" spans="1:11" s="141" customFormat="1" ht="16" thickBot="1">
      <c r="A128"/>
      <c r="B128"/>
      <c r="C128" s="1246" t="s">
        <v>630</v>
      </c>
      <c r="D128" s="1247"/>
      <c r="E128" s="1247"/>
      <c r="F128" s="1248"/>
      <c r="G128" s="432" t="e">
        <f>G126+G127</f>
        <v>#REF!</v>
      </c>
      <c r="H128"/>
      <c r="I128"/>
      <c r="J128"/>
      <c r="K128"/>
    </row>
    <row r="129" spans="1:11" s="141" customFormat="1">
      <c r="C129"/>
      <c r="D129"/>
      <c r="E129"/>
      <c r="F129"/>
      <c r="G129"/>
    </row>
    <row r="130" spans="1:11" s="141" customFormat="1" ht="14">
      <c r="F130" s="142"/>
      <c r="G130" s="143"/>
    </row>
    <row r="131" spans="1:11">
      <c r="A131" s="141"/>
      <c r="B131" s="141"/>
      <c r="C131" s="141"/>
      <c r="D131" s="141"/>
      <c r="E131" s="141"/>
      <c r="F131" s="142"/>
      <c r="G131" s="144"/>
      <c r="H131" s="141"/>
      <c r="I131" s="141"/>
      <c r="J131" s="141"/>
      <c r="K131" s="141"/>
    </row>
    <row r="132" spans="1:11" ht="16">
      <c r="A132" s="141"/>
      <c r="B132" s="141"/>
      <c r="C132" s="141"/>
      <c r="D132" s="141"/>
      <c r="E132" s="141"/>
      <c r="F132" s="142"/>
      <c r="G132" s="145"/>
      <c r="H132" s="141"/>
      <c r="I132" s="141"/>
      <c r="J132" s="141"/>
      <c r="K132" s="141"/>
    </row>
    <row r="133" spans="1:11">
      <c r="C133" s="141"/>
      <c r="D133" s="141"/>
      <c r="E133" s="141"/>
      <c r="F133" s="142"/>
      <c r="G133" s="144"/>
    </row>
    <row r="134" spans="1:11">
      <c r="F134" s="146"/>
      <c r="G134" s="147"/>
    </row>
    <row r="135" spans="1:11">
      <c r="G135" s="148"/>
    </row>
    <row r="136" spans="1:11">
      <c r="G136" s="292"/>
    </row>
    <row r="137" spans="1:11">
      <c r="G137" s="149"/>
    </row>
    <row r="138" spans="1:11">
      <c r="G138" s="292"/>
    </row>
    <row r="139" spans="1:11">
      <c r="G139" s="149"/>
    </row>
    <row r="140" spans="1:11">
      <c r="G140" s="292"/>
    </row>
    <row r="141" spans="1:11">
      <c r="G141" s="149"/>
    </row>
    <row r="142" spans="1:11">
      <c r="G142" s="292"/>
    </row>
    <row r="143" spans="1:11">
      <c r="G143" s="149"/>
    </row>
    <row r="144" spans="1:11">
      <c r="G144" s="292"/>
    </row>
    <row r="145" spans="7:7">
      <c r="G145" s="36"/>
    </row>
  </sheetData>
  <mergeCells count="41">
    <mergeCell ref="C128:F128"/>
    <mergeCell ref="C121:F121"/>
    <mergeCell ref="C122:F122"/>
    <mergeCell ref="C124:F124"/>
    <mergeCell ref="C125:F125"/>
    <mergeCell ref="C126:F126"/>
    <mergeCell ref="C127:F127"/>
    <mergeCell ref="C123:F123"/>
    <mergeCell ref="C120:F120"/>
    <mergeCell ref="A82:B82"/>
    <mergeCell ref="D96:E96"/>
    <mergeCell ref="I96:J96"/>
    <mergeCell ref="A97:B97"/>
    <mergeCell ref="D111:E111"/>
    <mergeCell ref="I111:J111"/>
    <mergeCell ref="A112:B112"/>
    <mergeCell ref="D115:E115"/>
    <mergeCell ref="I115:J115"/>
    <mergeCell ref="C118:F118"/>
    <mergeCell ref="C119:F119"/>
    <mergeCell ref="D81:E81"/>
    <mergeCell ref="I81:J81"/>
    <mergeCell ref="A6:B6"/>
    <mergeCell ref="D6:F6"/>
    <mergeCell ref="I6:K6"/>
    <mergeCell ref="A7:K7"/>
    <mergeCell ref="A12:B12"/>
    <mergeCell ref="D16:E16"/>
    <mergeCell ref="I16:J16"/>
    <mergeCell ref="D39:E39"/>
    <mergeCell ref="I39:J39"/>
    <mergeCell ref="A40:B40"/>
    <mergeCell ref="A8:D8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CB8E-A742-4200-9E19-1D17796FBBEF}">
  <dimension ref="A1:O39"/>
  <sheetViews>
    <sheetView topLeftCell="A22" workbookViewId="0">
      <selection activeCell="K21" sqref="K21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9.1640625" style="372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8.33203125" bestFit="1" customWidth="1"/>
    <col min="12" max="12" width="12.33203125" style="372" customWidth="1"/>
    <col min="13" max="13" width="12.33203125" customWidth="1"/>
  </cols>
  <sheetData>
    <row r="1" spans="1:15" s="295" customFormat="1" ht="14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">
      <c r="A4" s="52" t="s">
        <v>397</v>
      </c>
      <c r="B4" s="52"/>
      <c r="C4" s="49"/>
      <c r="D4" s="409"/>
      <c r="E4" s="383"/>
      <c r="F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680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A8" s="419"/>
      <c r="B8" s="1290"/>
      <c r="C8" s="1290"/>
      <c r="D8" s="1290"/>
      <c r="E8" s="293"/>
      <c r="F8" s="293"/>
      <c r="G8" s="419"/>
      <c r="H8" s="419"/>
      <c r="I8" s="419"/>
      <c r="J8" s="419"/>
      <c r="K8" s="415"/>
      <c r="L8" s="415"/>
      <c r="M8" s="419"/>
    </row>
    <row r="9" spans="1:15" s="295" customFormat="1" ht="42">
      <c r="A9" s="416" t="s">
        <v>125</v>
      </c>
      <c r="B9" s="1291" t="s">
        <v>126</v>
      </c>
      <c r="C9" s="1291"/>
      <c r="D9" s="416" t="s">
        <v>127</v>
      </c>
      <c r="E9" s="299" t="s">
        <v>2</v>
      </c>
      <c r="F9" s="300" t="s">
        <v>128</v>
      </c>
      <c r="G9" s="300" t="s">
        <v>129</v>
      </c>
      <c r="H9" s="1291" t="s">
        <v>130</v>
      </c>
      <c r="I9" s="1291"/>
      <c r="J9" s="416" t="s">
        <v>127</v>
      </c>
      <c r="K9" s="299" t="s">
        <v>2</v>
      </c>
      <c r="L9" s="299" t="s">
        <v>131</v>
      </c>
      <c r="M9" s="300" t="s">
        <v>132</v>
      </c>
    </row>
    <row r="10" spans="1:15" s="295" customFormat="1" ht="13">
      <c r="A10" s="417">
        <v>1</v>
      </c>
      <c r="B10" s="1292">
        <v>2</v>
      </c>
      <c r="C10" s="1292"/>
      <c r="D10" s="417">
        <v>3</v>
      </c>
      <c r="E10" s="418">
        <v>4</v>
      </c>
      <c r="F10" s="301">
        <v>5</v>
      </c>
      <c r="G10" s="301">
        <v>6</v>
      </c>
      <c r="H10" s="1293">
        <v>7</v>
      </c>
      <c r="I10" s="1293"/>
      <c r="J10" s="418">
        <v>8</v>
      </c>
      <c r="K10" s="418">
        <v>9</v>
      </c>
      <c r="L10" s="418">
        <v>10</v>
      </c>
      <c r="M10" s="301">
        <v>11</v>
      </c>
    </row>
    <row r="11" spans="1:15">
      <c r="A11" s="1236" t="s">
        <v>724</v>
      </c>
      <c r="B11" s="1236"/>
      <c r="C11" s="302"/>
      <c r="D11" s="303"/>
      <c r="E11" s="202"/>
      <c r="F11" s="202"/>
      <c r="G11" s="88"/>
      <c r="H11" s="289"/>
      <c r="I11" s="87"/>
      <c r="J11" s="88"/>
      <c r="K11" s="202"/>
      <c r="L11" s="202"/>
      <c r="M11" s="304"/>
    </row>
    <row r="12" spans="1:15">
      <c r="A12" s="305" t="s">
        <v>134</v>
      </c>
      <c r="B12" s="1269" t="s">
        <v>376</v>
      </c>
      <c r="C12" s="1269"/>
      <c r="D12" s="306" t="s">
        <v>148</v>
      </c>
      <c r="E12" s="307">
        <f>data!D41</f>
        <v>101.66</v>
      </c>
      <c r="F12" s="308">
        <f>data!D68</f>
        <v>100</v>
      </c>
      <c r="G12" s="309">
        <f t="shared" ref="G12:G15" si="0">E12*F12</f>
        <v>10166</v>
      </c>
      <c r="H12" s="1270" t="s">
        <v>404</v>
      </c>
      <c r="I12" s="1271"/>
      <c r="J12" s="500" t="s">
        <v>138</v>
      </c>
      <c r="K12" s="307" t="e">
        <f>data!D48</f>
        <v>#REF!</v>
      </c>
      <c r="L12" s="307">
        <f>data!E48</f>
        <v>1900</v>
      </c>
      <c r="M12" s="309" t="e">
        <f t="shared" ref="M12:M21" si="1">K12*L12</f>
        <v>#REF!</v>
      </c>
    </row>
    <row r="13" spans="1:15" ht="16.25" customHeight="1">
      <c r="A13" s="305" t="s">
        <v>152</v>
      </c>
      <c r="B13" s="1269" t="s">
        <v>681</v>
      </c>
      <c r="C13" s="1269"/>
      <c r="D13" s="306" t="s">
        <v>85</v>
      </c>
      <c r="E13" s="307">
        <f>data!D44</f>
        <v>33</v>
      </c>
      <c r="F13" s="308">
        <f>data!D70</f>
        <v>1200</v>
      </c>
      <c r="G13" s="309">
        <f t="shared" si="0"/>
        <v>39600</v>
      </c>
      <c r="H13" s="1270" t="s">
        <v>682</v>
      </c>
      <c r="I13" s="1271"/>
      <c r="J13" s="500" t="s">
        <v>85</v>
      </c>
      <c r="K13" s="307">
        <f>data!D49</f>
        <v>33</v>
      </c>
      <c r="L13" s="307">
        <f>data!E49</f>
        <v>2110</v>
      </c>
      <c r="M13" s="309">
        <f t="shared" si="1"/>
        <v>69630</v>
      </c>
    </row>
    <row r="14" spans="1:15">
      <c r="A14" s="312" t="s">
        <v>174</v>
      </c>
      <c r="B14" s="1272" t="s">
        <v>675</v>
      </c>
      <c r="C14" s="1273"/>
      <c r="D14" s="306" t="s">
        <v>85</v>
      </c>
      <c r="E14" s="307">
        <f>E13</f>
        <v>33</v>
      </c>
      <c r="F14" s="308">
        <f>data!D74</f>
        <v>250</v>
      </c>
      <c r="G14" s="309">
        <f t="shared" si="0"/>
        <v>8250</v>
      </c>
      <c r="H14" s="1274" t="s">
        <v>683</v>
      </c>
      <c r="I14" s="1275"/>
      <c r="J14" s="500" t="s">
        <v>85</v>
      </c>
      <c r="K14" s="307">
        <f>data!D53</f>
        <v>33</v>
      </c>
      <c r="L14" s="307">
        <f>data!E53</f>
        <v>300</v>
      </c>
      <c r="M14" s="309">
        <f t="shared" si="1"/>
        <v>9900</v>
      </c>
    </row>
    <row r="15" spans="1:15" ht="26.5" customHeight="1">
      <c r="A15" s="313" t="s">
        <v>194</v>
      </c>
      <c r="B15" s="1276" t="s">
        <v>993</v>
      </c>
      <c r="C15" s="1277"/>
      <c r="D15" s="315" t="s">
        <v>86</v>
      </c>
      <c r="E15" s="316">
        <f>data!D42</f>
        <v>102.75</v>
      </c>
      <c r="F15" s="317">
        <f>data!D75</f>
        <v>450</v>
      </c>
      <c r="G15" s="318">
        <f t="shared" si="0"/>
        <v>46237.5</v>
      </c>
      <c r="H15" s="1278" t="s">
        <v>991</v>
      </c>
      <c r="I15" s="1279"/>
      <c r="J15" s="501" t="s">
        <v>63</v>
      </c>
      <c r="K15" s="316" t="e">
        <f>data!D46</f>
        <v>#REF!</v>
      </c>
      <c r="L15" s="316">
        <f>data!E59</f>
        <v>17000</v>
      </c>
      <c r="M15" s="321" t="e">
        <f t="shared" si="1"/>
        <v>#REF!</v>
      </c>
      <c r="O15" s="322"/>
    </row>
    <row r="16" spans="1:15">
      <c r="A16" s="313"/>
      <c r="B16" s="1084"/>
      <c r="C16" s="1085"/>
      <c r="D16" s="1086"/>
      <c r="E16" s="1087"/>
      <c r="F16" s="1088"/>
      <c r="G16" s="1089"/>
      <c r="H16" s="572" t="s">
        <v>990</v>
      </c>
      <c r="I16" s="1090"/>
      <c r="J16" s="1091" t="s">
        <v>144</v>
      </c>
      <c r="K16" s="1092" t="e">
        <f>#REF!</f>
        <v>#REF!</v>
      </c>
      <c r="L16" s="1087">
        <f>data!F59</f>
        <v>150</v>
      </c>
      <c r="M16" s="321" t="e">
        <f t="shared" si="1"/>
        <v>#REF!</v>
      </c>
      <c r="O16" s="322"/>
    </row>
    <row r="17" spans="1:15">
      <c r="A17" s="1096"/>
      <c r="B17" s="1097"/>
      <c r="C17" s="1098"/>
      <c r="D17" s="1099"/>
      <c r="E17" s="1100"/>
      <c r="F17" s="1101"/>
      <c r="G17" s="1102"/>
      <c r="H17" s="1103" t="s">
        <v>1006</v>
      </c>
      <c r="I17" s="1104"/>
      <c r="J17" s="1105" t="s">
        <v>85</v>
      </c>
      <c r="K17" s="1100" t="e">
        <f>#REF!</f>
        <v>#REF!</v>
      </c>
      <c r="L17" s="1100">
        <f>data!E66</f>
        <v>47</v>
      </c>
      <c r="M17" s="321" t="e">
        <f t="shared" si="1"/>
        <v>#REF!</v>
      </c>
      <c r="O17" s="322"/>
    </row>
    <row r="18" spans="1:15">
      <c r="A18" s="1096"/>
      <c r="B18" s="1097"/>
      <c r="C18" s="1098"/>
      <c r="D18" s="1099"/>
      <c r="E18" s="1100"/>
      <c r="F18" s="1101"/>
      <c r="G18" s="1102"/>
      <c r="H18" s="1103" t="s">
        <v>1008</v>
      </c>
      <c r="I18" s="1104"/>
      <c r="J18" s="1105" t="s">
        <v>144</v>
      </c>
      <c r="K18" s="1100" t="e">
        <f>#REF!</f>
        <v>#REF!</v>
      </c>
      <c r="L18" s="1100">
        <f>data!E65</f>
        <v>380</v>
      </c>
      <c r="M18" s="321" t="e">
        <f t="shared" si="1"/>
        <v>#REF!</v>
      </c>
      <c r="O18" s="322"/>
    </row>
    <row r="19" spans="1:15">
      <c r="A19" s="313"/>
      <c r="B19" s="504"/>
      <c r="C19" s="505"/>
      <c r="D19" s="315"/>
      <c r="E19" s="316"/>
      <c r="F19" s="317"/>
      <c r="G19" s="318"/>
      <c r="H19" s="572" t="s">
        <v>726</v>
      </c>
      <c r="I19" s="573"/>
      <c r="J19" s="501" t="s">
        <v>85</v>
      </c>
      <c r="K19" s="316" t="e">
        <f>#REF!</f>
        <v>#REF!</v>
      </c>
      <c r="L19" s="316">
        <f>data!E55</f>
        <v>324</v>
      </c>
      <c r="M19" s="321" t="e">
        <f t="shared" si="1"/>
        <v>#REF!</v>
      </c>
      <c r="O19" s="322"/>
    </row>
    <row r="20" spans="1:15">
      <c r="A20" s="330"/>
      <c r="B20" s="1280"/>
      <c r="C20" s="1281"/>
      <c r="D20" s="331"/>
      <c r="E20" s="209"/>
      <c r="F20" s="210"/>
      <c r="G20" s="332"/>
      <c r="H20" s="1282" t="s">
        <v>684</v>
      </c>
      <c r="I20" s="1283"/>
      <c r="J20" s="502" t="s">
        <v>85</v>
      </c>
      <c r="K20" s="209" t="e">
        <f>#REF!</f>
        <v>#REF!</v>
      </c>
      <c r="L20" s="209">
        <f>data!E54</f>
        <v>16</v>
      </c>
      <c r="M20" s="332" t="e">
        <f t="shared" si="1"/>
        <v>#REF!</v>
      </c>
    </row>
    <row r="21" spans="1:15">
      <c r="A21" s="910"/>
      <c r="B21" s="1285"/>
      <c r="C21" s="1286"/>
      <c r="D21" s="911"/>
      <c r="E21" s="912"/>
      <c r="F21" s="849"/>
      <c r="G21" s="913"/>
      <c r="H21" s="1287" t="s">
        <v>907</v>
      </c>
      <c r="I21" s="1288"/>
      <c r="J21" s="914" t="s">
        <v>85</v>
      </c>
      <c r="K21" s="912" t="e">
        <f>data!D64</f>
        <v>#REF!</v>
      </c>
      <c r="L21" s="912">
        <f>data!J22</f>
        <v>980</v>
      </c>
      <c r="M21" s="332" t="e">
        <f t="shared" si="1"/>
        <v>#REF!</v>
      </c>
    </row>
    <row r="22" spans="1:15">
      <c r="A22" s="88"/>
      <c r="B22" s="335"/>
      <c r="C22" s="88"/>
      <c r="D22" s="88"/>
      <c r="E22" s="1284" t="s">
        <v>145</v>
      </c>
      <c r="F22" s="1284"/>
      <c r="G22" s="336">
        <f>SUM(G12:G20)</f>
        <v>104253.5</v>
      </c>
      <c r="H22" s="87"/>
      <c r="I22" s="87"/>
      <c r="J22" s="88"/>
      <c r="K22" s="1268" t="s">
        <v>146</v>
      </c>
      <c r="L22" s="1268"/>
      <c r="M22" s="337" t="e">
        <f>SUM(M12:M21)</f>
        <v>#REF!</v>
      </c>
    </row>
    <row r="23" spans="1:15" ht="14.5" customHeight="1">
      <c r="A23" s="1239" t="s">
        <v>725</v>
      </c>
      <c r="B23" s="1239"/>
      <c r="C23" s="1239"/>
      <c r="D23" s="1239"/>
      <c r="E23" s="407"/>
      <c r="F23" s="407"/>
      <c r="G23" s="122"/>
      <c r="H23" s="503"/>
      <c r="I23" s="119"/>
      <c r="J23" s="120"/>
      <c r="K23" s="408"/>
      <c r="L23" s="408"/>
      <c r="M23" s="122"/>
    </row>
    <row r="24" spans="1:15">
      <c r="A24" s="124" t="s">
        <v>134</v>
      </c>
      <c r="B24" s="1267" t="s">
        <v>685</v>
      </c>
      <c r="C24" s="1267"/>
      <c r="D24" s="412" t="s">
        <v>63</v>
      </c>
      <c r="E24" s="82" t="e">
        <f>data!D46</f>
        <v>#REF!</v>
      </c>
      <c r="F24" s="367">
        <f>data!D76</f>
        <v>500</v>
      </c>
      <c r="G24" s="124" t="e">
        <f>E24*F24</f>
        <v>#REF!</v>
      </c>
      <c r="H24" s="368" t="s">
        <v>727</v>
      </c>
      <c r="I24" s="368" t="e">
        <f>#REF!</f>
        <v>#REF!</v>
      </c>
      <c r="J24" s="182" t="s">
        <v>155</v>
      </c>
      <c r="K24" s="421" t="e">
        <f>data!D62</f>
        <v>#REF!</v>
      </c>
      <c r="L24" s="210">
        <f>data!E62</f>
        <v>15000</v>
      </c>
      <c r="M24" s="124" t="e">
        <f>K24*L24</f>
        <v>#REF!</v>
      </c>
    </row>
    <row r="25" spans="1:15">
      <c r="A25" s="124" t="s">
        <v>152</v>
      </c>
      <c r="B25" s="1267" t="s">
        <v>728</v>
      </c>
      <c r="C25" s="1267"/>
      <c r="D25" s="412" t="s">
        <v>343</v>
      </c>
      <c r="E25" s="446" t="e">
        <f>#REF!</f>
        <v>#REF!</v>
      </c>
      <c r="F25" s="367">
        <f>data!D77</f>
        <v>5000</v>
      </c>
      <c r="G25" s="124" t="e">
        <f>E25*F25</f>
        <v>#REF!</v>
      </c>
      <c r="H25" s="127"/>
      <c r="I25" s="127"/>
      <c r="J25" s="124"/>
      <c r="K25" s="369"/>
      <c r="L25" s="369"/>
      <c r="M25" s="124"/>
    </row>
    <row r="26" spans="1:15">
      <c r="A26" s="120"/>
      <c r="B26" s="119"/>
      <c r="C26" s="120"/>
      <c r="D26" s="120"/>
      <c r="E26" s="1256" t="s">
        <v>145</v>
      </c>
      <c r="F26" s="1257"/>
      <c r="G26" s="132" t="e">
        <f>SUM(G24:G25)</f>
        <v>#REF!</v>
      </c>
      <c r="H26" s="119"/>
      <c r="I26" s="119"/>
      <c r="J26" s="120"/>
      <c r="K26" s="1242" t="s">
        <v>157</v>
      </c>
      <c r="L26" s="1243"/>
      <c r="M26" s="132" t="e">
        <f>SUM(M24:M25)</f>
        <v>#REF!</v>
      </c>
    </row>
    <row r="27" spans="1:15">
      <c r="A27" s="120"/>
      <c r="B27" s="119"/>
      <c r="C27" s="120"/>
      <c r="D27" s="120"/>
      <c r="E27" s="407"/>
      <c r="F27" s="407"/>
      <c r="G27" s="122"/>
      <c r="H27" s="119"/>
      <c r="I27" s="119"/>
      <c r="J27" s="120"/>
      <c r="K27" s="408"/>
      <c r="L27" s="408"/>
      <c r="M27" s="122"/>
    </row>
    <row r="29" spans="1:15" ht="14.5" customHeight="1">
      <c r="D29" s="1266" t="s">
        <v>158</v>
      </c>
      <c r="E29" s="1266"/>
      <c r="F29" s="1266"/>
      <c r="G29" s="1266"/>
      <c r="H29" s="973" t="e">
        <f>G22+G26</f>
        <v>#REF!</v>
      </c>
      <c r="I29" s="373"/>
    </row>
    <row r="30" spans="1:15" ht="14.5" customHeight="1">
      <c r="D30" s="1266" t="s">
        <v>159</v>
      </c>
      <c r="E30" s="1266"/>
      <c r="F30" s="1266"/>
      <c r="G30" s="1266"/>
      <c r="H30" s="973" t="e">
        <f>H29*0.03</f>
        <v>#REF!</v>
      </c>
      <c r="I30" s="373"/>
    </row>
    <row r="31" spans="1:15" ht="16.25" customHeight="1">
      <c r="D31" s="1266" t="s">
        <v>160</v>
      </c>
      <c r="E31" s="1266"/>
      <c r="F31" s="1266"/>
      <c r="G31" s="1266"/>
      <c r="H31" s="973" t="e">
        <f>H29*0.16</f>
        <v>#REF!</v>
      </c>
      <c r="I31" s="373"/>
    </row>
    <row r="32" spans="1:15">
      <c r="D32" s="1266" t="s">
        <v>20</v>
      </c>
      <c r="E32" s="1266"/>
      <c r="F32" s="1266"/>
      <c r="G32" s="1266"/>
      <c r="H32" s="973" t="e">
        <f>H29+H30+H31</f>
        <v>#REF!</v>
      </c>
      <c r="I32" s="373"/>
    </row>
    <row r="33" spans="4:12" ht="14.5" customHeight="1">
      <c r="D33" s="1266" t="s">
        <v>161</v>
      </c>
      <c r="E33" s="1266"/>
      <c r="F33" s="1266"/>
      <c r="G33" s="1266"/>
      <c r="H33" s="973" t="e">
        <f>M22</f>
        <v>#REF!</v>
      </c>
      <c r="I33" s="373"/>
    </row>
    <row r="34" spans="4:12" ht="14.5" customHeight="1">
      <c r="D34" s="1266" t="s">
        <v>863</v>
      </c>
      <c r="E34" s="1266"/>
      <c r="F34" s="1266"/>
      <c r="G34" s="1266"/>
      <c r="H34" s="973" t="e">
        <f>H33*0.035</f>
        <v>#REF!</v>
      </c>
      <c r="I34" s="373"/>
    </row>
    <row r="35" spans="4:12" ht="14.5" customHeight="1">
      <c r="D35" s="1266" t="s">
        <v>162</v>
      </c>
      <c r="E35" s="1266"/>
      <c r="F35" s="1266"/>
      <c r="G35" s="1266"/>
      <c r="H35" s="973" t="e">
        <f>M26</f>
        <v>#REF!</v>
      </c>
      <c r="I35" s="373"/>
    </row>
    <row r="36" spans="4:12">
      <c r="D36" s="1266" t="s">
        <v>20</v>
      </c>
      <c r="E36" s="1266"/>
      <c r="F36" s="1266"/>
      <c r="G36" s="1266"/>
      <c r="H36" s="973" t="e">
        <f>H33+H34+H35</f>
        <v>#REF!</v>
      </c>
      <c r="I36" s="373"/>
    </row>
    <row r="37" spans="4:12">
      <c r="D37" s="1294" t="s">
        <v>163</v>
      </c>
      <c r="E37" s="1294"/>
      <c r="F37" s="1294"/>
      <c r="G37" s="1294"/>
      <c r="H37" s="974" t="e">
        <f>H32+H36</f>
        <v>#REF!</v>
      </c>
      <c r="I37" s="374"/>
    </row>
    <row r="38" spans="4:12" ht="15.5" customHeight="1" thickBot="1">
      <c r="D38" s="1295" t="s">
        <v>164</v>
      </c>
      <c r="E38" s="1295"/>
      <c r="F38" s="1295"/>
      <c r="G38" s="1295"/>
      <c r="H38" s="975" t="e">
        <f>H29*0.03</f>
        <v>#REF!</v>
      </c>
      <c r="I38" s="375"/>
    </row>
    <row r="39" spans="4:12" ht="17" thickBot="1">
      <c r="D39" s="1296" t="s">
        <v>165</v>
      </c>
      <c r="E39" s="1296"/>
      <c r="F39" s="1296"/>
      <c r="G39" s="1296"/>
      <c r="H39" s="432" t="e">
        <f>H37+H38</f>
        <v>#REF!</v>
      </c>
      <c r="I39" s="375"/>
      <c r="K39" s="139"/>
      <c r="L39" s="376"/>
    </row>
  </sheetData>
  <mergeCells count="49">
    <mergeCell ref="D37:G37"/>
    <mergeCell ref="D38:G38"/>
    <mergeCell ref="D39:G39"/>
    <mergeCell ref="H1:M1"/>
    <mergeCell ref="A2:B2"/>
    <mergeCell ref="D2:F2"/>
    <mergeCell ref="H2:M2"/>
    <mergeCell ref="A3:B3"/>
    <mergeCell ref="D3:F3"/>
    <mergeCell ref="H3:J3"/>
    <mergeCell ref="A11:B11"/>
    <mergeCell ref="H4:M4"/>
    <mergeCell ref="A5:B5"/>
    <mergeCell ref="D5:F5"/>
    <mergeCell ref="I5:M5"/>
    <mergeCell ref="A6:M6"/>
    <mergeCell ref="A7:M7"/>
    <mergeCell ref="B8:D8"/>
    <mergeCell ref="B9:C9"/>
    <mergeCell ref="H9:I9"/>
    <mergeCell ref="B10:C10"/>
    <mergeCell ref="H10:I10"/>
    <mergeCell ref="K22:L22"/>
    <mergeCell ref="K26:L26"/>
    <mergeCell ref="B12:C12"/>
    <mergeCell ref="H12:I12"/>
    <mergeCell ref="B13:C13"/>
    <mergeCell ref="H13:I13"/>
    <mergeCell ref="B14:C14"/>
    <mergeCell ref="H14:I14"/>
    <mergeCell ref="B15:C15"/>
    <mergeCell ref="H15:I15"/>
    <mergeCell ref="B20:C20"/>
    <mergeCell ref="H20:I20"/>
    <mergeCell ref="E22:F22"/>
    <mergeCell ref="B21:C21"/>
    <mergeCell ref="H21:I21"/>
    <mergeCell ref="A23:D23"/>
    <mergeCell ref="B24:C24"/>
    <mergeCell ref="B25:C25"/>
    <mergeCell ref="E26:F26"/>
    <mergeCell ref="D29:G29"/>
    <mergeCell ref="D30:G30"/>
    <mergeCell ref="D36:G36"/>
    <mergeCell ref="D31:G31"/>
    <mergeCell ref="D32:G32"/>
    <mergeCell ref="D33:G33"/>
    <mergeCell ref="D34:G34"/>
    <mergeCell ref="D35:G35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97AA-5AB5-437A-AD9B-2DBC02466466}">
  <dimension ref="A1:O39"/>
  <sheetViews>
    <sheetView topLeftCell="A7" workbookViewId="0">
      <selection activeCell="K21" sqref="K21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9.1640625" style="372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8.33203125" bestFit="1" customWidth="1"/>
    <col min="12" max="12" width="12.33203125" style="372" customWidth="1"/>
    <col min="13" max="13" width="12.33203125" customWidth="1"/>
  </cols>
  <sheetData>
    <row r="1" spans="1:15" s="295" customFormat="1" ht="14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">
      <c r="A4" s="52" t="s">
        <v>397</v>
      </c>
      <c r="B4" s="52"/>
      <c r="C4" s="49"/>
      <c r="D4" s="409"/>
      <c r="E4" s="383"/>
      <c r="F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686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A8" s="419"/>
      <c r="B8" s="1290"/>
      <c r="C8" s="1290"/>
      <c r="D8" s="1290"/>
      <c r="E8" s="293"/>
      <c r="F8" s="293"/>
      <c r="G8" s="419"/>
      <c r="H8" s="419"/>
      <c r="I8" s="419"/>
      <c r="J8" s="419"/>
      <c r="K8" s="415"/>
      <c r="L8" s="415"/>
      <c r="M8" s="419"/>
    </row>
    <row r="9" spans="1:15" s="295" customFormat="1" ht="42">
      <c r="A9" s="416" t="s">
        <v>125</v>
      </c>
      <c r="B9" s="1291" t="s">
        <v>126</v>
      </c>
      <c r="C9" s="1291"/>
      <c r="D9" s="416" t="s">
        <v>127</v>
      </c>
      <c r="E9" s="299" t="s">
        <v>2</v>
      </c>
      <c r="F9" s="300" t="s">
        <v>128</v>
      </c>
      <c r="G9" s="300" t="s">
        <v>129</v>
      </c>
      <c r="H9" s="1291" t="s">
        <v>130</v>
      </c>
      <c r="I9" s="1291"/>
      <c r="J9" s="416" t="s">
        <v>127</v>
      </c>
      <c r="K9" s="299" t="s">
        <v>2</v>
      </c>
      <c r="L9" s="299" t="s">
        <v>131</v>
      </c>
      <c r="M9" s="300" t="s">
        <v>132</v>
      </c>
    </row>
    <row r="10" spans="1:15" s="295" customFormat="1" ht="13">
      <c r="A10" s="417">
        <v>1</v>
      </c>
      <c r="B10" s="1292">
        <v>2</v>
      </c>
      <c r="C10" s="1292"/>
      <c r="D10" s="417">
        <v>3</v>
      </c>
      <c r="E10" s="418">
        <v>4</v>
      </c>
      <c r="F10" s="301">
        <v>5</v>
      </c>
      <c r="G10" s="301">
        <v>6</v>
      </c>
      <c r="H10" s="1293">
        <v>7</v>
      </c>
      <c r="I10" s="1293"/>
      <c r="J10" s="418">
        <v>8</v>
      </c>
      <c r="K10" s="418">
        <v>9</v>
      </c>
      <c r="L10" s="418">
        <v>10</v>
      </c>
      <c r="M10" s="301">
        <v>11</v>
      </c>
    </row>
    <row r="11" spans="1:15">
      <c r="A11" s="1236" t="s">
        <v>730</v>
      </c>
      <c r="B11" s="1236"/>
      <c r="C11" s="302"/>
      <c r="D11" s="303"/>
      <c r="E11" s="202"/>
      <c r="F11" s="202"/>
      <c r="G11" s="88"/>
      <c r="H11" s="289"/>
      <c r="I11" s="87"/>
      <c r="J11" s="88"/>
      <c r="K11" s="202"/>
      <c r="L11" s="202"/>
      <c r="M11" s="304"/>
    </row>
    <row r="12" spans="1:15">
      <c r="A12" s="305" t="s">
        <v>134</v>
      </c>
      <c r="B12" s="1269" t="s">
        <v>376</v>
      </c>
      <c r="C12" s="1269"/>
      <c r="D12" s="306" t="s">
        <v>148</v>
      </c>
      <c r="E12" s="307">
        <f>data!D41</f>
        <v>101.66</v>
      </c>
      <c r="F12" s="308">
        <f>data!D68</f>
        <v>100</v>
      </c>
      <c r="G12" s="309">
        <f t="shared" ref="G12:G15" si="0">E12*F12</f>
        <v>10166</v>
      </c>
      <c r="H12" s="1270" t="s">
        <v>404</v>
      </c>
      <c r="I12" s="1271"/>
      <c r="J12" s="500" t="s">
        <v>138</v>
      </c>
      <c r="K12" s="307" t="e">
        <f>#REF!</f>
        <v>#REF!</v>
      </c>
      <c r="L12" s="307">
        <f>data!P4</f>
        <v>1900</v>
      </c>
      <c r="M12" s="309" t="e">
        <f t="shared" ref="M12:M21" si="1">K12*L12</f>
        <v>#REF!</v>
      </c>
    </row>
    <row r="13" spans="1:15" ht="16.25" customHeight="1">
      <c r="A13" s="305" t="s">
        <v>152</v>
      </c>
      <c r="B13" s="1269" t="s">
        <v>681</v>
      </c>
      <c r="C13" s="1269"/>
      <c r="D13" s="306" t="s">
        <v>85</v>
      </c>
      <c r="E13" s="307">
        <f>data!D44</f>
        <v>33</v>
      </c>
      <c r="F13" s="308">
        <f>data!D71</f>
        <v>1200</v>
      </c>
      <c r="G13" s="309">
        <f t="shared" si="0"/>
        <v>39600</v>
      </c>
      <c r="H13" s="1270" t="s">
        <v>687</v>
      </c>
      <c r="I13" s="1271"/>
      <c r="J13" s="500" t="s">
        <v>85</v>
      </c>
      <c r="K13" s="307">
        <f>E13</f>
        <v>33</v>
      </c>
      <c r="L13" s="307">
        <f>data!E50</f>
        <v>2440</v>
      </c>
      <c r="M13" s="309">
        <f t="shared" si="1"/>
        <v>80520</v>
      </c>
    </row>
    <row r="14" spans="1:15">
      <c r="A14" s="312" t="s">
        <v>174</v>
      </c>
      <c r="B14" s="1272" t="s">
        <v>675</v>
      </c>
      <c r="C14" s="1273"/>
      <c r="D14" s="306" t="s">
        <v>85</v>
      </c>
      <c r="E14" s="307">
        <f>E13</f>
        <v>33</v>
      </c>
      <c r="F14" s="308">
        <f>data!D74</f>
        <v>250</v>
      </c>
      <c r="G14" s="309">
        <f t="shared" si="0"/>
        <v>8250</v>
      </c>
      <c r="H14" s="1274" t="s">
        <v>683</v>
      </c>
      <c r="I14" s="1275"/>
      <c r="J14" s="500" t="s">
        <v>85</v>
      </c>
      <c r="K14" s="307">
        <f>K13</f>
        <v>33</v>
      </c>
      <c r="L14" s="307">
        <f>data!E53</f>
        <v>300</v>
      </c>
      <c r="M14" s="309">
        <f t="shared" si="1"/>
        <v>9900</v>
      </c>
    </row>
    <row r="15" spans="1:15" ht="27.5" customHeight="1">
      <c r="A15" s="313" t="s">
        <v>194</v>
      </c>
      <c r="B15" s="1276" t="s">
        <v>993</v>
      </c>
      <c r="C15" s="1277"/>
      <c r="D15" s="315" t="s">
        <v>86</v>
      </c>
      <c r="E15" s="316">
        <f>data!D42</f>
        <v>102.75</v>
      </c>
      <c r="F15" s="317">
        <f>data!D75</f>
        <v>450</v>
      </c>
      <c r="G15" s="318">
        <f t="shared" si="0"/>
        <v>46237.5</v>
      </c>
      <c r="H15" s="1278" t="s">
        <v>991</v>
      </c>
      <c r="I15" s="1279"/>
      <c r="J15" s="501" t="s">
        <v>63</v>
      </c>
      <c r="K15" s="316" t="e">
        <f>#REF!</f>
        <v>#REF!</v>
      </c>
      <c r="L15" s="316">
        <f>data!E59</f>
        <v>17000</v>
      </c>
      <c r="M15" s="321" t="e">
        <f t="shared" si="1"/>
        <v>#REF!</v>
      </c>
      <c r="O15" s="322"/>
    </row>
    <row r="16" spans="1:15" ht="15" customHeight="1">
      <c r="A16" s="1096"/>
      <c r="B16" s="1097"/>
      <c r="C16" s="1098"/>
      <c r="D16" s="1099"/>
      <c r="E16" s="1100"/>
      <c r="F16" s="1101"/>
      <c r="G16" s="1102"/>
      <c r="H16" s="1103" t="s">
        <v>990</v>
      </c>
      <c r="I16" s="1104"/>
      <c r="J16" s="1105" t="s">
        <v>144</v>
      </c>
      <c r="K16" s="1100" t="e">
        <f>#REF!</f>
        <v>#REF!</v>
      </c>
      <c r="L16" s="1100">
        <f>data!F59</f>
        <v>150</v>
      </c>
      <c r="M16" s="321" t="e">
        <f t="shared" si="1"/>
        <v>#REF!</v>
      </c>
      <c r="O16" s="322"/>
    </row>
    <row r="17" spans="1:15" ht="15" customHeight="1">
      <c r="A17" s="1096"/>
      <c r="B17" s="1097"/>
      <c r="C17" s="1098"/>
      <c r="D17" s="1099"/>
      <c r="E17" s="1100"/>
      <c r="F17" s="1101"/>
      <c r="G17" s="1102"/>
      <c r="H17" s="1103" t="s">
        <v>1006</v>
      </c>
      <c r="I17" s="1104"/>
      <c r="J17" s="1105" t="s">
        <v>85</v>
      </c>
      <c r="K17" s="1100" t="e">
        <f>#REF!</f>
        <v>#REF!</v>
      </c>
      <c r="L17" s="1100">
        <f>data!E66</f>
        <v>47</v>
      </c>
      <c r="M17" s="321" t="e">
        <f t="shared" si="1"/>
        <v>#REF!</v>
      </c>
      <c r="O17" s="322"/>
    </row>
    <row r="18" spans="1:15" ht="15" customHeight="1">
      <c r="A18" s="1096"/>
      <c r="B18" s="1097"/>
      <c r="C18" s="1098"/>
      <c r="D18" s="1099"/>
      <c r="E18" s="1100"/>
      <c r="F18" s="1101"/>
      <c r="G18" s="1102"/>
      <c r="H18" s="1103" t="s">
        <v>1008</v>
      </c>
      <c r="I18" s="1104"/>
      <c r="J18" s="1105" t="s">
        <v>144</v>
      </c>
      <c r="K18" s="1100" t="e">
        <f>#REF!</f>
        <v>#REF!</v>
      </c>
      <c r="L18" s="1100">
        <f>data!E65</f>
        <v>380</v>
      </c>
      <c r="M18" s="321" t="e">
        <f t="shared" si="1"/>
        <v>#REF!</v>
      </c>
      <c r="O18" s="322"/>
    </row>
    <row r="19" spans="1:15">
      <c r="A19" s="313"/>
      <c r="B19" s="504"/>
      <c r="C19" s="505"/>
      <c r="D19" s="315"/>
      <c r="E19" s="316"/>
      <c r="F19" s="317"/>
      <c r="G19" s="318"/>
      <c r="H19" s="572" t="s">
        <v>726</v>
      </c>
      <c r="I19" s="573"/>
      <c r="J19" s="501" t="s">
        <v>85</v>
      </c>
      <c r="K19" s="316" t="e">
        <f>#REF!</f>
        <v>#REF!</v>
      </c>
      <c r="L19" s="316">
        <f>data!E56</f>
        <v>324</v>
      </c>
      <c r="M19" s="321" t="e">
        <f t="shared" si="1"/>
        <v>#REF!</v>
      </c>
      <c r="O19" s="322"/>
    </row>
    <row r="20" spans="1:15">
      <c r="A20" s="330"/>
      <c r="B20" s="1285"/>
      <c r="C20" s="1286"/>
      <c r="D20" s="331"/>
      <c r="E20" s="209"/>
      <c r="F20" s="210"/>
      <c r="G20" s="332"/>
      <c r="H20" s="1287" t="s">
        <v>684</v>
      </c>
      <c r="I20" s="1288"/>
      <c r="J20" s="502" t="s">
        <v>85</v>
      </c>
      <c r="K20" s="209" t="e">
        <f>#REF!</f>
        <v>#REF!</v>
      </c>
      <c r="L20" s="209">
        <f>data!E54</f>
        <v>16</v>
      </c>
      <c r="M20" s="332" t="e">
        <f t="shared" si="1"/>
        <v>#REF!</v>
      </c>
    </row>
    <row r="21" spans="1:15">
      <c r="A21" s="910"/>
      <c r="B21" s="1285"/>
      <c r="C21" s="1286"/>
      <c r="D21" s="911"/>
      <c r="E21" s="912"/>
      <c r="F21" s="849"/>
      <c r="G21" s="913"/>
      <c r="H21" s="1287" t="s">
        <v>907</v>
      </c>
      <c r="I21" s="1288"/>
      <c r="J21" s="914" t="s">
        <v>85</v>
      </c>
      <c r="K21" s="912" t="e">
        <f>data!D64</f>
        <v>#REF!</v>
      </c>
      <c r="L21" s="912">
        <f>data!J22</f>
        <v>980</v>
      </c>
      <c r="M21" s="332" t="e">
        <f t="shared" si="1"/>
        <v>#REF!</v>
      </c>
    </row>
    <row r="22" spans="1:15">
      <c r="A22" s="88"/>
      <c r="B22" s="335"/>
      <c r="C22" s="88"/>
      <c r="D22" s="88"/>
      <c r="E22" s="1284" t="s">
        <v>145</v>
      </c>
      <c r="F22" s="1284"/>
      <c r="G22" s="336">
        <f>SUM(G12:G20)</f>
        <v>104253.5</v>
      </c>
      <c r="H22" s="87"/>
      <c r="I22" s="87"/>
      <c r="J22" s="88"/>
      <c r="K22" s="1268" t="s">
        <v>146</v>
      </c>
      <c r="L22" s="1268"/>
      <c r="M22" s="337" t="e">
        <f>SUM(M12:M21)</f>
        <v>#REF!</v>
      </c>
    </row>
    <row r="23" spans="1:15">
      <c r="A23" s="1300" t="s">
        <v>729</v>
      </c>
      <c r="B23" s="1249"/>
      <c r="C23" s="122"/>
      <c r="D23" s="120"/>
      <c r="E23" s="407"/>
      <c r="F23" s="407"/>
      <c r="G23" s="122"/>
      <c r="H23" s="503"/>
      <c r="I23" s="119"/>
      <c r="J23" s="120"/>
      <c r="K23" s="408"/>
      <c r="L23" s="408"/>
      <c r="M23" s="122"/>
    </row>
    <row r="24" spans="1:15">
      <c r="A24" s="124" t="s">
        <v>134</v>
      </c>
      <c r="B24" s="1267" t="s">
        <v>685</v>
      </c>
      <c r="C24" s="1267"/>
      <c r="D24" s="412" t="s">
        <v>63</v>
      </c>
      <c r="E24" s="82" t="e">
        <f>#REF!</f>
        <v>#REF!</v>
      </c>
      <c r="F24" s="367">
        <f>data!D76</f>
        <v>500</v>
      </c>
      <c r="G24" s="124" t="e">
        <f>E24*F24</f>
        <v>#REF!</v>
      </c>
      <c r="H24" s="368" t="s">
        <v>727</v>
      </c>
      <c r="I24" s="368" t="e">
        <f>#REF!</f>
        <v>#REF!</v>
      </c>
      <c r="J24" s="182" t="s">
        <v>155</v>
      </c>
      <c r="K24" s="421" t="e">
        <f>#REF!</f>
        <v>#REF!</v>
      </c>
      <c r="L24" s="210">
        <f>data!E63</f>
        <v>15000</v>
      </c>
      <c r="M24" s="124" t="e">
        <f>K24*L24</f>
        <v>#REF!</v>
      </c>
    </row>
    <row r="25" spans="1:15">
      <c r="A25" s="124" t="s">
        <v>152</v>
      </c>
      <c r="B25" s="1267" t="s">
        <v>728</v>
      </c>
      <c r="C25" s="1267"/>
      <c r="D25" s="412" t="s">
        <v>343</v>
      </c>
      <c r="E25" s="446" t="e">
        <f>#REF!</f>
        <v>#REF!</v>
      </c>
      <c r="F25" s="367">
        <f>data!D77</f>
        <v>5000</v>
      </c>
      <c r="G25" s="124" t="e">
        <f>E25*F25</f>
        <v>#REF!</v>
      </c>
      <c r="H25" s="127"/>
      <c r="I25" s="127"/>
      <c r="J25" s="124"/>
      <c r="K25" s="369"/>
      <c r="L25" s="369"/>
      <c r="M25" s="124"/>
    </row>
    <row r="26" spans="1:15">
      <c r="A26" s="120"/>
      <c r="B26" s="119"/>
      <c r="C26" s="120"/>
      <c r="D26" s="120"/>
      <c r="E26" s="1256" t="s">
        <v>145</v>
      </c>
      <c r="F26" s="1257"/>
      <c r="G26" s="132" t="e">
        <f>SUM(G24:G25)</f>
        <v>#REF!</v>
      </c>
      <c r="H26" s="119"/>
      <c r="I26" s="119"/>
      <c r="J26" s="120"/>
      <c r="K26" s="1242" t="s">
        <v>157</v>
      </c>
      <c r="L26" s="1243"/>
      <c r="M26" s="132" t="e">
        <f>SUM(M24:M25)</f>
        <v>#REF!</v>
      </c>
    </row>
    <row r="27" spans="1:15">
      <c r="A27" s="120"/>
      <c r="B27" s="119"/>
      <c r="C27" s="120"/>
      <c r="D27" s="120"/>
      <c r="E27" s="407"/>
      <c r="F27" s="407"/>
      <c r="G27" s="122"/>
      <c r="H27" s="119"/>
      <c r="I27" s="119"/>
      <c r="J27" s="120"/>
      <c r="K27" s="408"/>
      <c r="L27" s="408"/>
      <c r="M27" s="122"/>
    </row>
    <row r="29" spans="1:15" ht="14.5" customHeight="1">
      <c r="D29" s="1266" t="s">
        <v>158</v>
      </c>
      <c r="E29" s="1266"/>
      <c r="F29" s="1266"/>
      <c r="G29" s="1266"/>
      <c r="H29" s="134" t="e">
        <f>G22+G26</f>
        <v>#REF!</v>
      </c>
      <c r="I29" s="373"/>
    </row>
    <row r="30" spans="1:15" ht="17.5" customHeight="1">
      <c r="D30" s="1266" t="s">
        <v>159</v>
      </c>
      <c r="E30" s="1266"/>
      <c r="F30" s="1266"/>
      <c r="G30" s="1266"/>
      <c r="H30" s="134" t="e">
        <f>H29*0.03</f>
        <v>#REF!</v>
      </c>
      <c r="I30" s="373"/>
    </row>
    <row r="31" spans="1:15" ht="16.25" customHeight="1">
      <c r="D31" s="1266" t="s">
        <v>160</v>
      </c>
      <c r="E31" s="1266"/>
      <c r="F31" s="1266"/>
      <c r="G31" s="1266"/>
      <c r="H31" s="134" t="e">
        <f>H29*0.16</f>
        <v>#REF!</v>
      </c>
      <c r="I31" s="373"/>
    </row>
    <row r="32" spans="1:15">
      <c r="D32" s="1266" t="s">
        <v>20</v>
      </c>
      <c r="E32" s="1266"/>
      <c r="F32" s="1266"/>
      <c r="G32" s="1266"/>
      <c r="H32" s="134" t="e">
        <f>H29+H30+H31</f>
        <v>#REF!</v>
      </c>
      <c r="I32" s="373"/>
    </row>
    <row r="33" spans="4:12" ht="14.5" customHeight="1">
      <c r="D33" s="1266" t="s">
        <v>161</v>
      </c>
      <c r="E33" s="1266"/>
      <c r="F33" s="1266"/>
      <c r="G33" s="1266"/>
      <c r="H33" s="134" t="e">
        <f>M22</f>
        <v>#REF!</v>
      </c>
      <c r="I33" s="373"/>
    </row>
    <row r="34" spans="4:12" ht="15.5" customHeight="1">
      <c r="D34" s="1266" t="s">
        <v>863</v>
      </c>
      <c r="E34" s="1266"/>
      <c r="F34" s="1266"/>
      <c r="G34" s="1266"/>
      <c r="H34" s="134" t="e">
        <f>H33*0.035</f>
        <v>#REF!</v>
      </c>
      <c r="I34" s="373"/>
    </row>
    <row r="35" spans="4:12" ht="14.5" customHeight="1">
      <c r="D35" s="1266" t="s">
        <v>162</v>
      </c>
      <c r="E35" s="1266"/>
      <c r="F35" s="1266"/>
      <c r="G35" s="1266"/>
      <c r="H35" s="134" t="e">
        <f>M26</f>
        <v>#REF!</v>
      </c>
      <c r="I35" s="373"/>
    </row>
    <row r="36" spans="4:12">
      <c r="D36" s="1266" t="s">
        <v>20</v>
      </c>
      <c r="E36" s="1266"/>
      <c r="F36" s="1266"/>
      <c r="G36" s="1266"/>
      <c r="H36" s="134" t="e">
        <f>H33+H34+H35</f>
        <v>#REF!</v>
      </c>
      <c r="I36" s="373"/>
    </row>
    <row r="37" spans="4:12">
      <c r="D37" s="1294" t="s">
        <v>163</v>
      </c>
      <c r="E37" s="1294"/>
      <c r="F37" s="1294"/>
      <c r="G37" s="1294"/>
      <c r="H37" s="499" t="e">
        <f>H32+H36</f>
        <v>#REF!</v>
      </c>
      <c r="I37" s="374"/>
    </row>
    <row r="38" spans="4:12" ht="16" thickBot="1">
      <c r="D38" s="1295" t="s">
        <v>164</v>
      </c>
      <c r="E38" s="1295"/>
      <c r="F38" s="1295"/>
      <c r="G38" s="1295"/>
      <c r="H38" s="211" t="e">
        <f>H29*0.03</f>
        <v>#REF!</v>
      </c>
      <c r="I38" s="375"/>
    </row>
    <row r="39" spans="4:12" ht="17" thickBot="1">
      <c r="D39" s="1296" t="s">
        <v>165</v>
      </c>
      <c r="E39" s="1296"/>
      <c r="F39" s="1296"/>
      <c r="G39" s="1296"/>
      <c r="H39" s="432" t="e">
        <f>H37+H38</f>
        <v>#REF!</v>
      </c>
      <c r="I39" s="375"/>
      <c r="K39" s="139"/>
      <c r="L39" s="376"/>
    </row>
  </sheetData>
  <mergeCells count="49">
    <mergeCell ref="D39:G39"/>
    <mergeCell ref="D34:G34"/>
    <mergeCell ref="D35:G35"/>
    <mergeCell ref="D36:G36"/>
    <mergeCell ref="D37:G37"/>
    <mergeCell ref="D38:G38"/>
    <mergeCell ref="H1:M1"/>
    <mergeCell ref="A2:B2"/>
    <mergeCell ref="D2:F2"/>
    <mergeCell ref="H2:M2"/>
    <mergeCell ref="A3:B3"/>
    <mergeCell ref="D3:F3"/>
    <mergeCell ref="H3:J3"/>
    <mergeCell ref="A11:B11"/>
    <mergeCell ref="H4:M4"/>
    <mergeCell ref="A5:B5"/>
    <mergeCell ref="D5:F5"/>
    <mergeCell ref="I5:M5"/>
    <mergeCell ref="A6:M6"/>
    <mergeCell ref="A7:M7"/>
    <mergeCell ref="B8:D8"/>
    <mergeCell ref="B9:C9"/>
    <mergeCell ref="H9:I9"/>
    <mergeCell ref="B10:C10"/>
    <mergeCell ref="H10:I10"/>
    <mergeCell ref="B12:C12"/>
    <mergeCell ref="H12:I12"/>
    <mergeCell ref="B13:C13"/>
    <mergeCell ref="H13:I13"/>
    <mergeCell ref="B14:C14"/>
    <mergeCell ref="H14:I14"/>
    <mergeCell ref="A23:B23"/>
    <mergeCell ref="B24:C24"/>
    <mergeCell ref="B25:C25"/>
    <mergeCell ref="E26:F26"/>
    <mergeCell ref="K22:L22"/>
    <mergeCell ref="K26:L26"/>
    <mergeCell ref="B15:C15"/>
    <mergeCell ref="H15:I15"/>
    <mergeCell ref="B20:C20"/>
    <mergeCell ref="H20:I20"/>
    <mergeCell ref="E22:F22"/>
    <mergeCell ref="B21:C21"/>
    <mergeCell ref="H21:I21"/>
    <mergeCell ref="D29:G29"/>
    <mergeCell ref="D30:G30"/>
    <mergeCell ref="D31:G31"/>
    <mergeCell ref="D32:G32"/>
    <mergeCell ref="D33:G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24E3-735E-4A17-9B32-9C1140A4FF6A}">
  <dimension ref="A1:O39"/>
  <sheetViews>
    <sheetView topLeftCell="A4" workbookViewId="0">
      <selection activeCell="N17" sqref="N17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9.1640625" style="372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8.33203125" bestFit="1" customWidth="1"/>
    <col min="12" max="12" width="12.33203125" style="372" customWidth="1"/>
    <col min="13" max="13" width="12.33203125" customWidth="1"/>
  </cols>
  <sheetData>
    <row r="1" spans="1:15" s="295" customFormat="1" ht="14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">
      <c r="A4" s="52" t="s">
        <v>397</v>
      </c>
      <c r="B4" s="52"/>
      <c r="C4" s="49"/>
      <c r="D4" s="409"/>
      <c r="E4" s="383"/>
      <c r="F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688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A8" s="419"/>
      <c r="B8" s="1290"/>
      <c r="C8" s="1290"/>
      <c r="D8" s="1290"/>
      <c r="E8" s="293"/>
      <c r="F8" s="293"/>
      <c r="G8" s="419"/>
      <c r="H8" s="419"/>
      <c r="I8" s="419"/>
      <c r="J8" s="419"/>
      <c r="K8" s="415"/>
      <c r="L8" s="415"/>
      <c r="M8" s="419"/>
    </row>
    <row r="9" spans="1:15" s="295" customFormat="1" ht="42">
      <c r="A9" s="416" t="s">
        <v>125</v>
      </c>
      <c r="B9" s="1291" t="s">
        <v>126</v>
      </c>
      <c r="C9" s="1291"/>
      <c r="D9" s="416" t="s">
        <v>127</v>
      </c>
      <c r="E9" s="299" t="s">
        <v>2</v>
      </c>
      <c r="F9" s="300" t="s">
        <v>128</v>
      </c>
      <c r="G9" s="300" t="s">
        <v>129</v>
      </c>
      <c r="H9" s="1291" t="s">
        <v>130</v>
      </c>
      <c r="I9" s="1291"/>
      <c r="J9" s="416" t="s">
        <v>127</v>
      </c>
      <c r="K9" s="299" t="s">
        <v>2</v>
      </c>
      <c r="L9" s="299" t="s">
        <v>131</v>
      </c>
      <c r="M9" s="300" t="s">
        <v>132</v>
      </c>
    </row>
    <row r="10" spans="1:15" s="295" customFormat="1" ht="13">
      <c r="A10" s="417">
        <v>1</v>
      </c>
      <c r="B10" s="1292">
        <v>2</v>
      </c>
      <c r="C10" s="1292"/>
      <c r="D10" s="417">
        <v>3</v>
      </c>
      <c r="E10" s="418">
        <v>4</v>
      </c>
      <c r="F10" s="301">
        <v>5</v>
      </c>
      <c r="G10" s="301">
        <v>6</v>
      </c>
      <c r="H10" s="1293">
        <v>7</v>
      </c>
      <c r="I10" s="1293"/>
      <c r="J10" s="418">
        <v>8</v>
      </c>
      <c r="K10" s="418">
        <v>9</v>
      </c>
      <c r="L10" s="418">
        <v>10</v>
      </c>
      <c r="M10" s="301">
        <v>11</v>
      </c>
    </row>
    <row r="11" spans="1:15">
      <c r="A11" s="1236" t="s">
        <v>730</v>
      </c>
      <c r="B11" s="1236"/>
      <c r="C11" s="302"/>
      <c r="D11" s="303"/>
      <c r="E11" s="202"/>
      <c r="F11" s="202"/>
      <c r="G11" s="88"/>
      <c r="H11" s="289"/>
      <c r="I11" s="87"/>
      <c r="J11" s="88"/>
      <c r="K11" s="202"/>
      <c r="L11" s="202"/>
      <c r="M11" s="304"/>
    </row>
    <row r="12" spans="1:15">
      <c r="A12" s="305" t="s">
        <v>134</v>
      </c>
      <c r="B12" s="1269" t="s">
        <v>376</v>
      </c>
      <c r="C12" s="1269"/>
      <c r="D12" s="306" t="s">
        <v>148</v>
      </c>
      <c r="E12" s="307">
        <f>data!D41</f>
        <v>101.66</v>
      </c>
      <c r="F12" s="308">
        <f>data!D68</f>
        <v>100</v>
      </c>
      <c r="G12" s="309">
        <f t="shared" ref="G12:G15" si="0">E12*F12</f>
        <v>10166</v>
      </c>
      <c r="H12" s="1270" t="s">
        <v>404</v>
      </c>
      <c r="I12" s="1271"/>
      <c r="J12" s="500" t="s">
        <v>138</v>
      </c>
      <c r="K12" s="307" t="e">
        <f>#REF!</f>
        <v>#REF!</v>
      </c>
      <c r="L12" s="307">
        <f>data!P4</f>
        <v>1900</v>
      </c>
      <c r="M12" s="309" t="e">
        <f t="shared" ref="M12:M21" si="1">K12*L12</f>
        <v>#REF!</v>
      </c>
    </row>
    <row r="13" spans="1:15" ht="16.25" customHeight="1">
      <c r="A13" s="305" t="s">
        <v>152</v>
      </c>
      <c r="B13" s="1269" t="s">
        <v>681</v>
      </c>
      <c r="C13" s="1269"/>
      <c r="D13" s="306" t="s">
        <v>85</v>
      </c>
      <c r="E13" s="307">
        <f>data!D44</f>
        <v>33</v>
      </c>
      <c r="F13" s="308">
        <f>data!D72</f>
        <v>1200</v>
      </c>
      <c r="G13" s="309">
        <f t="shared" si="0"/>
        <v>39600</v>
      </c>
      <c r="H13" s="1270" t="s">
        <v>678</v>
      </c>
      <c r="I13" s="1271"/>
      <c r="J13" s="500" t="s">
        <v>85</v>
      </c>
      <c r="K13" s="307">
        <f>E13</f>
        <v>33</v>
      </c>
      <c r="L13" s="307">
        <f>data!E51</f>
        <v>2440</v>
      </c>
      <c r="M13" s="309">
        <f t="shared" si="1"/>
        <v>80520</v>
      </c>
    </row>
    <row r="14" spans="1:15">
      <c r="A14" s="312" t="s">
        <v>174</v>
      </c>
      <c r="B14" s="1272" t="s">
        <v>675</v>
      </c>
      <c r="C14" s="1273"/>
      <c r="D14" s="306" t="s">
        <v>85</v>
      </c>
      <c r="E14" s="307">
        <f>E13</f>
        <v>33</v>
      </c>
      <c r="F14" s="308">
        <f>data!D74</f>
        <v>250</v>
      </c>
      <c r="G14" s="309">
        <f t="shared" si="0"/>
        <v>8250</v>
      </c>
      <c r="H14" s="1274" t="s">
        <v>689</v>
      </c>
      <c r="I14" s="1275"/>
      <c r="J14" s="500" t="s">
        <v>85</v>
      </c>
      <c r="K14" s="307">
        <f>K13</f>
        <v>33</v>
      </c>
      <c r="L14" s="307">
        <f>data!E53</f>
        <v>300</v>
      </c>
      <c r="M14" s="309">
        <f t="shared" si="1"/>
        <v>9900</v>
      </c>
    </row>
    <row r="15" spans="1:15" ht="27" customHeight="1">
      <c r="A15" s="313" t="s">
        <v>194</v>
      </c>
      <c r="B15" s="1276" t="s">
        <v>996</v>
      </c>
      <c r="C15" s="1277"/>
      <c r="D15" s="315" t="s">
        <v>86</v>
      </c>
      <c r="E15" s="316">
        <f>data!D42</f>
        <v>102.75</v>
      </c>
      <c r="F15" s="317">
        <f>data!D75</f>
        <v>450</v>
      </c>
      <c r="G15" s="318">
        <f t="shared" si="0"/>
        <v>46237.5</v>
      </c>
      <c r="H15" s="1278" t="s">
        <v>994</v>
      </c>
      <c r="I15" s="1279"/>
      <c r="J15" s="501" t="s">
        <v>63</v>
      </c>
      <c r="K15" s="316" t="e">
        <f>data!D45</f>
        <v>#REF!</v>
      </c>
      <c r="L15" s="316">
        <f>data!E59</f>
        <v>17000</v>
      </c>
      <c r="M15" s="321" t="e">
        <f t="shared" si="1"/>
        <v>#REF!</v>
      </c>
      <c r="O15" s="322"/>
    </row>
    <row r="16" spans="1:15" ht="14.5" customHeight="1">
      <c r="A16" s="1096"/>
      <c r="B16" s="1097"/>
      <c r="C16" s="1098"/>
      <c r="D16" s="1099"/>
      <c r="E16" s="1100"/>
      <c r="F16" s="1101"/>
      <c r="G16" s="1102"/>
      <c r="H16" s="1103" t="s">
        <v>990</v>
      </c>
      <c r="I16" s="1104"/>
      <c r="J16" s="1105" t="s">
        <v>144</v>
      </c>
      <c r="K16" s="1100" t="e">
        <f>#REF!</f>
        <v>#REF!</v>
      </c>
      <c r="L16" s="1100">
        <f>data!F59</f>
        <v>150</v>
      </c>
      <c r="M16" s="321" t="e">
        <f t="shared" si="1"/>
        <v>#REF!</v>
      </c>
      <c r="O16" s="322"/>
    </row>
    <row r="17" spans="1:15" ht="14.5" customHeight="1">
      <c r="A17" s="1096"/>
      <c r="B17" s="1097"/>
      <c r="C17" s="1098"/>
      <c r="D17" s="1099"/>
      <c r="E17" s="1100"/>
      <c r="F17" s="1101"/>
      <c r="G17" s="1102"/>
      <c r="H17" s="1103" t="s">
        <v>1006</v>
      </c>
      <c r="I17" s="1104"/>
      <c r="J17" s="1105" t="s">
        <v>85</v>
      </c>
      <c r="K17" s="1100" t="e">
        <f>#REF!</f>
        <v>#REF!</v>
      </c>
      <c r="L17" s="1100">
        <f>data!E66</f>
        <v>47</v>
      </c>
      <c r="M17" s="321" t="e">
        <f t="shared" si="1"/>
        <v>#REF!</v>
      </c>
      <c r="O17" s="322"/>
    </row>
    <row r="18" spans="1:15" ht="14.5" customHeight="1">
      <c r="A18" s="1096"/>
      <c r="B18" s="1097"/>
      <c r="C18" s="1098"/>
      <c r="D18" s="1099"/>
      <c r="E18" s="1100"/>
      <c r="F18" s="1101"/>
      <c r="G18" s="1102"/>
      <c r="H18" s="1103" t="s">
        <v>1008</v>
      </c>
      <c r="I18" s="1104"/>
      <c r="J18" s="1105" t="s">
        <v>144</v>
      </c>
      <c r="K18" s="1100" t="e">
        <f>#REF!</f>
        <v>#REF!</v>
      </c>
      <c r="L18" s="1100">
        <f>data!E65</f>
        <v>380</v>
      </c>
      <c r="M18" s="321" t="e">
        <f t="shared" si="1"/>
        <v>#REF!</v>
      </c>
      <c r="O18" s="322"/>
    </row>
    <row r="19" spans="1:15">
      <c r="A19" s="313"/>
      <c r="B19" s="504"/>
      <c r="C19" s="505"/>
      <c r="D19" s="315"/>
      <c r="E19" s="316"/>
      <c r="F19" s="317"/>
      <c r="G19" s="318"/>
      <c r="H19" s="572" t="s">
        <v>726</v>
      </c>
      <c r="I19" s="573"/>
      <c r="J19" s="501" t="s">
        <v>85</v>
      </c>
      <c r="K19" s="316" t="e">
        <f>#REF!</f>
        <v>#REF!</v>
      </c>
      <c r="L19" s="316">
        <f>data!E57</f>
        <v>324</v>
      </c>
      <c r="M19" s="321" t="e">
        <f t="shared" si="1"/>
        <v>#REF!</v>
      </c>
      <c r="O19" s="322"/>
    </row>
    <row r="20" spans="1:15">
      <c r="A20" s="330"/>
      <c r="B20" s="1280"/>
      <c r="C20" s="1281"/>
      <c r="D20" s="331"/>
      <c r="E20" s="209"/>
      <c r="F20" s="210"/>
      <c r="G20" s="332"/>
      <c r="H20" s="1282" t="s">
        <v>684</v>
      </c>
      <c r="I20" s="1283"/>
      <c r="J20" s="502" t="s">
        <v>85</v>
      </c>
      <c r="K20" s="209" t="e">
        <f>#REF!</f>
        <v>#REF!</v>
      </c>
      <c r="L20" s="209">
        <f>data!E54</f>
        <v>16</v>
      </c>
      <c r="M20" s="332" t="e">
        <f t="shared" si="1"/>
        <v>#REF!</v>
      </c>
    </row>
    <row r="21" spans="1:15">
      <c r="A21" s="910"/>
      <c r="B21" s="1285"/>
      <c r="C21" s="1286"/>
      <c r="D21" s="911"/>
      <c r="E21" s="912"/>
      <c r="F21" s="849"/>
      <c r="G21" s="913"/>
      <c r="H21" s="1287" t="s">
        <v>907</v>
      </c>
      <c r="I21" s="1288"/>
      <c r="J21" s="914" t="s">
        <v>85</v>
      </c>
      <c r="K21" s="912" t="e">
        <f>data!D64</f>
        <v>#REF!</v>
      </c>
      <c r="L21" s="912">
        <f>data!J22</f>
        <v>980</v>
      </c>
      <c r="M21" s="332" t="e">
        <f t="shared" si="1"/>
        <v>#REF!</v>
      </c>
    </row>
    <row r="22" spans="1:15">
      <c r="A22" s="88"/>
      <c r="B22" s="335"/>
      <c r="C22" s="88"/>
      <c r="D22" s="88"/>
      <c r="E22" s="1284" t="s">
        <v>145</v>
      </c>
      <c r="F22" s="1284"/>
      <c r="G22" s="336">
        <f>SUM(G12:G20)</f>
        <v>104253.5</v>
      </c>
      <c r="H22" s="87"/>
      <c r="I22" s="87"/>
      <c r="J22" s="88"/>
      <c r="K22" s="1268" t="s">
        <v>146</v>
      </c>
      <c r="L22" s="1268"/>
      <c r="M22" s="337" t="e">
        <f>SUM(M12:M21)</f>
        <v>#REF!</v>
      </c>
    </row>
    <row r="23" spans="1:15">
      <c r="A23" s="1300" t="s">
        <v>729</v>
      </c>
      <c r="B23" s="1249"/>
      <c r="C23" s="122"/>
      <c r="D23" s="120"/>
      <c r="E23" s="407"/>
      <c r="F23" s="407"/>
      <c r="G23" s="122"/>
      <c r="H23" s="503"/>
      <c r="I23" s="119"/>
      <c r="J23" s="120"/>
      <c r="K23" s="408"/>
      <c r="L23" s="408"/>
      <c r="M23" s="122"/>
    </row>
    <row r="24" spans="1:15">
      <c r="A24" s="124" t="s">
        <v>134</v>
      </c>
      <c r="B24" s="1267" t="s">
        <v>690</v>
      </c>
      <c r="C24" s="1267"/>
      <c r="D24" s="412" t="s">
        <v>63</v>
      </c>
      <c r="E24" s="82" t="e">
        <f>#REF!</f>
        <v>#REF!</v>
      </c>
      <c r="F24" s="367" t="e">
        <f>#REF!</f>
        <v>#REF!</v>
      </c>
      <c r="G24" s="124" t="e">
        <f>E24*F24</f>
        <v>#REF!</v>
      </c>
      <c r="H24" s="368" t="s">
        <v>727</v>
      </c>
      <c r="I24" s="368" t="e">
        <f>#REF!</f>
        <v>#REF!</v>
      </c>
      <c r="J24" s="182" t="s">
        <v>155</v>
      </c>
      <c r="K24" s="421" t="e">
        <f>#REF!</f>
        <v>#REF!</v>
      </c>
      <c r="L24" s="210">
        <f>data!E60</f>
        <v>15000</v>
      </c>
      <c r="M24" s="124" t="e">
        <f>K24*L24</f>
        <v>#REF!</v>
      </c>
    </row>
    <row r="25" spans="1:15">
      <c r="A25" s="124" t="s">
        <v>152</v>
      </c>
      <c r="B25" s="1267" t="s">
        <v>728</v>
      </c>
      <c r="C25" s="1267"/>
      <c r="D25" s="412" t="s">
        <v>343</v>
      </c>
      <c r="E25" s="446" t="e">
        <f>#REF!</f>
        <v>#REF!</v>
      </c>
      <c r="F25" s="367">
        <f>data!D77</f>
        <v>5000</v>
      </c>
      <c r="G25" s="124" t="e">
        <f>E25*F25</f>
        <v>#REF!</v>
      </c>
      <c r="H25" s="127"/>
      <c r="I25" s="127"/>
      <c r="J25" s="124"/>
      <c r="K25" s="369"/>
      <c r="L25" s="369"/>
      <c r="M25" s="124"/>
    </row>
    <row r="26" spans="1:15">
      <c r="A26" s="120"/>
      <c r="B26" s="119"/>
      <c r="C26" s="120"/>
      <c r="D26" s="120"/>
      <c r="E26" s="1256" t="s">
        <v>145</v>
      </c>
      <c r="F26" s="1257"/>
      <c r="G26" s="132" t="e">
        <f>SUM(G24:G25)</f>
        <v>#REF!</v>
      </c>
      <c r="H26" s="119"/>
      <c r="I26" s="119"/>
      <c r="J26" s="120"/>
      <c r="K26" s="1242" t="s">
        <v>157</v>
      </c>
      <c r="L26" s="1243"/>
      <c r="M26" s="132" t="e">
        <f>SUM(M24:M25)</f>
        <v>#REF!</v>
      </c>
    </row>
    <row r="27" spans="1:15">
      <c r="A27" s="120"/>
      <c r="B27" s="119"/>
      <c r="C27" s="120"/>
      <c r="D27" s="120"/>
      <c r="E27" s="407"/>
      <c r="F27" s="407"/>
      <c r="G27" s="122"/>
      <c r="H27" s="119"/>
      <c r="I27" s="119"/>
      <c r="J27" s="120"/>
      <c r="K27" s="408"/>
      <c r="L27" s="408"/>
      <c r="M27" s="122"/>
    </row>
    <row r="29" spans="1:15" ht="14.5" customHeight="1">
      <c r="D29" s="1266" t="s">
        <v>158</v>
      </c>
      <c r="E29" s="1266"/>
      <c r="F29" s="1266"/>
      <c r="G29" s="1266"/>
      <c r="H29" s="134" t="e">
        <f>G22+G26</f>
        <v>#REF!</v>
      </c>
      <c r="I29" s="373"/>
    </row>
    <row r="30" spans="1:15" ht="16.25" customHeight="1">
      <c r="D30" s="1266" t="s">
        <v>159</v>
      </c>
      <c r="E30" s="1266"/>
      <c r="F30" s="1266"/>
      <c r="G30" s="1266"/>
      <c r="H30" s="134" t="e">
        <f>H29*0.03</f>
        <v>#REF!</v>
      </c>
      <c r="I30" s="373"/>
    </row>
    <row r="31" spans="1:15" ht="16.75" customHeight="1">
      <c r="D31" s="1266" t="s">
        <v>160</v>
      </c>
      <c r="E31" s="1266"/>
      <c r="F31" s="1266"/>
      <c r="G31" s="1266"/>
      <c r="H31" s="134" t="e">
        <f>H29*0.16</f>
        <v>#REF!</v>
      </c>
      <c r="I31" s="373"/>
    </row>
    <row r="32" spans="1:15">
      <c r="D32" s="1266" t="s">
        <v>20</v>
      </c>
      <c r="E32" s="1266"/>
      <c r="F32" s="1266"/>
      <c r="G32" s="1266"/>
      <c r="H32" s="134" t="e">
        <f>H29+H30+H31</f>
        <v>#REF!</v>
      </c>
      <c r="I32" s="373"/>
    </row>
    <row r="33" spans="4:12" ht="14.5" customHeight="1">
      <c r="D33" s="1266" t="s">
        <v>161</v>
      </c>
      <c r="E33" s="1266"/>
      <c r="F33" s="1266"/>
      <c r="G33" s="1266"/>
      <c r="H33" s="134" t="e">
        <f>M22</f>
        <v>#REF!</v>
      </c>
      <c r="I33" s="373"/>
    </row>
    <row r="34" spans="4:12" ht="16.75" customHeight="1">
      <c r="D34" s="1266" t="s">
        <v>863</v>
      </c>
      <c r="E34" s="1266"/>
      <c r="F34" s="1266"/>
      <c r="G34" s="1266"/>
      <c r="H34" s="134" t="e">
        <f>H33*0.035</f>
        <v>#REF!</v>
      </c>
      <c r="I34" s="373"/>
    </row>
    <row r="35" spans="4:12" ht="14.5" customHeight="1">
      <c r="D35" s="1266" t="s">
        <v>162</v>
      </c>
      <c r="E35" s="1266"/>
      <c r="F35" s="1266"/>
      <c r="G35" s="1266"/>
      <c r="H35" s="134" t="e">
        <f>M26</f>
        <v>#REF!</v>
      </c>
      <c r="I35" s="373"/>
    </row>
    <row r="36" spans="4:12">
      <c r="D36" s="1266" t="s">
        <v>20</v>
      </c>
      <c r="E36" s="1266"/>
      <c r="F36" s="1266"/>
      <c r="G36" s="1266"/>
      <c r="H36" s="134" t="e">
        <f>H33+H34+H35</f>
        <v>#REF!</v>
      </c>
      <c r="I36" s="373"/>
    </row>
    <row r="37" spans="4:12">
      <c r="D37" s="1294" t="s">
        <v>163</v>
      </c>
      <c r="E37" s="1294"/>
      <c r="F37" s="1294"/>
      <c r="G37" s="1294"/>
      <c r="H37" s="499" t="e">
        <f>H32+H36</f>
        <v>#REF!</v>
      </c>
      <c r="I37" s="374"/>
    </row>
    <row r="38" spans="4:12" ht="16" thickBot="1">
      <c r="D38" s="1295" t="s">
        <v>164</v>
      </c>
      <c r="E38" s="1295"/>
      <c r="F38" s="1295"/>
      <c r="G38" s="1295"/>
      <c r="H38" s="211" t="e">
        <f>H29*0.03</f>
        <v>#REF!</v>
      </c>
      <c r="I38" s="375"/>
    </row>
    <row r="39" spans="4:12" ht="17" thickBot="1">
      <c r="D39" s="1296" t="s">
        <v>165</v>
      </c>
      <c r="E39" s="1296"/>
      <c r="F39" s="1296"/>
      <c r="G39" s="1296"/>
      <c r="H39" s="432" t="e">
        <f>H37+H38</f>
        <v>#REF!</v>
      </c>
      <c r="I39" s="375"/>
      <c r="K39" s="139"/>
      <c r="L39" s="376"/>
    </row>
  </sheetData>
  <mergeCells count="49">
    <mergeCell ref="D39:G39"/>
    <mergeCell ref="D34:G34"/>
    <mergeCell ref="D35:G35"/>
    <mergeCell ref="D36:G36"/>
    <mergeCell ref="D37:G37"/>
    <mergeCell ref="D38:G38"/>
    <mergeCell ref="H1:M1"/>
    <mergeCell ref="A2:B2"/>
    <mergeCell ref="D2:F2"/>
    <mergeCell ref="H2:M2"/>
    <mergeCell ref="A3:B3"/>
    <mergeCell ref="D3:F3"/>
    <mergeCell ref="H3:J3"/>
    <mergeCell ref="A11:B11"/>
    <mergeCell ref="H4:M4"/>
    <mergeCell ref="A5:B5"/>
    <mergeCell ref="D5:F5"/>
    <mergeCell ref="I5:M5"/>
    <mergeCell ref="A6:M6"/>
    <mergeCell ref="A7:M7"/>
    <mergeCell ref="B8:D8"/>
    <mergeCell ref="B9:C9"/>
    <mergeCell ref="H9:I9"/>
    <mergeCell ref="B10:C10"/>
    <mergeCell ref="H10:I10"/>
    <mergeCell ref="B12:C12"/>
    <mergeCell ref="H12:I12"/>
    <mergeCell ref="B13:C13"/>
    <mergeCell ref="H13:I13"/>
    <mergeCell ref="B14:C14"/>
    <mergeCell ref="H14:I14"/>
    <mergeCell ref="A23:B23"/>
    <mergeCell ref="B24:C24"/>
    <mergeCell ref="B25:C25"/>
    <mergeCell ref="E26:F26"/>
    <mergeCell ref="K22:L22"/>
    <mergeCell ref="K26:L26"/>
    <mergeCell ref="B15:C15"/>
    <mergeCell ref="H15:I15"/>
    <mergeCell ref="B20:C20"/>
    <mergeCell ref="H20:I20"/>
    <mergeCell ref="E22:F22"/>
    <mergeCell ref="B21:C21"/>
    <mergeCell ref="H21:I21"/>
    <mergeCell ref="D29:G29"/>
    <mergeCell ref="D30:G30"/>
    <mergeCell ref="D31:G31"/>
    <mergeCell ref="D32:G32"/>
    <mergeCell ref="D33:G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EB7F-86B9-4B20-A8CA-65FAACB8A588}">
  <dimension ref="A1:O39"/>
  <sheetViews>
    <sheetView topLeftCell="A4" workbookViewId="0">
      <selection activeCell="K21" sqref="K21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9.1640625" style="372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8.33203125" bestFit="1" customWidth="1"/>
    <col min="12" max="12" width="12.33203125" style="372" customWidth="1"/>
    <col min="13" max="13" width="12.33203125" customWidth="1"/>
  </cols>
  <sheetData>
    <row r="1" spans="1:15" s="295" customFormat="1" ht="14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">
      <c r="A4" s="52" t="s">
        <v>397</v>
      </c>
      <c r="B4" s="52"/>
      <c r="C4" s="49"/>
      <c r="D4" s="409"/>
      <c r="E4" s="383"/>
      <c r="F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691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A8" s="419"/>
      <c r="B8" s="1290"/>
      <c r="C8" s="1290"/>
      <c r="D8" s="1290"/>
      <c r="E8" s="293"/>
      <c r="F8" s="293"/>
      <c r="G8" s="419"/>
      <c r="H8" s="419"/>
      <c r="I8" s="419"/>
      <c r="J8" s="419"/>
      <c r="K8" s="415"/>
      <c r="L8" s="415"/>
      <c r="M8" s="419"/>
    </row>
    <row r="9" spans="1:15" s="295" customFormat="1" ht="42">
      <c r="A9" s="416" t="s">
        <v>125</v>
      </c>
      <c r="B9" s="1291" t="s">
        <v>126</v>
      </c>
      <c r="C9" s="1291"/>
      <c r="D9" s="416" t="s">
        <v>127</v>
      </c>
      <c r="E9" s="299" t="s">
        <v>2</v>
      </c>
      <c r="F9" s="300" t="s">
        <v>128</v>
      </c>
      <c r="G9" s="300" t="s">
        <v>129</v>
      </c>
      <c r="H9" s="1291" t="s">
        <v>130</v>
      </c>
      <c r="I9" s="1291"/>
      <c r="J9" s="416" t="s">
        <v>127</v>
      </c>
      <c r="K9" s="299" t="s">
        <v>2</v>
      </c>
      <c r="L9" s="299" t="s">
        <v>131</v>
      </c>
      <c r="M9" s="300" t="s">
        <v>132</v>
      </c>
    </row>
    <row r="10" spans="1:15" s="295" customFormat="1" ht="13">
      <c r="A10" s="417">
        <v>1</v>
      </c>
      <c r="B10" s="1292">
        <v>2</v>
      </c>
      <c r="C10" s="1292"/>
      <c r="D10" s="417">
        <v>3</v>
      </c>
      <c r="E10" s="418">
        <v>4</v>
      </c>
      <c r="F10" s="301">
        <v>5</v>
      </c>
      <c r="G10" s="301">
        <v>6</v>
      </c>
      <c r="H10" s="1293">
        <v>7</v>
      </c>
      <c r="I10" s="1293"/>
      <c r="J10" s="418">
        <v>8</v>
      </c>
      <c r="K10" s="418">
        <v>9</v>
      </c>
      <c r="L10" s="418">
        <v>10</v>
      </c>
      <c r="M10" s="301">
        <v>11</v>
      </c>
    </row>
    <row r="11" spans="1:15">
      <c r="A11" s="1236" t="s">
        <v>730</v>
      </c>
      <c r="B11" s="1236"/>
      <c r="C11" s="302"/>
      <c r="D11" s="303"/>
      <c r="E11" s="202"/>
      <c r="F11" s="202"/>
      <c r="G11" s="88"/>
      <c r="H11" s="289"/>
      <c r="I11" s="87"/>
      <c r="J11" s="88"/>
      <c r="K11" s="202"/>
      <c r="L11" s="202"/>
      <c r="M11" s="304"/>
    </row>
    <row r="12" spans="1:15">
      <c r="A12" s="305" t="s">
        <v>134</v>
      </c>
      <c r="B12" s="1269" t="s">
        <v>376</v>
      </c>
      <c r="C12" s="1269"/>
      <c r="D12" s="306" t="s">
        <v>148</v>
      </c>
      <c r="E12" s="307">
        <f>data!D41</f>
        <v>101.66</v>
      </c>
      <c r="F12" s="308">
        <f>data!D68</f>
        <v>100</v>
      </c>
      <c r="G12" s="309">
        <f t="shared" ref="G12:G15" si="0">E12*F12</f>
        <v>10166</v>
      </c>
      <c r="H12" s="1270" t="s">
        <v>404</v>
      </c>
      <c r="I12" s="1271"/>
      <c r="J12" s="500" t="s">
        <v>138</v>
      </c>
      <c r="K12" s="307" t="e">
        <f>#REF!</f>
        <v>#REF!</v>
      </c>
      <c r="L12" s="307">
        <f>data!P4</f>
        <v>1900</v>
      </c>
      <c r="M12" s="309" t="e">
        <f t="shared" ref="M12:M21" si="1">K12*L12</f>
        <v>#REF!</v>
      </c>
    </row>
    <row r="13" spans="1:15" ht="16.25" customHeight="1">
      <c r="A13" s="305" t="s">
        <v>152</v>
      </c>
      <c r="B13" s="1269" t="s">
        <v>681</v>
      </c>
      <c r="C13" s="1269"/>
      <c r="D13" s="306" t="s">
        <v>85</v>
      </c>
      <c r="E13" s="307">
        <f>data!D44</f>
        <v>33</v>
      </c>
      <c r="F13" s="308">
        <f>data!D73</f>
        <v>1200</v>
      </c>
      <c r="G13" s="309">
        <f t="shared" si="0"/>
        <v>39600</v>
      </c>
      <c r="H13" s="1270" t="s">
        <v>679</v>
      </c>
      <c r="I13" s="1271"/>
      <c r="J13" s="500" t="s">
        <v>85</v>
      </c>
      <c r="K13" s="307">
        <f>data!D44</f>
        <v>33</v>
      </c>
      <c r="L13" s="307">
        <f>data!E52</f>
        <v>2830</v>
      </c>
      <c r="M13" s="309">
        <f t="shared" si="1"/>
        <v>93390</v>
      </c>
    </row>
    <row r="14" spans="1:15">
      <c r="A14" s="312" t="s">
        <v>174</v>
      </c>
      <c r="B14" s="1272" t="s">
        <v>675</v>
      </c>
      <c r="C14" s="1273"/>
      <c r="D14" s="306" t="s">
        <v>85</v>
      </c>
      <c r="E14" s="307">
        <f>E13</f>
        <v>33</v>
      </c>
      <c r="F14" s="308">
        <f>data!D74</f>
        <v>250</v>
      </c>
      <c r="G14" s="309">
        <f t="shared" si="0"/>
        <v>8250</v>
      </c>
      <c r="H14" s="1274" t="s">
        <v>689</v>
      </c>
      <c r="I14" s="1275"/>
      <c r="J14" s="500" t="s">
        <v>85</v>
      </c>
      <c r="K14" s="307">
        <f>K13</f>
        <v>33</v>
      </c>
      <c r="L14" s="307">
        <f>data!E53</f>
        <v>300</v>
      </c>
      <c r="M14" s="309">
        <f t="shared" si="1"/>
        <v>9900</v>
      </c>
    </row>
    <row r="15" spans="1:15" ht="26.5" customHeight="1">
      <c r="A15" s="313" t="s">
        <v>194</v>
      </c>
      <c r="B15" s="1276" t="s">
        <v>996</v>
      </c>
      <c r="C15" s="1277"/>
      <c r="D15" s="315" t="s">
        <v>86</v>
      </c>
      <c r="E15" s="316">
        <f>data!D42</f>
        <v>102.75</v>
      </c>
      <c r="F15" s="317">
        <f>data!D75</f>
        <v>450</v>
      </c>
      <c r="G15" s="318">
        <f t="shared" si="0"/>
        <v>46237.5</v>
      </c>
      <c r="H15" s="1278" t="s">
        <v>994</v>
      </c>
      <c r="I15" s="1279"/>
      <c r="J15" s="501" t="s">
        <v>63</v>
      </c>
      <c r="K15" s="316" t="e">
        <f>data!D45</f>
        <v>#REF!</v>
      </c>
      <c r="L15" s="316">
        <f>data!E59</f>
        <v>17000</v>
      </c>
      <c r="M15" s="321" t="e">
        <f t="shared" si="1"/>
        <v>#REF!</v>
      </c>
      <c r="O15" s="322"/>
    </row>
    <row r="16" spans="1:15" ht="15" customHeight="1">
      <c r="A16" s="1096"/>
      <c r="B16" s="1097"/>
      <c r="C16" s="1098"/>
      <c r="D16" s="1099"/>
      <c r="E16" s="1100"/>
      <c r="F16" s="1101"/>
      <c r="G16" s="1102"/>
      <c r="H16" s="1103" t="s">
        <v>990</v>
      </c>
      <c r="I16" s="1104"/>
      <c r="J16" s="1105" t="s">
        <v>144</v>
      </c>
      <c r="K16" s="1100" t="e">
        <f>#REF!</f>
        <v>#REF!</v>
      </c>
      <c r="L16" s="1100">
        <f>data!F59</f>
        <v>150</v>
      </c>
      <c r="M16" s="321" t="e">
        <f t="shared" si="1"/>
        <v>#REF!</v>
      </c>
      <c r="O16" s="322"/>
    </row>
    <row r="17" spans="1:15" ht="15" customHeight="1">
      <c r="A17" s="1096"/>
      <c r="B17" s="1097"/>
      <c r="C17" s="1098"/>
      <c r="D17" s="1099"/>
      <c r="E17" s="1100"/>
      <c r="F17" s="1101"/>
      <c r="G17" s="1102"/>
      <c r="H17" s="1103" t="s">
        <v>1006</v>
      </c>
      <c r="I17" s="1104"/>
      <c r="J17" s="1105" t="s">
        <v>85</v>
      </c>
      <c r="K17" s="1100" t="e">
        <f>#REF!</f>
        <v>#REF!</v>
      </c>
      <c r="L17" s="1100">
        <f>data!E66</f>
        <v>47</v>
      </c>
      <c r="M17" s="321" t="e">
        <f t="shared" si="1"/>
        <v>#REF!</v>
      </c>
      <c r="O17" s="322"/>
    </row>
    <row r="18" spans="1:15" ht="15" customHeight="1">
      <c r="A18" s="1096"/>
      <c r="B18" s="1097"/>
      <c r="C18" s="1098"/>
      <c r="D18" s="1099"/>
      <c r="E18" s="1100"/>
      <c r="F18" s="1101"/>
      <c r="G18" s="1102"/>
      <c r="H18" s="1103" t="s">
        <v>1008</v>
      </c>
      <c r="I18" s="1104"/>
      <c r="J18" s="1105" t="s">
        <v>144</v>
      </c>
      <c r="K18" s="1100" t="e">
        <f>#REF!</f>
        <v>#REF!</v>
      </c>
      <c r="L18" s="1100">
        <f>data!E65</f>
        <v>380</v>
      </c>
      <c r="M18" s="321" t="e">
        <f t="shared" si="1"/>
        <v>#REF!</v>
      </c>
      <c r="O18" s="322"/>
    </row>
    <row r="19" spans="1:15">
      <c r="A19" s="313"/>
      <c r="B19" s="504"/>
      <c r="C19" s="505"/>
      <c r="D19" s="315"/>
      <c r="E19" s="316"/>
      <c r="F19" s="317"/>
      <c r="G19" s="318"/>
      <c r="H19" s="572" t="s">
        <v>726</v>
      </c>
      <c r="I19" s="573"/>
      <c r="J19" s="501" t="s">
        <v>85</v>
      </c>
      <c r="K19" s="316" t="e">
        <f>#REF!</f>
        <v>#REF!</v>
      </c>
      <c r="L19" s="316">
        <f>data!E58</f>
        <v>324</v>
      </c>
      <c r="M19" s="321" t="e">
        <f t="shared" si="1"/>
        <v>#REF!</v>
      </c>
      <c r="O19" s="322"/>
    </row>
    <row r="20" spans="1:15">
      <c r="A20" s="330"/>
      <c r="B20" s="1280"/>
      <c r="C20" s="1281"/>
      <c r="D20" s="331"/>
      <c r="E20" s="209"/>
      <c r="F20" s="210"/>
      <c r="G20" s="332"/>
      <c r="H20" s="1282" t="s">
        <v>684</v>
      </c>
      <c r="I20" s="1283"/>
      <c r="J20" s="502" t="s">
        <v>85</v>
      </c>
      <c r="K20" s="209" t="e">
        <f>#REF!</f>
        <v>#REF!</v>
      </c>
      <c r="L20" s="209">
        <f>data!E54</f>
        <v>16</v>
      </c>
      <c r="M20" s="332" t="e">
        <f t="shared" si="1"/>
        <v>#REF!</v>
      </c>
    </row>
    <row r="21" spans="1:15">
      <c r="A21" s="910"/>
      <c r="B21" s="1285"/>
      <c r="C21" s="1286"/>
      <c r="D21" s="911"/>
      <c r="E21" s="912"/>
      <c r="F21" s="849"/>
      <c r="G21" s="913"/>
      <c r="H21" s="1287" t="s">
        <v>907</v>
      </c>
      <c r="I21" s="1288"/>
      <c r="J21" s="914" t="s">
        <v>85</v>
      </c>
      <c r="K21" s="912" t="e">
        <f>data!D64</f>
        <v>#REF!</v>
      </c>
      <c r="L21" s="912">
        <f>data!J22</f>
        <v>980</v>
      </c>
      <c r="M21" s="332" t="e">
        <f t="shared" si="1"/>
        <v>#REF!</v>
      </c>
    </row>
    <row r="22" spans="1:15">
      <c r="A22" s="88"/>
      <c r="B22" s="335"/>
      <c r="C22" s="88"/>
      <c r="D22" s="88"/>
      <c r="E22" s="1284" t="s">
        <v>145</v>
      </c>
      <c r="F22" s="1284"/>
      <c r="G22" s="336">
        <f>SUM(G12:G20)</f>
        <v>104253.5</v>
      </c>
      <c r="H22" s="87"/>
      <c r="I22" s="87"/>
      <c r="J22" s="88"/>
      <c r="K22" s="1268" t="s">
        <v>146</v>
      </c>
      <c r="L22" s="1268"/>
      <c r="M22" s="337" t="e">
        <f>SUM(M12:M21)</f>
        <v>#REF!</v>
      </c>
    </row>
    <row r="23" spans="1:15">
      <c r="A23" s="1300" t="s">
        <v>729</v>
      </c>
      <c r="B23" s="1249"/>
      <c r="C23" s="122"/>
      <c r="D23" s="120"/>
      <c r="E23" s="407"/>
      <c r="F23" s="407"/>
      <c r="G23" s="122"/>
      <c r="H23" s="503"/>
      <c r="I23" s="119"/>
      <c r="J23" s="120"/>
      <c r="K23" s="408"/>
      <c r="L23" s="408"/>
      <c r="M23" s="122"/>
    </row>
    <row r="24" spans="1:15">
      <c r="A24" s="124" t="s">
        <v>134</v>
      </c>
      <c r="B24" s="1267" t="s">
        <v>690</v>
      </c>
      <c r="C24" s="1267"/>
      <c r="D24" s="412" t="s">
        <v>63</v>
      </c>
      <c r="E24" s="82" t="e">
        <f>#REF!</f>
        <v>#REF!</v>
      </c>
      <c r="F24" s="367">
        <f>data!D76</f>
        <v>500</v>
      </c>
      <c r="G24" s="124" t="e">
        <f>E24*F24</f>
        <v>#REF!</v>
      </c>
      <c r="H24" s="368" t="s">
        <v>727</v>
      </c>
      <c r="I24" s="368" t="e">
        <f>#REF!</f>
        <v>#REF!</v>
      </c>
      <c r="J24" s="182" t="s">
        <v>155</v>
      </c>
      <c r="K24" s="421" t="e">
        <f>#REF!</f>
        <v>#REF!</v>
      </c>
      <c r="L24" s="210">
        <f>data!E61</f>
        <v>15000</v>
      </c>
      <c r="M24" s="124" t="e">
        <f>K24*L24</f>
        <v>#REF!</v>
      </c>
    </row>
    <row r="25" spans="1:15">
      <c r="A25" s="124" t="s">
        <v>152</v>
      </c>
      <c r="B25" s="1267" t="s">
        <v>728</v>
      </c>
      <c r="C25" s="1267"/>
      <c r="D25" s="412" t="s">
        <v>343</v>
      </c>
      <c r="E25" s="446" t="e">
        <f>#REF!</f>
        <v>#REF!</v>
      </c>
      <c r="F25" s="367">
        <f>data!D77</f>
        <v>5000</v>
      </c>
      <c r="G25" s="124" t="e">
        <f>E25*F25</f>
        <v>#REF!</v>
      </c>
      <c r="H25" s="127"/>
      <c r="I25" s="127"/>
      <c r="J25" s="124"/>
      <c r="K25" s="369"/>
      <c r="L25" s="369"/>
      <c r="M25" s="124"/>
    </row>
    <row r="26" spans="1:15">
      <c r="A26" s="120"/>
      <c r="B26" s="119"/>
      <c r="C26" s="120"/>
      <c r="D26" s="120"/>
      <c r="E26" s="1256" t="s">
        <v>145</v>
      </c>
      <c r="F26" s="1257"/>
      <c r="G26" s="132" t="e">
        <f>SUM(G24:G25)</f>
        <v>#REF!</v>
      </c>
      <c r="H26" s="119"/>
      <c r="I26" s="119"/>
      <c r="J26" s="120"/>
      <c r="K26" s="1242" t="s">
        <v>20</v>
      </c>
      <c r="L26" s="1243"/>
      <c r="M26" s="132" t="e">
        <f>SUM(M24:M25)</f>
        <v>#REF!</v>
      </c>
    </row>
    <row r="27" spans="1:15">
      <c r="A27" s="120"/>
      <c r="B27" s="119"/>
      <c r="C27" s="120"/>
      <c r="D27" s="120"/>
      <c r="E27" s="407"/>
      <c r="F27" s="407"/>
      <c r="G27" s="122"/>
      <c r="H27" s="119"/>
      <c r="I27" s="119"/>
      <c r="J27" s="120"/>
      <c r="K27" s="408"/>
      <c r="L27" s="408"/>
      <c r="M27" s="122"/>
    </row>
    <row r="29" spans="1:15" ht="14.5" customHeight="1">
      <c r="D29" s="1266" t="s">
        <v>158</v>
      </c>
      <c r="E29" s="1266"/>
      <c r="F29" s="1266"/>
      <c r="G29" s="1266"/>
      <c r="H29" s="134" t="e">
        <f>G22+G26</f>
        <v>#REF!</v>
      </c>
      <c r="I29" s="373"/>
    </row>
    <row r="30" spans="1:15" ht="15" customHeight="1">
      <c r="D30" s="1266" t="s">
        <v>159</v>
      </c>
      <c r="E30" s="1266"/>
      <c r="F30" s="1266"/>
      <c r="G30" s="1266"/>
      <c r="H30" s="134" t="e">
        <f>H29*0.03</f>
        <v>#REF!</v>
      </c>
      <c r="I30" s="373"/>
    </row>
    <row r="31" spans="1:15" ht="16.75" customHeight="1">
      <c r="D31" s="1266" t="s">
        <v>160</v>
      </c>
      <c r="E31" s="1266"/>
      <c r="F31" s="1266"/>
      <c r="G31" s="1266"/>
      <c r="H31" s="134" t="e">
        <f>H29*0.16</f>
        <v>#REF!</v>
      </c>
      <c r="I31" s="373"/>
    </row>
    <row r="32" spans="1:15">
      <c r="D32" s="1266" t="s">
        <v>20</v>
      </c>
      <c r="E32" s="1266"/>
      <c r="F32" s="1266"/>
      <c r="G32" s="1266"/>
      <c r="H32" s="134" t="e">
        <f>H29+H30+H31</f>
        <v>#REF!</v>
      </c>
      <c r="I32" s="373"/>
    </row>
    <row r="33" spans="4:12" ht="14.5" customHeight="1">
      <c r="D33" s="1266" t="s">
        <v>161</v>
      </c>
      <c r="E33" s="1266"/>
      <c r="F33" s="1266"/>
      <c r="G33" s="1266"/>
      <c r="H33" s="134" t="e">
        <f>M22</f>
        <v>#REF!</v>
      </c>
      <c r="I33" s="373"/>
    </row>
    <row r="34" spans="4:12" ht="15.5" customHeight="1">
      <c r="D34" s="1266" t="s">
        <v>863</v>
      </c>
      <c r="E34" s="1266"/>
      <c r="F34" s="1266"/>
      <c r="G34" s="1266"/>
      <c r="H34" s="134" t="e">
        <f>H33*0.035</f>
        <v>#REF!</v>
      </c>
      <c r="I34" s="373"/>
    </row>
    <row r="35" spans="4:12" ht="14.5" customHeight="1">
      <c r="D35" s="1266" t="s">
        <v>162</v>
      </c>
      <c r="E35" s="1266"/>
      <c r="F35" s="1266"/>
      <c r="G35" s="1266"/>
      <c r="H35" s="134" t="e">
        <f>M26</f>
        <v>#REF!</v>
      </c>
      <c r="I35" s="373"/>
    </row>
    <row r="36" spans="4:12">
      <c r="D36" s="1266" t="s">
        <v>20</v>
      </c>
      <c r="E36" s="1266"/>
      <c r="F36" s="1266"/>
      <c r="G36" s="1266"/>
      <c r="H36" s="134" t="e">
        <f>H33+H34+H35</f>
        <v>#REF!</v>
      </c>
      <c r="I36" s="373"/>
    </row>
    <row r="37" spans="4:12">
      <c r="D37" s="1294" t="s">
        <v>163</v>
      </c>
      <c r="E37" s="1294"/>
      <c r="F37" s="1294"/>
      <c r="G37" s="1294"/>
      <c r="H37" s="499" t="e">
        <f>H32+H36</f>
        <v>#REF!</v>
      </c>
      <c r="I37" s="374"/>
    </row>
    <row r="38" spans="4:12" ht="16" thickBot="1">
      <c r="D38" s="1295" t="s">
        <v>164</v>
      </c>
      <c r="E38" s="1295"/>
      <c r="F38" s="1295"/>
      <c r="G38" s="1295"/>
      <c r="H38" s="211" t="e">
        <f>H29*0.03</f>
        <v>#REF!</v>
      </c>
      <c r="I38" s="375"/>
    </row>
    <row r="39" spans="4:12" ht="17" thickBot="1">
      <c r="D39" s="1296" t="s">
        <v>165</v>
      </c>
      <c r="E39" s="1296"/>
      <c r="F39" s="1296"/>
      <c r="G39" s="1296"/>
      <c r="H39" s="432" t="e">
        <f>H37+H38</f>
        <v>#REF!</v>
      </c>
      <c r="I39" s="375"/>
      <c r="K39" s="139"/>
      <c r="L39" s="376"/>
    </row>
  </sheetData>
  <mergeCells count="49">
    <mergeCell ref="D39:G39"/>
    <mergeCell ref="D34:G34"/>
    <mergeCell ref="D35:G35"/>
    <mergeCell ref="D36:G36"/>
    <mergeCell ref="D37:G37"/>
    <mergeCell ref="D38:G38"/>
    <mergeCell ref="H1:M1"/>
    <mergeCell ref="A2:B2"/>
    <mergeCell ref="D2:F2"/>
    <mergeCell ref="H2:M2"/>
    <mergeCell ref="A3:B3"/>
    <mergeCell ref="D3:F3"/>
    <mergeCell ref="H3:J3"/>
    <mergeCell ref="A11:B11"/>
    <mergeCell ref="H4:M4"/>
    <mergeCell ref="A5:B5"/>
    <mergeCell ref="D5:F5"/>
    <mergeCell ref="I5:M5"/>
    <mergeCell ref="A6:M6"/>
    <mergeCell ref="A7:M7"/>
    <mergeCell ref="B8:D8"/>
    <mergeCell ref="B9:C9"/>
    <mergeCell ref="H9:I9"/>
    <mergeCell ref="B10:C10"/>
    <mergeCell ref="H10:I10"/>
    <mergeCell ref="B12:C12"/>
    <mergeCell ref="H12:I12"/>
    <mergeCell ref="B13:C13"/>
    <mergeCell ref="H13:I13"/>
    <mergeCell ref="B14:C14"/>
    <mergeCell ref="H14:I14"/>
    <mergeCell ref="A23:B23"/>
    <mergeCell ref="B24:C24"/>
    <mergeCell ref="B25:C25"/>
    <mergeCell ref="E26:F26"/>
    <mergeCell ref="K22:L22"/>
    <mergeCell ref="K26:L26"/>
    <mergeCell ref="B15:C15"/>
    <mergeCell ref="H15:I15"/>
    <mergeCell ref="B20:C20"/>
    <mergeCell ref="H20:I20"/>
    <mergeCell ref="E22:F22"/>
    <mergeCell ref="B21:C21"/>
    <mergeCell ref="H21:I21"/>
    <mergeCell ref="D29:G29"/>
    <mergeCell ref="D30:G30"/>
    <mergeCell ref="D31:G31"/>
    <mergeCell ref="D32:G32"/>
    <mergeCell ref="D33:G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A328-08EE-4098-9DC8-7A231ECB1E54}">
  <dimension ref="A1:O38"/>
  <sheetViews>
    <sheetView topLeftCell="A7" zoomScale="110" zoomScaleNormal="110" workbookViewId="0">
      <selection activeCell="K18" sqref="K18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9.1640625" style="372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8.33203125" bestFit="1" customWidth="1"/>
    <col min="12" max="12" width="12.33203125" style="372" customWidth="1"/>
    <col min="13" max="13" width="12.33203125" customWidth="1"/>
  </cols>
  <sheetData>
    <row r="1" spans="1:15" s="295" customFormat="1" ht="14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">
      <c r="A4" s="52" t="s">
        <v>397</v>
      </c>
      <c r="B4" s="52"/>
      <c r="C4" s="49"/>
      <c r="D4" s="409"/>
      <c r="E4" s="383"/>
      <c r="F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692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A8" s="419"/>
      <c r="B8" s="1290"/>
      <c r="C8" s="1290"/>
      <c r="D8" s="1290"/>
      <c r="E8" s="293"/>
      <c r="F8" s="293"/>
      <c r="G8" s="419"/>
      <c r="H8" s="419"/>
      <c r="I8" s="419"/>
      <c r="J8" s="419"/>
      <c r="K8" s="415"/>
      <c r="L8" s="415"/>
      <c r="M8" s="419"/>
    </row>
    <row r="9" spans="1:15" s="295" customFormat="1" ht="42">
      <c r="A9" s="416" t="s">
        <v>125</v>
      </c>
      <c r="B9" s="1291" t="s">
        <v>126</v>
      </c>
      <c r="C9" s="1291"/>
      <c r="D9" s="416" t="s">
        <v>127</v>
      </c>
      <c r="E9" s="299" t="s">
        <v>2</v>
      </c>
      <c r="F9" s="300" t="s">
        <v>128</v>
      </c>
      <c r="G9" s="300" t="s">
        <v>129</v>
      </c>
      <c r="H9" s="1291" t="s">
        <v>130</v>
      </c>
      <c r="I9" s="1291"/>
      <c r="J9" s="416" t="s">
        <v>127</v>
      </c>
      <c r="K9" s="299" t="s">
        <v>2</v>
      </c>
      <c r="L9" s="299" t="s">
        <v>131</v>
      </c>
      <c r="M9" s="300" t="s">
        <v>132</v>
      </c>
    </row>
    <row r="10" spans="1:15" s="295" customFormat="1" ht="13">
      <c r="A10" s="417">
        <v>1</v>
      </c>
      <c r="B10" s="1292">
        <v>2</v>
      </c>
      <c r="C10" s="1292"/>
      <c r="D10" s="417">
        <v>3</v>
      </c>
      <c r="E10" s="418">
        <v>4</v>
      </c>
      <c r="F10" s="301">
        <v>5</v>
      </c>
      <c r="G10" s="301">
        <v>6</v>
      </c>
      <c r="H10" s="1293">
        <v>7</v>
      </c>
      <c r="I10" s="1293"/>
      <c r="J10" s="418">
        <v>8</v>
      </c>
      <c r="K10" s="418">
        <v>9</v>
      </c>
      <c r="L10" s="418">
        <v>10</v>
      </c>
      <c r="M10" s="301">
        <v>11</v>
      </c>
    </row>
    <row r="11" spans="1:15">
      <c r="A11" s="1236" t="s">
        <v>730</v>
      </c>
      <c r="B11" s="1236"/>
      <c r="C11" s="302"/>
      <c r="D11" s="303"/>
      <c r="E11" s="202"/>
      <c r="F11" s="202"/>
      <c r="G11" s="88"/>
      <c r="H11" s="289"/>
      <c r="I11" s="87"/>
      <c r="J11" s="88"/>
      <c r="K11" s="202"/>
      <c r="L11" s="202"/>
      <c r="M11" s="304"/>
    </row>
    <row r="12" spans="1:15">
      <c r="A12" s="305" t="s">
        <v>134</v>
      </c>
      <c r="B12" s="1269" t="s">
        <v>376</v>
      </c>
      <c r="C12" s="1269"/>
      <c r="D12" s="306" t="s">
        <v>148</v>
      </c>
      <c r="E12" s="307">
        <f>data!I41</f>
        <v>101.66</v>
      </c>
      <c r="F12" s="308">
        <f>data!I62</f>
        <v>100</v>
      </c>
      <c r="G12" s="309">
        <f t="shared" ref="G12:G15" si="0">E12*F12</f>
        <v>10166</v>
      </c>
      <c r="H12" s="1270" t="s">
        <v>404</v>
      </c>
      <c r="I12" s="1271"/>
      <c r="J12" s="500" t="s">
        <v>138</v>
      </c>
      <c r="K12" s="307" t="e">
        <f>data!I48</f>
        <v>#REF!</v>
      </c>
      <c r="L12" s="307">
        <f>data!J48</f>
        <v>1900</v>
      </c>
      <c r="M12" s="309" t="e">
        <f t="shared" ref="M12:M19" si="1">K12*L12</f>
        <v>#REF!</v>
      </c>
    </row>
    <row r="13" spans="1:15" ht="16.25" customHeight="1">
      <c r="A13" s="305" t="s">
        <v>152</v>
      </c>
      <c r="B13" s="1269" t="s">
        <v>681</v>
      </c>
      <c r="C13" s="1269"/>
      <c r="D13" s="306" t="s">
        <v>85</v>
      </c>
      <c r="E13" s="307">
        <f>data!I44</f>
        <v>33</v>
      </c>
      <c r="F13" s="308">
        <f>data!I64</f>
        <v>1900</v>
      </c>
      <c r="G13" s="309">
        <f t="shared" si="0"/>
        <v>62700</v>
      </c>
      <c r="H13" s="1270" t="s">
        <v>693</v>
      </c>
      <c r="I13" s="1271"/>
      <c r="J13" s="500" t="s">
        <v>85</v>
      </c>
      <c r="K13" s="307">
        <f>data!I49</f>
        <v>33</v>
      </c>
      <c r="L13" s="307">
        <f>data!J49</f>
        <v>2220</v>
      </c>
      <c r="M13" s="309">
        <f t="shared" si="1"/>
        <v>73260</v>
      </c>
    </row>
    <row r="14" spans="1:15">
      <c r="A14" s="312" t="s">
        <v>174</v>
      </c>
      <c r="B14" s="1272" t="s">
        <v>675</v>
      </c>
      <c r="C14" s="1273"/>
      <c r="D14" s="306" t="s">
        <v>85</v>
      </c>
      <c r="E14" s="307">
        <f>data!I53</f>
        <v>33</v>
      </c>
      <c r="F14" s="308">
        <f>data!I70</f>
        <v>250</v>
      </c>
      <c r="G14" s="309">
        <f t="shared" si="0"/>
        <v>8250</v>
      </c>
      <c r="H14" s="1274" t="s">
        <v>689</v>
      </c>
      <c r="I14" s="1275"/>
      <c r="J14" s="500" t="s">
        <v>85</v>
      </c>
      <c r="K14" s="307">
        <f>data!I53</f>
        <v>33</v>
      </c>
      <c r="L14" s="307">
        <f>data!J53</f>
        <v>300</v>
      </c>
      <c r="M14" s="309">
        <f t="shared" si="1"/>
        <v>9900</v>
      </c>
    </row>
    <row r="15" spans="1:15" ht="29.5" customHeight="1">
      <c r="A15" s="313" t="s">
        <v>194</v>
      </c>
      <c r="B15" s="1276" t="s">
        <v>996</v>
      </c>
      <c r="C15" s="1277"/>
      <c r="D15" s="315" t="s">
        <v>86</v>
      </c>
      <c r="E15" s="316">
        <f>data!I42</f>
        <v>102.75</v>
      </c>
      <c r="F15" s="317">
        <f>data!I71</f>
        <v>450</v>
      </c>
      <c r="G15" s="318">
        <f t="shared" si="0"/>
        <v>46237.5</v>
      </c>
      <c r="H15" s="1278" t="s">
        <v>994</v>
      </c>
      <c r="I15" s="1279"/>
      <c r="J15" s="501" t="s">
        <v>63</v>
      </c>
      <c r="K15" s="571" t="e">
        <f>data!I45</f>
        <v>#REF!</v>
      </c>
      <c r="L15" s="316">
        <f>data!J55</f>
        <v>17000</v>
      </c>
      <c r="M15" s="321" t="e">
        <f t="shared" si="1"/>
        <v>#REF!</v>
      </c>
      <c r="O15" s="322"/>
    </row>
    <row r="16" spans="1:15">
      <c r="A16" s="1096"/>
      <c r="B16" s="1097"/>
      <c r="C16" s="1098"/>
      <c r="D16" s="1099"/>
      <c r="E16" s="1100"/>
      <c r="F16" s="1101"/>
      <c r="G16" s="1102"/>
      <c r="H16" s="1103" t="s">
        <v>990</v>
      </c>
      <c r="I16" s="1104"/>
      <c r="J16" s="1105" t="s">
        <v>144</v>
      </c>
      <c r="K16" s="1100" t="e">
        <f>#REF!</f>
        <v>#REF!</v>
      </c>
      <c r="L16" s="1100">
        <f>data!F59</f>
        <v>150</v>
      </c>
      <c r="M16" s="321" t="e">
        <f t="shared" si="1"/>
        <v>#REF!</v>
      </c>
      <c r="O16" s="322"/>
    </row>
    <row r="17" spans="1:15">
      <c r="A17" s="1096"/>
      <c r="B17" s="1097"/>
      <c r="C17" s="1098"/>
      <c r="D17" s="1099"/>
      <c r="E17" s="1100"/>
      <c r="F17" s="1101"/>
      <c r="G17" s="1102"/>
      <c r="H17" s="1103" t="s">
        <v>1006</v>
      </c>
      <c r="I17" s="1104"/>
      <c r="J17" s="1105" t="s">
        <v>85</v>
      </c>
      <c r="K17" s="1100" t="e">
        <f>#REF!</f>
        <v>#REF!</v>
      </c>
      <c r="L17" s="1100">
        <f>data!E66</f>
        <v>47</v>
      </c>
      <c r="M17" s="321" t="e">
        <f t="shared" si="1"/>
        <v>#REF!</v>
      </c>
      <c r="O17" s="322"/>
    </row>
    <row r="18" spans="1:15">
      <c r="A18" s="1096"/>
      <c r="B18" s="1097"/>
      <c r="C18" s="1098"/>
      <c r="D18" s="1099"/>
      <c r="E18" s="1100"/>
      <c r="F18" s="1101"/>
      <c r="G18" s="1102"/>
      <c r="H18" s="1103" t="s">
        <v>1008</v>
      </c>
      <c r="I18" s="1104"/>
      <c r="J18" s="1105" t="s">
        <v>144</v>
      </c>
      <c r="K18" s="1100" t="e">
        <f>#REF!</f>
        <v>#REF!</v>
      </c>
      <c r="L18" s="1100">
        <f>data!E65</f>
        <v>380</v>
      </c>
      <c r="M18" s="321" t="e">
        <f t="shared" si="1"/>
        <v>#REF!</v>
      </c>
      <c r="O18" s="322"/>
    </row>
    <row r="19" spans="1:15">
      <c r="A19" s="330"/>
      <c r="B19" s="1280"/>
      <c r="C19" s="1281"/>
      <c r="D19" s="331"/>
      <c r="E19" s="209"/>
      <c r="F19" s="210"/>
      <c r="G19" s="332"/>
      <c r="H19" s="1282" t="s">
        <v>684</v>
      </c>
      <c r="I19" s="1283"/>
      <c r="J19" s="502" t="s">
        <v>85</v>
      </c>
      <c r="K19" s="209" t="e">
        <f>#REF!</f>
        <v>#REF!</v>
      </c>
      <c r="L19" s="209">
        <f>data!J54</f>
        <v>16</v>
      </c>
      <c r="M19" s="332" t="e">
        <f t="shared" si="1"/>
        <v>#REF!</v>
      </c>
    </row>
    <row r="20" spans="1:15">
      <c r="A20" s="910"/>
      <c r="B20" s="1285"/>
      <c r="C20" s="1286"/>
      <c r="D20" s="911"/>
      <c r="E20" s="912"/>
      <c r="F20" s="849"/>
      <c r="G20" s="913"/>
      <c r="H20" s="1287" t="s">
        <v>907</v>
      </c>
      <c r="I20" s="1288"/>
      <c r="J20" s="914" t="s">
        <v>85</v>
      </c>
      <c r="K20" s="912" t="e">
        <f>data!D64</f>
        <v>#REF!</v>
      </c>
      <c r="L20" s="912">
        <f>data!J22</f>
        <v>980</v>
      </c>
      <c r="M20" s="332" t="e">
        <f t="shared" ref="M20" si="2">K20*L20</f>
        <v>#REF!</v>
      </c>
    </row>
    <row r="21" spans="1:15">
      <c r="A21" s="88"/>
      <c r="B21" s="335"/>
      <c r="C21" s="88"/>
      <c r="D21" s="88"/>
      <c r="E21" s="1284" t="s">
        <v>145</v>
      </c>
      <c r="F21" s="1284"/>
      <c r="G21" s="336">
        <f>SUM(G12:G19)</f>
        <v>127353.5</v>
      </c>
      <c r="H21" s="87"/>
      <c r="I21" s="87"/>
      <c r="J21" s="88"/>
      <c r="K21" s="1268" t="s">
        <v>146</v>
      </c>
      <c r="L21" s="1268"/>
      <c r="M21" s="337" t="e">
        <f>SUM(M12:M20)</f>
        <v>#REF!</v>
      </c>
    </row>
    <row r="22" spans="1:15">
      <c r="A22" s="1300" t="s">
        <v>729</v>
      </c>
      <c r="B22" s="1249"/>
      <c r="C22" s="122"/>
      <c r="D22" s="120"/>
      <c r="E22" s="407"/>
      <c r="F22" s="407"/>
      <c r="G22" s="122"/>
      <c r="H22" s="503"/>
      <c r="I22" s="119"/>
      <c r="J22" s="120"/>
      <c r="K22" s="408"/>
      <c r="L22" s="408"/>
      <c r="M22" s="122"/>
    </row>
    <row r="23" spans="1:15">
      <c r="A23" s="124" t="s">
        <v>134</v>
      </c>
      <c r="B23" s="1267" t="s">
        <v>690</v>
      </c>
      <c r="C23" s="1267"/>
      <c r="D23" s="412" t="s">
        <v>63</v>
      </c>
      <c r="E23" s="446" t="e">
        <f>data!I45</f>
        <v>#REF!</v>
      </c>
      <c r="F23" s="367">
        <f>data!I72</f>
        <v>500</v>
      </c>
      <c r="G23" s="124" t="e">
        <f>E23*F23</f>
        <v>#REF!</v>
      </c>
      <c r="H23" s="368" t="s">
        <v>732</v>
      </c>
      <c r="I23" s="368" t="e">
        <f>#REF!</f>
        <v>#REF!</v>
      </c>
      <c r="J23" s="182" t="s">
        <v>155</v>
      </c>
      <c r="K23" s="421" t="e">
        <f>#REF!</f>
        <v>#REF!</v>
      </c>
      <c r="L23" s="210">
        <f>data!J56</f>
        <v>15000</v>
      </c>
      <c r="M23" s="124" t="e">
        <f>K23*L23</f>
        <v>#REF!</v>
      </c>
    </row>
    <row r="24" spans="1:15">
      <c r="A24" s="124"/>
      <c r="B24" s="1267"/>
      <c r="C24" s="1267"/>
      <c r="D24" s="412"/>
      <c r="E24" s="82"/>
      <c r="F24" s="367"/>
      <c r="G24" s="124"/>
      <c r="H24" s="127"/>
      <c r="I24" s="127"/>
      <c r="J24" s="124"/>
      <c r="K24" s="369"/>
      <c r="L24" s="369"/>
      <c r="M24" s="124"/>
    </row>
    <row r="25" spans="1:15">
      <c r="A25" s="120"/>
      <c r="B25" s="119"/>
      <c r="C25" s="120"/>
      <c r="D25" s="120"/>
      <c r="E25" s="1256" t="s">
        <v>145</v>
      </c>
      <c r="F25" s="1257"/>
      <c r="G25" s="132" t="e">
        <f>SUM(G23:G24)</f>
        <v>#REF!</v>
      </c>
      <c r="H25" s="119"/>
      <c r="I25" s="119"/>
      <c r="J25" s="120"/>
      <c r="K25" s="1242" t="s">
        <v>157</v>
      </c>
      <c r="L25" s="1243"/>
      <c r="M25" s="132" t="e">
        <f>SUM(M23:M24)</f>
        <v>#REF!</v>
      </c>
    </row>
    <row r="26" spans="1:15">
      <c r="A26" s="120"/>
      <c r="B26" s="119"/>
      <c r="C26" s="120"/>
      <c r="D26" s="120"/>
      <c r="E26" s="407"/>
      <c r="F26" s="407"/>
      <c r="G26" s="122"/>
      <c r="H26" s="119"/>
      <c r="I26" s="119"/>
      <c r="J26" s="120"/>
      <c r="K26" s="408"/>
      <c r="L26" s="408"/>
      <c r="M26" s="122"/>
    </row>
    <row r="28" spans="1:15" ht="14.5" customHeight="1">
      <c r="D28" s="1266" t="s">
        <v>158</v>
      </c>
      <c r="E28" s="1266"/>
      <c r="F28" s="1266"/>
      <c r="G28" s="1266"/>
      <c r="H28" s="134" t="e">
        <f>G21+G25</f>
        <v>#REF!</v>
      </c>
      <c r="I28" s="373"/>
    </row>
    <row r="29" spans="1:15" ht="15.5" customHeight="1">
      <c r="D29" s="1266" t="s">
        <v>159</v>
      </c>
      <c r="E29" s="1266"/>
      <c r="F29" s="1266"/>
      <c r="G29" s="1266"/>
      <c r="H29" s="134" t="e">
        <f>H28*0.03</f>
        <v>#REF!</v>
      </c>
      <c r="I29" s="373"/>
    </row>
    <row r="30" spans="1:15" ht="16.25" customHeight="1">
      <c r="D30" s="1266" t="s">
        <v>160</v>
      </c>
      <c r="E30" s="1266"/>
      <c r="F30" s="1266"/>
      <c r="G30" s="1266"/>
      <c r="H30" s="134" t="e">
        <f>H28*0.16</f>
        <v>#REF!</v>
      </c>
      <c r="I30" s="373"/>
    </row>
    <row r="31" spans="1:15">
      <c r="D31" s="1266" t="s">
        <v>20</v>
      </c>
      <c r="E31" s="1266"/>
      <c r="F31" s="1266"/>
      <c r="G31" s="1266"/>
      <c r="H31" s="134" t="e">
        <f>H28+H29+H30</f>
        <v>#REF!</v>
      </c>
      <c r="I31" s="373"/>
    </row>
    <row r="32" spans="1:15" ht="14.5" customHeight="1">
      <c r="D32" s="1266" t="s">
        <v>161</v>
      </c>
      <c r="E32" s="1266"/>
      <c r="F32" s="1266"/>
      <c r="G32" s="1266"/>
      <c r="H32" s="134" t="e">
        <f>M21</f>
        <v>#REF!</v>
      </c>
      <c r="I32" s="373"/>
    </row>
    <row r="33" spans="4:12" ht="15.5" customHeight="1">
      <c r="D33" s="1266" t="s">
        <v>863</v>
      </c>
      <c r="E33" s="1266"/>
      <c r="F33" s="1266"/>
      <c r="G33" s="1266"/>
      <c r="H33" s="134" t="e">
        <f>H32*0.035</f>
        <v>#REF!</v>
      </c>
      <c r="I33" s="373"/>
    </row>
    <row r="34" spans="4:12" ht="14.5" customHeight="1">
      <c r="D34" s="1266" t="s">
        <v>162</v>
      </c>
      <c r="E34" s="1266"/>
      <c r="F34" s="1266"/>
      <c r="G34" s="1266"/>
      <c r="H34" s="134" t="e">
        <f>M25</f>
        <v>#REF!</v>
      </c>
      <c r="I34" s="373"/>
    </row>
    <row r="35" spans="4:12">
      <c r="D35" s="1266" t="s">
        <v>20</v>
      </c>
      <c r="E35" s="1266"/>
      <c r="F35" s="1266"/>
      <c r="G35" s="1266"/>
      <c r="H35" s="134" t="e">
        <f>H32+H33+H34</f>
        <v>#REF!</v>
      </c>
      <c r="I35" s="373"/>
    </row>
    <row r="36" spans="4:12">
      <c r="D36" s="1294" t="s">
        <v>163</v>
      </c>
      <c r="E36" s="1294"/>
      <c r="F36" s="1294"/>
      <c r="G36" s="1294"/>
      <c r="H36" s="499" t="e">
        <f>H31+H35</f>
        <v>#REF!</v>
      </c>
      <c r="I36" s="374"/>
    </row>
    <row r="37" spans="4:12" ht="16" thickBot="1">
      <c r="D37" s="1295" t="s">
        <v>164</v>
      </c>
      <c r="E37" s="1295"/>
      <c r="F37" s="1295"/>
      <c r="G37" s="1295"/>
      <c r="H37" s="211" t="e">
        <f>H28*0.03</f>
        <v>#REF!</v>
      </c>
      <c r="I37" s="375"/>
    </row>
    <row r="38" spans="4:12" ht="17" thickBot="1">
      <c r="D38" s="1296" t="s">
        <v>165</v>
      </c>
      <c r="E38" s="1296"/>
      <c r="F38" s="1296"/>
      <c r="G38" s="1296"/>
      <c r="H38" s="432" t="e">
        <f>H36+H37</f>
        <v>#REF!</v>
      </c>
      <c r="I38" s="375"/>
      <c r="K38" s="139"/>
      <c r="L38" s="376"/>
    </row>
  </sheetData>
  <mergeCells count="49">
    <mergeCell ref="D38:G38"/>
    <mergeCell ref="D33:G33"/>
    <mergeCell ref="D34:G34"/>
    <mergeCell ref="D35:G35"/>
    <mergeCell ref="D36:G36"/>
    <mergeCell ref="D37:G37"/>
    <mergeCell ref="H1:M1"/>
    <mergeCell ref="A2:B2"/>
    <mergeCell ref="D2:F2"/>
    <mergeCell ref="H2:M2"/>
    <mergeCell ref="A3:B3"/>
    <mergeCell ref="D3:F3"/>
    <mergeCell ref="H3:J3"/>
    <mergeCell ref="A11:B11"/>
    <mergeCell ref="H4:M4"/>
    <mergeCell ref="A5:B5"/>
    <mergeCell ref="D5:F5"/>
    <mergeCell ref="I5:M5"/>
    <mergeCell ref="A6:M6"/>
    <mergeCell ref="A7:M7"/>
    <mergeCell ref="B8:D8"/>
    <mergeCell ref="B9:C9"/>
    <mergeCell ref="H9:I9"/>
    <mergeCell ref="B10:C10"/>
    <mergeCell ref="H10:I10"/>
    <mergeCell ref="B12:C12"/>
    <mergeCell ref="H12:I12"/>
    <mergeCell ref="B13:C13"/>
    <mergeCell ref="H13:I13"/>
    <mergeCell ref="B14:C14"/>
    <mergeCell ref="H14:I14"/>
    <mergeCell ref="A22:B22"/>
    <mergeCell ref="B23:C23"/>
    <mergeCell ref="B24:C24"/>
    <mergeCell ref="E25:F25"/>
    <mergeCell ref="K21:L21"/>
    <mergeCell ref="K25:L25"/>
    <mergeCell ref="B15:C15"/>
    <mergeCell ref="H15:I15"/>
    <mergeCell ref="B19:C19"/>
    <mergeCell ref="H19:I19"/>
    <mergeCell ref="E21:F21"/>
    <mergeCell ref="B20:C20"/>
    <mergeCell ref="H20:I20"/>
    <mergeCell ref="D28:G28"/>
    <mergeCell ref="D29:G29"/>
    <mergeCell ref="D30:G30"/>
    <mergeCell ref="D31:G31"/>
    <mergeCell ref="D32:G32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296A-1BF2-4732-B541-E37C75A08BD6}">
  <dimension ref="A1:O38"/>
  <sheetViews>
    <sheetView topLeftCell="A7" zoomScale="110" zoomScaleNormal="110" workbookViewId="0">
      <selection activeCell="N17" sqref="N17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9.1640625" style="372" bestFit="1" customWidth="1"/>
    <col min="6" max="6" width="10.5" bestFit="1" customWidth="1"/>
    <col min="7" max="7" width="11.6640625" customWidth="1"/>
    <col min="8" max="8" width="34.5" customWidth="1"/>
    <col min="9" max="9" width="7.1640625" bestFit="1" customWidth="1"/>
    <col min="10" max="10" width="7" customWidth="1"/>
    <col min="11" max="11" width="8.83203125" bestFit="1" customWidth="1"/>
    <col min="12" max="12" width="12.33203125" style="372" customWidth="1"/>
    <col min="13" max="13" width="12.33203125" customWidth="1"/>
  </cols>
  <sheetData>
    <row r="1" spans="1:15" s="295" customFormat="1" ht="14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">
      <c r="A4" s="52" t="s">
        <v>397</v>
      </c>
      <c r="B4" s="52"/>
      <c r="C4" s="49"/>
      <c r="D4" s="409"/>
      <c r="E4" s="383"/>
      <c r="F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694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A8" s="419"/>
      <c r="B8" s="1290"/>
      <c r="C8" s="1290"/>
      <c r="D8" s="1290"/>
      <c r="E8" s="293"/>
      <c r="F8" s="293"/>
      <c r="G8" s="419"/>
      <c r="H8" s="419"/>
      <c r="I8" s="419"/>
      <c r="J8" s="419"/>
      <c r="K8" s="415"/>
      <c r="L8" s="415"/>
      <c r="M8" s="419"/>
    </row>
    <row r="9" spans="1:15" s="295" customFormat="1" ht="42">
      <c r="A9" s="416" t="s">
        <v>125</v>
      </c>
      <c r="B9" s="1291" t="s">
        <v>126</v>
      </c>
      <c r="C9" s="1291"/>
      <c r="D9" s="416" t="s">
        <v>127</v>
      </c>
      <c r="E9" s="299" t="s">
        <v>2</v>
      </c>
      <c r="F9" s="300" t="s">
        <v>128</v>
      </c>
      <c r="G9" s="300" t="s">
        <v>129</v>
      </c>
      <c r="H9" s="1291" t="s">
        <v>130</v>
      </c>
      <c r="I9" s="1291"/>
      <c r="J9" s="416" t="s">
        <v>127</v>
      </c>
      <c r="K9" s="299" t="s">
        <v>2</v>
      </c>
      <c r="L9" s="299" t="s">
        <v>131</v>
      </c>
      <c r="M9" s="300" t="s">
        <v>132</v>
      </c>
    </row>
    <row r="10" spans="1:15" s="295" customFormat="1" ht="13">
      <c r="A10" s="417">
        <v>1</v>
      </c>
      <c r="B10" s="1292">
        <v>2</v>
      </c>
      <c r="C10" s="1292"/>
      <c r="D10" s="417">
        <v>3</v>
      </c>
      <c r="E10" s="418">
        <v>4</v>
      </c>
      <c r="F10" s="301">
        <v>5</v>
      </c>
      <c r="G10" s="301">
        <v>6</v>
      </c>
      <c r="H10" s="1293">
        <v>7</v>
      </c>
      <c r="I10" s="1293"/>
      <c r="J10" s="418">
        <v>8</v>
      </c>
      <c r="K10" s="418">
        <v>9</v>
      </c>
      <c r="L10" s="418">
        <v>10</v>
      </c>
      <c r="M10" s="301">
        <v>11</v>
      </c>
    </row>
    <row r="11" spans="1:15">
      <c r="A11" s="1236" t="s">
        <v>730</v>
      </c>
      <c r="B11" s="1236"/>
      <c r="C11" s="302"/>
      <c r="D11" s="303"/>
      <c r="E11" s="202"/>
      <c r="F11" s="202"/>
      <c r="G11" s="88"/>
      <c r="H11" s="289"/>
      <c r="I11" s="87"/>
      <c r="J11" s="88"/>
      <c r="K11" s="202"/>
      <c r="L11" s="202"/>
      <c r="M11" s="304"/>
    </row>
    <row r="12" spans="1:15">
      <c r="A12" s="305" t="s">
        <v>134</v>
      </c>
      <c r="B12" s="1269" t="s">
        <v>376</v>
      </c>
      <c r="C12" s="1269"/>
      <c r="D12" s="306" t="s">
        <v>148</v>
      </c>
      <c r="E12" s="307">
        <f>data!I41</f>
        <v>101.66</v>
      </c>
      <c r="F12" s="308">
        <f>data!I62</f>
        <v>100</v>
      </c>
      <c r="G12" s="309">
        <f t="shared" ref="G12:G15" si="0">E12*F12</f>
        <v>10166</v>
      </c>
      <c r="H12" s="1270" t="s">
        <v>404</v>
      </c>
      <c r="I12" s="1271"/>
      <c r="J12" s="500" t="s">
        <v>138</v>
      </c>
      <c r="K12" s="307" t="e">
        <f>data!I48</f>
        <v>#REF!</v>
      </c>
      <c r="L12" s="307">
        <f>data!J48</f>
        <v>1900</v>
      </c>
      <c r="M12" s="309" t="e">
        <f t="shared" ref="M12:M19" si="1">K12*L12</f>
        <v>#REF!</v>
      </c>
    </row>
    <row r="13" spans="1:15" ht="16.25" customHeight="1">
      <c r="A13" s="305" t="s">
        <v>152</v>
      </c>
      <c r="B13" s="1269" t="s">
        <v>681</v>
      </c>
      <c r="C13" s="1269"/>
      <c r="D13" s="306" t="s">
        <v>85</v>
      </c>
      <c r="E13" s="307">
        <f>data!I44</f>
        <v>33</v>
      </c>
      <c r="F13" s="308">
        <f>data!I67</f>
        <v>2100</v>
      </c>
      <c r="G13" s="309">
        <f t="shared" si="0"/>
        <v>69300</v>
      </c>
      <c r="H13" s="1270" t="s">
        <v>695</v>
      </c>
      <c r="I13" s="1271"/>
      <c r="J13" s="500" t="s">
        <v>85</v>
      </c>
      <c r="K13" s="307">
        <f>data!I50</f>
        <v>33</v>
      </c>
      <c r="L13" s="307">
        <f>data!J50</f>
        <v>3060</v>
      </c>
      <c r="M13" s="309">
        <f t="shared" si="1"/>
        <v>100980</v>
      </c>
    </row>
    <row r="14" spans="1:15">
      <c r="A14" s="312" t="s">
        <v>174</v>
      </c>
      <c r="B14" s="1272" t="s">
        <v>675</v>
      </c>
      <c r="C14" s="1273"/>
      <c r="D14" s="306" t="s">
        <v>85</v>
      </c>
      <c r="E14" s="307">
        <f>data!I53</f>
        <v>33</v>
      </c>
      <c r="F14" s="308">
        <f>data!I70</f>
        <v>250</v>
      </c>
      <c r="G14" s="309">
        <f t="shared" si="0"/>
        <v>8250</v>
      </c>
      <c r="H14" s="1274" t="s">
        <v>689</v>
      </c>
      <c r="I14" s="1275"/>
      <c r="J14" s="500" t="s">
        <v>85</v>
      </c>
      <c r="K14" s="307">
        <f>data!I53</f>
        <v>33</v>
      </c>
      <c r="L14" s="307">
        <f>data!J53</f>
        <v>300</v>
      </c>
      <c r="M14" s="1108">
        <f t="shared" si="1"/>
        <v>9900</v>
      </c>
    </row>
    <row r="15" spans="1:15" ht="28.25" customHeight="1">
      <c r="A15" s="313" t="s">
        <v>194</v>
      </c>
      <c r="B15" s="1276" t="s">
        <v>996</v>
      </c>
      <c r="C15" s="1277"/>
      <c r="D15" s="315" t="s">
        <v>86</v>
      </c>
      <c r="E15" s="316">
        <f>data!I42</f>
        <v>102.75</v>
      </c>
      <c r="F15" s="317">
        <f>data!I71</f>
        <v>450</v>
      </c>
      <c r="G15" s="318">
        <f t="shared" si="0"/>
        <v>46237.5</v>
      </c>
      <c r="H15" s="1278" t="s">
        <v>994</v>
      </c>
      <c r="I15" s="1279"/>
      <c r="J15" s="501" t="s">
        <v>63</v>
      </c>
      <c r="K15" s="571" t="e">
        <f>data!I45</f>
        <v>#REF!</v>
      </c>
      <c r="L15" s="316">
        <f>data!J55</f>
        <v>17000</v>
      </c>
      <c r="M15" s="1107" t="e">
        <f t="shared" si="1"/>
        <v>#REF!</v>
      </c>
      <c r="O15" s="322"/>
    </row>
    <row r="16" spans="1:15" ht="13.25" customHeight="1">
      <c r="A16" s="1096"/>
      <c r="B16" s="1097"/>
      <c r="C16" s="1098"/>
      <c r="D16" s="1099"/>
      <c r="E16" s="1100"/>
      <c r="F16" s="1101"/>
      <c r="G16" s="1102"/>
      <c r="H16" s="1103" t="s">
        <v>990</v>
      </c>
      <c r="I16" s="1104"/>
      <c r="J16" s="1105" t="s">
        <v>144</v>
      </c>
      <c r="K16" s="1100" t="e">
        <f>#REF!</f>
        <v>#REF!</v>
      </c>
      <c r="L16" s="1100">
        <f>data!F59</f>
        <v>150</v>
      </c>
      <c r="M16" s="1107" t="e">
        <f t="shared" si="1"/>
        <v>#REF!</v>
      </c>
      <c r="O16" s="322"/>
    </row>
    <row r="17" spans="1:15" ht="13.25" customHeight="1">
      <c r="A17" s="1096"/>
      <c r="B17" s="1097"/>
      <c r="C17" s="1098"/>
      <c r="D17" s="1099"/>
      <c r="E17" s="1100"/>
      <c r="F17" s="1101"/>
      <c r="G17" s="1102"/>
      <c r="H17" s="1103" t="s">
        <v>1006</v>
      </c>
      <c r="I17" s="1104"/>
      <c r="J17" s="1105" t="s">
        <v>85</v>
      </c>
      <c r="K17" s="1100" t="e">
        <f>#REF!</f>
        <v>#REF!</v>
      </c>
      <c r="L17" s="1100">
        <f>data!E66</f>
        <v>47</v>
      </c>
      <c r="M17" s="321" t="e">
        <f t="shared" si="1"/>
        <v>#REF!</v>
      </c>
      <c r="O17" s="322"/>
    </row>
    <row r="18" spans="1:15" ht="13.25" customHeight="1">
      <c r="A18" s="1096"/>
      <c r="B18" s="1097"/>
      <c r="C18" s="1098"/>
      <c r="D18" s="1099"/>
      <c r="E18" s="1100"/>
      <c r="F18" s="1101"/>
      <c r="G18" s="1102"/>
      <c r="H18" s="1103" t="s">
        <v>1008</v>
      </c>
      <c r="I18" s="1104"/>
      <c r="J18" s="1105" t="s">
        <v>144</v>
      </c>
      <c r="K18" s="1100" t="e">
        <f>#REF!</f>
        <v>#REF!</v>
      </c>
      <c r="L18" s="1100">
        <f>data!E65</f>
        <v>380</v>
      </c>
      <c r="M18" s="321" t="e">
        <f t="shared" si="1"/>
        <v>#REF!</v>
      </c>
      <c r="O18" s="322"/>
    </row>
    <row r="19" spans="1:15">
      <c r="A19" s="330"/>
      <c r="B19" s="1280"/>
      <c r="C19" s="1281"/>
      <c r="D19" s="331"/>
      <c r="E19" s="209"/>
      <c r="F19" s="210"/>
      <c r="G19" s="332"/>
      <c r="H19" s="1282" t="s">
        <v>684</v>
      </c>
      <c r="I19" s="1283"/>
      <c r="J19" s="502" t="s">
        <v>85</v>
      </c>
      <c r="K19" s="209" t="e">
        <f>#REF!</f>
        <v>#REF!</v>
      </c>
      <c r="L19" s="209">
        <f>data!J54</f>
        <v>16</v>
      </c>
      <c r="M19" s="332" t="e">
        <f t="shared" si="1"/>
        <v>#REF!</v>
      </c>
    </row>
    <row r="20" spans="1:15">
      <c r="A20" s="910"/>
      <c r="B20" s="1285"/>
      <c r="C20" s="1286"/>
      <c r="D20" s="911"/>
      <c r="E20" s="912"/>
      <c r="F20" s="849"/>
      <c r="G20" s="913"/>
      <c r="H20" s="1287" t="s">
        <v>907</v>
      </c>
      <c r="I20" s="1288"/>
      <c r="J20" s="914" t="s">
        <v>85</v>
      </c>
      <c r="K20" s="912" t="e">
        <f>data!D64</f>
        <v>#REF!</v>
      </c>
      <c r="L20" s="912">
        <f>data!J22</f>
        <v>980</v>
      </c>
      <c r="M20" s="332" t="e">
        <f t="shared" ref="M20" si="2">K20*L20</f>
        <v>#REF!</v>
      </c>
    </row>
    <row r="21" spans="1:15">
      <c r="A21" s="88"/>
      <c r="B21" s="335"/>
      <c r="C21" s="88"/>
      <c r="D21" s="88"/>
      <c r="E21" s="1284" t="s">
        <v>145</v>
      </c>
      <c r="F21" s="1284"/>
      <c r="G21" s="336">
        <f>SUM(G12:G19)</f>
        <v>133953.5</v>
      </c>
      <c r="H21" s="87"/>
      <c r="I21" s="87"/>
      <c r="J21" s="88"/>
      <c r="K21" s="1268" t="s">
        <v>146</v>
      </c>
      <c r="L21" s="1268"/>
      <c r="M21" s="337" t="e">
        <f>SUM(M12:M20)</f>
        <v>#REF!</v>
      </c>
    </row>
    <row r="22" spans="1:15">
      <c r="A22" s="1300" t="s">
        <v>729</v>
      </c>
      <c r="B22" s="1249"/>
      <c r="C22" s="122"/>
      <c r="D22" s="120"/>
      <c r="E22" s="407"/>
      <c r="F22" s="407"/>
      <c r="G22" s="122"/>
      <c r="H22" s="503"/>
      <c r="I22" s="119"/>
      <c r="J22" s="120"/>
      <c r="K22" s="408"/>
      <c r="L22" s="408"/>
      <c r="M22" s="122"/>
    </row>
    <row r="23" spans="1:15">
      <c r="A23" s="124" t="s">
        <v>134</v>
      </c>
      <c r="B23" s="1267" t="s">
        <v>690</v>
      </c>
      <c r="C23" s="1267"/>
      <c r="D23" s="412" t="s">
        <v>63</v>
      </c>
      <c r="E23" s="446" t="e">
        <f>data!I45</f>
        <v>#REF!</v>
      </c>
      <c r="F23" s="367">
        <f>data!I72</f>
        <v>500</v>
      </c>
      <c r="G23" s="124" t="e">
        <f>E23*F23</f>
        <v>#REF!</v>
      </c>
      <c r="H23" s="368" t="s">
        <v>732</v>
      </c>
      <c r="I23" s="588" t="e">
        <f>#REF!</f>
        <v>#REF!</v>
      </c>
      <c r="J23" s="182" t="s">
        <v>155</v>
      </c>
      <c r="K23" s="421" t="e">
        <f>#REF!</f>
        <v>#REF!</v>
      </c>
      <c r="L23" s="210">
        <f>data!J57</f>
        <v>15000</v>
      </c>
      <c r="M23" s="124" t="e">
        <f>K23*L23</f>
        <v>#REF!</v>
      </c>
    </row>
    <row r="24" spans="1:15">
      <c r="A24" s="124"/>
      <c r="B24" s="1267"/>
      <c r="C24" s="1267"/>
      <c r="D24" s="412"/>
      <c r="E24" s="82"/>
      <c r="F24" s="367"/>
      <c r="G24" s="124"/>
      <c r="H24" s="127"/>
      <c r="I24" s="127"/>
      <c r="J24" s="124"/>
      <c r="K24" s="369"/>
      <c r="L24" s="369"/>
      <c r="M24" s="124"/>
    </row>
    <row r="25" spans="1:15">
      <c r="A25" s="120"/>
      <c r="B25" s="119"/>
      <c r="C25" s="120"/>
      <c r="D25" s="120"/>
      <c r="E25" s="1256" t="s">
        <v>145</v>
      </c>
      <c r="F25" s="1257"/>
      <c r="G25" s="132" t="e">
        <f>SUM(G23:G24)</f>
        <v>#REF!</v>
      </c>
      <c r="H25" s="119"/>
      <c r="I25" s="119"/>
      <c r="J25" s="120"/>
      <c r="K25" s="1242" t="s">
        <v>146</v>
      </c>
      <c r="L25" s="1243"/>
      <c r="M25" s="132" t="e">
        <f>SUM(M23:M24)</f>
        <v>#REF!</v>
      </c>
    </row>
    <row r="26" spans="1:15">
      <c r="A26" s="120"/>
      <c r="B26" s="119"/>
      <c r="C26" s="120"/>
      <c r="D26" s="120"/>
      <c r="E26" s="407"/>
      <c r="F26" s="407"/>
      <c r="G26" s="122"/>
      <c r="H26" s="119"/>
      <c r="I26" s="119"/>
      <c r="J26" s="120"/>
      <c r="K26" s="408"/>
      <c r="L26" s="408"/>
      <c r="M26" s="122"/>
    </row>
    <row r="28" spans="1:15" ht="14.5" customHeight="1">
      <c r="D28" s="1301" t="s">
        <v>158</v>
      </c>
      <c r="E28" s="1301"/>
      <c r="F28" s="1301"/>
      <c r="G28" s="1301"/>
      <c r="H28" s="134" t="e">
        <f>G21+G25</f>
        <v>#REF!</v>
      </c>
      <c r="I28" s="373"/>
    </row>
    <row r="29" spans="1:15" ht="13.25" customHeight="1">
      <c r="D29" s="1301" t="s">
        <v>159</v>
      </c>
      <c r="E29" s="1301"/>
      <c r="F29" s="1301"/>
      <c r="G29" s="1301"/>
      <c r="H29" s="134" t="e">
        <f>H28*0.03</f>
        <v>#REF!</v>
      </c>
      <c r="I29" s="373"/>
    </row>
    <row r="30" spans="1:15" ht="14.5" customHeight="1">
      <c r="D30" s="1301" t="s">
        <v>160</v>
      </c>
      <c r="E30" s="1301"/>
      <c r="F30" s="1301"/>
      <c r="G30" s="1301"/>
      <c r="H30" s="134" t="e">
        <f>H28*0.16</f>
        <v>#REF!</v>
      </c>
      <c r="I30" s="373"/>
    </row>
    <row r="31" spans="1:15">
      <c r="D31" s="1301" t="s">
        <v>20</v>
      </c>
      <c r="E31" s="1301"/>
      <c r="F31" s="1301"/>
      <c r="G31" s="1301"/>
      <c r="H31" s="134" t="e">
        <f>H28+H29+H30</f>
        <v>#REF!</v>
      </c>
      <c r="I31" s="373"/>
    </row>
    <row r="32" spans="1:15" ht="14.5" customHeight="1">
      <c r="D32" s="1301" t="s">
        <v>161</v>
      </c>
      <c r="E32" s="1301"/>
      <c r="F32" s="1301"/>
      <c r="G32" s="1301"/>
      <c r="H32" s="134" t="e">
        <f>M21</f>
        <v>#REF!</v>
      </c>
      <c r="I32" s="373"/>
    </row>
    <row r="33" spans="4:12" ht="12.5" customHeight="1">
      <c r="D33" s="1301" t="s">
        <v>863</v>
      </c>
      <c r="E33" s="1301"/>
      <c r="F33" s="1301"/>
      <c r="G33" s="1301"/>
      <c r="H33" s="134" t="e">
        <f>H32*0.035</f>
        <v>#REF!</v>
      </c>
      <c r="I33" s="373"/>
    </row>
    <row r="34" spans="4:12" ht="14.5" customHeight="1">
      <c r="D34" s="1301" t="s">
        <v>162</v>
      </c>
      <c r="E34" s="1301"/>
      <c r="F34" s="1301"/>
      <c r="G34" s="1301"/>
      <c r="H34" s="134" t="e">
        <f>M25</f>
        <v>#REF!</v>
      </c>
      <c r="I34" s="373"/>
    </row>
    <row r="35" spans="4:12">
      <c r="D35" s="1301" t="s">
        <v>20</v>
      </c>
      <c r="E35" s="1301"/>
      <c r="F35" s="1301"/>
      <c r="G35" s="1301"/>
      <c r="H35" s="134" t="e">
        <f>H32+H33+H34</f>
        <v>#REF!</v>
      </c>
      <c r="I35" s="373"/>
    </row>
    <row r="36" spans="4:12">
      <c r="D36" s="1303" t="s">
        <v>163</v>
      </c>
      <c r="E36" s="1303"/>
      <c r="F36" s="1303"/>
      <c r="G36" s="1303"/>
      <c r="H36" s="499" t="e">
        <f>H31+H35</f>
        <v>#REF!</v>
      </c>
      <c r="I36" s="374"/>
    </row>
    <row r="37" spans="4:12" ht="16" thickBot="1">
      <c r="D37" s="1304" t="s">
        <v>164</v>
      </c>
      <c r="E37" s="1304"/>
      <c r="F37" s="1304"/>
      <c r="G37" s="1304"/>
      <c r="H37" s="211" t="e">
        <f>H28*0.03</f>
        <v>#REF!</v>
      </c>
      <c r="I37" s="375"/>
    </row>
    <row r="38" spans="4:12" ht="15.5" customHeight="1" thickBot="1">
      <c r="D38" s="1302" t="s">
        <v>165</v>
      </c>
      <c r="E38" s="1302"/>
      <c r="F38" s="1302"/>
      <c r="G38" s="1302"/>
      <c r="H38" s="432" t="e">
        <f>H36+H37</f>
        <v>#REF!</v>
      </c>
      <c r="I38" s="375"/>
      <c r="K38" s="139"/>
      <c r="L38" s="376"/>
    </row>
  </sheetData>
  <mergeCells count="49">
    <mergeCell ref="D38:G38"/>
    <mergeCell ref="D33:G33"/>
    <mergeCell ref="D34:G34"/>
    <mergeCell ref="D35:G35"/>
    <mergeCell ref="D36:G36"/>
    <mergeCell ref="D37:G37"/>
    <mergeCell ref="H1:M1"/>
    <mergeCell ref="A2:B2"/>
    <mergeCell ref="D2:F2"/>
    <mergeCell ref="H2:M2"/>
    <mergeCell ref="A3:B3"/>
    <mergeCell ref="D3:F3"/>
    <mergeCell ref="H3:J3"/>
    <mergeCell ref="A11:B11"/>
    <mergeCell ref="H4:M4"/>
    <mergeCell ref="A5:B5"/>
    <mergeCell ref="D5:F5"/>
    <mergeCell ref="I5:M5"/>
    <mergeCell ref="A6:M6"/>
    <mergeCell ref="A7:M7"/>
    <mergeCell ref="B8:D8"/>
    <mergeCell ref="B9:C9"/>
    <mergeCell ref="H9:I9"/>
    <mergeCell ref="B10:C10"/>
    <mergeCell ref="H10:I10"/>
    <mergeCell ref="B12:C12"/>
    <mergeCell ref="H12:I12"/>
    <mergeCell ref="B13:C13"/>
    <mergeCell ref="H13:I13"/>
    <mergeCell ref="B14:C14"/>
    <mergeCell ref="H14:I14"/>
    <mergeCell ref="A22:B22"/>
    <mergeCell ref="B23:C23"/>
    <mergeCell ref="B24:C24"/>
    <mergeCell ref="E25:F25"/>
    <mergeCell ref="K21:L21"/>
    <mergeCell ref="K25:L25"/>
    <mergeCell ref="B15:C15"/>
    <mergeCell ref="H15:I15"/>
    <mergeCell ref="B19:C19"/>
    <mergeCell ref="H19:I19"/>
    <mergeCell ref="E21:F21"/>
    <mergeCell ref="B20:C20"/>
    <mergeCell ref="H20:I20"/>
    <mergeCell ref="D28:G28"/>
    <mergeCell ref="D29:G29"/>
    <mergeCell ref="D30:G30"/>
    <mergeCell ref="D31:G31"/>
    <mergeCell ref="D32:G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2A84-28FE-4CC9-A59A-09E410D4F3A2}">
  <dimension ref="A1:O38"/>
  <sheetViews>
    <sheetView topLeftCell="A7" zoomScale="110" zoomScaleNormal="110" workbookViewId="0">
      <selection activeCell="K20" sqref="K20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9.1640625" style="372" bestFit="1" customWidth="1"/>
    <col min="6" max="6" width="10.5" bestFit="1" customWidth="1"/>
    <col min="7" max="7" width="11.6640625" customWidth="1"/>
    <col min="8" max="8" width="34.5" customWidth="1"/>
    <col min="9" max="9" width="7.1640625" bestFit="1" customWidth="1"/>
    <col min="10" max="10" width="7" customWidth="1"/>
    <col min="11" max="11" width="8.33203125" bestFit="1" customWidth="1"/>
    <col min="12" max="12" width="12.33203125" style="372" customWidth="1"/>
    <col min="13" max="13" width="12.33203125" customWidth="1"/>
  </cols>
  <sheetData>
    <row r="1" spans="1:15" s="295" customFormat="1" ht="14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">
      <c r="A4" s="52" t="s">
        <v>397</v>
      </c>
      <c r="B4" s="52"/>
      <c r="C4" s="49"/>
      <c r="D4" s="409"/>
      <c r="E4" s="383"/>
      <c r="F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696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A8" s="419"/>
      <c r="B8" s="1290"/>
      <c r="C8" s="1290"/>
      <c r="D8" s="1290"/>
      <c r="E8" s="293"/>
      <c r="F8" s="293"/>
      <c r="G8" s="419"/>
      <c r="H8" s="419"/>
      <c r="I8" s="419"/>
      <c r="J8" s="419"/>
      <c r="K8" s="415"/>
      <c r="L8" s="415"/>
      <c r="M8" s="419"/>
    </row>
    <row r="9" spans="1:15" s="295" customFormat="1" ht="42">
      <c r="A9" s="416" t="s">
        <v>125</v>
      </c>
      <c r="B9" s="1291" t="s">
        <v>126</v>
      </c>
      <c r="C9" s="1291"/>
      <c r="D9" s="416" t="s">
        <v>127</v>
      </c>
      <c r="E9" s="299" t="s">
        <v>2</v>
      </c>
      <c r="F9" s="300" t="s">
        <v>128</v>
      </c>
      <c r="G9" s="300" t="s">
        <v>129</v>
      </c>
      <c r="H9" s="1291" t="s">
        <v>130</v>
      </c>
      <c r="I9" s="1291"/>
      <c r="J9" s="416" t="s">
        <v>127</v>
      </c>
      <c r="K9" s="299" t="s">
        <v>2</v>
      </c>
      <c r="L9" s="299" t="s">
        <v>131</v>
      </c>
      <c r="M9" s="300" t="s">
        <v>132</v>
      </c>
    </row>
    <row r="10" spans="1:15" s="295" customFormat="1" ht="13">
      <c r="A10" s="417">
        <v>1</v>
      </c>
      <c r="B10" s="1292">
        <v>2</v>
      </c>
      <c r="C10" s="1292"/>
      <c r="D10" s="417">
        <v>3</v>
      </c>
      <c r="E10" s="418">
        <v>4</v>
      </c>
      <c r="F10" s="301">
        <v>5</v>
      </c>
      <c r="G10" s="301">
        <v>6</v>
      </c>
      <c r="H10" s="1293">
        <v>7</v>
      </c>
      <c r="I10" s="1293"/>
      <c r="J10" s="418">
        <v>8</v>
      </c>
      <c r="K10" s="418">
        <v>9</v>
      </c>
      <c r="L10" s="418">
        <v>10</v>
      </c>
      <c r="M10" s="301">
        <v>11</v>
      </c>
    </row>
    <row r="11" spans="1:15">
      <c r="A11" s="1236" t="s">
        <v>730</v>
      </c>
      <c r="B11" s="1236"/>
      <c r="C11" s="302"/>
      <c r="D11" s="303"/>
      <c r="E11" s="202"/>
      <c r="F11" s="202"/>
      <c r="G11" s="88"/>
      <c r="H11" s="289"/>
      <c r="I11" s="87"/>
      <c r="J11" s="88"/>
      <c r="K11" s="202"/>
      <c r="L11" s="202"/>
      <c r="M11" s="304"/>
    </row>
    <row r="12" spans="1:15">
      <c r="A12" s="305" t="s">
        <v>134</v>
      </c>
      <c r="B12" s="1269" t="s">
        <v>376</v>
      </c>
      <c r="C12" s="1269"/>
      <c r="D12" s="306" t="s">
        <v>148</v>
      </c>
      <c r="E12" s="307">
        <f>data!I41</f>
        <v>101.66</v>
      </c>
      <c r="F12" s="308">
        <f>data!I62</f>
        <v>100</v>
      </c>
      <c r="G12" s="309">
        <f t="shared" ref="G12:G15" si="0">E12*F12</f>
        <v>10166</v>
      </c>
      <c r="H12" s="1270" t="s">
        <v>404</v>
      </c>
      <c r="I12" s="1271"/>
      <c r="J12" s="500" t="s">
        <v>138</v>
      </c>
      <c r="K12" s="307" t="e">
        <f>data!I48</f>
        <v>#REF!</v>
      </c>
      <c r="L12" s="307">
        <f>data!J48</f>
        <v>1900</v>
      </c>
      <c r="M12" s="309" t="e">
        <f t="shared" ref="M12:M19" si="1">K12*L12</f>
        <v>#REF!</v>
      </c>
    </row>
    <row r="13" spans="1:15" ht="16.25" customHeight="1">
      <c r="A13" s="305" t="s">
        <v>152</v>
      </c>
      <c r="B13" s="1269" t="s">
        <v>681</v>
      </c>
      <c r="C13" s="1269"/>
      <c r="D13" s="306" t="s">
        <v>85</v>
      </c>
      <c r="E13" s="307">
        <f>data!I51</f>
        <v>33</v>
      </c>
      <c r="F13" s="308">
        <f>data!I68</f>
        <v>2260</v>
      </c>
      <c r="G13" s="309">
        <f t="shared" si="0"/>
        <v>74580</v>
      </c>
      <c r="H13" s="1270" t="s">
        <v>697</v>
      </c>
      <c r="I13" s="1271"/>
      <c r="J13" s="500" t="s">
        <v>85</v>
      </c>
      <c r="K13" s="307">
        <f>data!I51</f>
        <v>33</v>
      </c>
      <c r="L13" s="307">
        <f>data!J51</f>
        <v>2870</v>
      </c>
      <c r="M13" s="309">
        <f t="shared" si="1"/>
        <v>94710</v>
      </c>
    </row>
    <row r="14" spans="1:15">
      <c r="A14" s="312" t="s">
        <v>174</v>
      </c>
      <c r="B14" s="1272" t="s">
        <v>675</v>
      </c>
      <c r="C14" s="1273"/>
      <c r="D14" s="306" t="s">
        <v>85</v>
      </c>
      <c r="E14" s="307">
        <f>data!I53</f>
        <v>33</v>
      </c>
      <c r="F14" s="308">
        <f>data!I70</f>
        <v>250</v>
      </c>
      <c r="G14" s="309">
        <f t="shared" si="0"/>
        <v>8250</v>
      </c>
      <c r="H14" s="1274" t="s">
        <v>689</v>
      </c>
      <c r="I14" s="1275"/>
      <c r="J14" s="500" t="s">
        <v>85</v>
      </c>
      <c r="K14" s="307">
        <f>data!I53</f>
        <v>33</v>
      </c>
      <c r="L14" s="307">
        <f>data!J53</f>
        <v>300</v>
      </c>
      <c r="M14" s="309">
        <f t="shared" si="1"/>
        <v>9900</v>
      </c>
    </row>
    <row r="15" spans="1:15" ht="28.25" customHeight="1">
      <c r="A15" s="313" t="s">
        <v>194</v>
      </c>
      <c r="B15" s="1276" t="s">
        <v>996</v>
      </c>
      <c r="C15" s="1277"/>
      <c r="D15" s="315" t="s">
        <v>86</v>
      </c>
      <c r="E15" s="316">
        <f>data!I42</f>
        <v>102.75</v>
      </c>
      <c r="F15" s="317">
        <f>data!I71</f>
        <v>450</v>
      </c>
      <c r="G15" s="318">
        <f t="shared" si="0"/>
        <v>46237.5</v>
      </c>
      <c r="H15" s="1278" t="s">
        <v>994</v>
      </c>
      <c r="I15" s="1279"/>
      <c r="J15" s="501" t="s">
        <v>63</v>
      </c>
      <c r="K15" s="316" t="e">
        <f>data!I45</f>
        <v>#REF!</v>
      </c>
      <c r="L15" s="316">
        <f>data!J55</f>
        <v>17000</v>
      </c>
      <c r="M15" s="321" t="e">
        <f t="shared" si="1"/>
        <v>#REF!</v>
      </c>
      <c r="O15" s="322"/>
    </row>
    <row r="16" spans="1:15">
      <c r="A16" s="1096"/>
      <c r="B16" s="1097"/>
      <c r="C16" s="1098"/>
      <c r="D16" s="1099"/>
      <c r="E16" s="1100"/>
      <c r="F16" s="1101"/>
      <c r="G16" s="1102"/>
      <c r="H16" s="1103" t="s">
        <v>990</v>
      </c>
      <c r="I16" s="1104"/>
      <c r="J16" s="1105" t="s">
        <v>144</v>
      </c>
      <c r="K16" s="1106" t="e">
        <f>#REF!</f>
        <v>#REF!</v>
      </c>
      <c r="L16" s="1100">
        <f>data!F59</f>
        <v>150</v>
      </c>
      <c r="M16" s="321" t="e">
        <f t="shared" si="1"/>
        <v>#REF!</v>
      </c>
      <c r="O16" s="322"/>
    </row>
    <row r="17" spans="1:15">
      <c r="A17" s="1096"/>
      <c r="B17" s="1097"/>
      <c r="C17" s="1098"/>
      <c r="D17" s="1099"/>
      <c r="E17" s="1100"/>
      <c r="F17" s="1101"/>
      <c r="G17" s="1102"/>
      <c r="H17" s="1103" t="s">
        <v>1006</v>
      </c>
      <c r="I17" s="1104"/>
      <c r="J17" s="1105" t="s">
        <v>85</v>
      </c>
      <c r="K17" s="1100" t="e">
        <f>#REF!</f>
        <v>#REF!</v>
      </c>
      <c r="L17" s="1100">
        <f>data!E66</f>
        <v>47</v>
      </c>
      <c r="M17" s="321" t="e">
        <f t="shared" si="1"/>
        <v>#REF!</v>
      </c>
      <c r="O17" s="322"/>
    </row>
    <row r="18" spans="1:15">
      <c r="A18" s="1096"/>
      <c r="B18" s="1097"/>
      <c r="C18" s="1098"/>
      <c r="D18" s="1099"/>
      <c r="E18" s="1100"/>
      <c r="F18" s="1101"/>
      <c r="G18" s="1102"/>
      <c r="H18" s="1103" t="s">
        <v>1008</v>
      </c>
      <c r="I18" s="1104"/>
      <c r="J18" s="1105" t="s">
        <v>144</v>
      </c>
      <c r="K18" s="1100" t="e">
        <f>#REF!</f>
        <v>#REF!</v>
      </c>
      <c r="L18" s="1100">
        <f>data!E65</f>
        <v>380</v>
      </c>
      <c r="M18" s="321" t="e">
        <f t="shared" si="1"/>
        <v>#REF!</v>
      </c>
      <c r="O18" s="322"/>
    </row>
    <row r="19" spans="1:15">
      <c r="A19" s="330"/>
      <c r="B19" s="1280"/>
      <c r="C19" s="1281"/>
      <c r="D19" s="331"/>
      <c r="E19" s="209"/>
      <c r="F19" s="210"/>
      <c r="G19" s="332"/>
      <c r="H19" s="1282" t="s">
        <v>684</v>
      </c>
      <c r="I19" s="1283"/>
      <c r="J19" s="502" t="s">
        <v>85</v>
      </c>
      <c r="K19" s="209" t="e">
        <f>#REF!</f>
        <v>#REF!</v>
      </c>
      <c r="L19" s="209">
        <f>data!J54</f>
        <v>16</v>
      </c>
      <c r="M19" s="332" t="e">
        <f t="shared" si="1"/>
        <v>#REF!</v>
      </c>
    </row>
    <row r="20" spans="1:15">
      <c r="A20" s="910"/>
      <c r="B20" s="1285"/>
      <c r="C20" s="1286"/>
      <c r="D20" s="911"/>
      <c r="E20" s="912"/>
      <c r="F20" s="849"/>
      <c r="G20" s="913"/>
      <c r="H20" s="1287" t="s">
        <v>907</v>
      </c>
      <c r="I20" s="1288"/>
      <c r="J20" s="914" t="s">
        <v>85</v>
      </c>
      <c r="K20" s="912" t="e">
        <f>data!D64</f>
        <v>#REF!</v>
      </c>
      <c r="L20" s="912">
        <f>data!J22</f>
        <v>980</v>
      </c>
      <c r="M20" s="332" t="e">
        <f t="shared" ref="M20" si="2">K20*L20</f>
        <v>#REF!</v>
      </c>
    </row>
    <row r="21" spans="1:15">
      <c r="A21" s="88"/>
      <c r="B21" s="335"/>
      <c r="C21" s="88"/>
      <c r="D21" s="88"/>
      <c r="E21" s="1284" t="s">
        <v>145</v>
      </c>
      <c r="F21" s="1284"/>
      <c r="G21" s="336">
        <f>SUM(G12:G19)</f>
        <v>139233.5</v>
      </c>
      <c r="H21" s="87"/>
      <c r="I21" s="87"/>
      <c r="J21" s="88"/>
      <c r="K21" s="1268" t="s">
        <v>146</v>
      </c>
      <c r="L21" s="1268"/>
      <c r="M21" s="337" t="e">
        <f>SUM(M12:M20)</f>
        <v>#REF!</v>
      </c>
    </row>
    <row r="22" spans="1:15">
      <c r="A22" s="1300" t="s">
        <v>729</v>
      </c>
      <c r="B22" s="1249"/>
      <c r="C22" s="122"/>
      <c r="D22" s="120"/>
      <c r="E22" s="407"/>
      <c r="F22" s="407"/>
      <c r="G22" s="122"/>
      <c r="H22" s="503"/>
      <c r="I22" s="119"/>
      <c r="J22" s="120"/>
      <c r="K22" s="408"/>
      <c r="L22" s="408"/>
      <c r="M22" s="122"/>
    </row>
    <row r="23" spans="1:15">
      <c r="A23" s="124" t="s">
        <v>134</v>
      </c>
      <c r="B23" s="1267" t="s">
        <v>690</v>
      </c>
      <c r="C23" s="1267"/>
      <c r="D23" s="412" t="s">
        <v>63</v>
      </c>
      <c r="E23" s="82" t="e">
        <f>data!I45</f>
        <v>#REF!</v>
      </c>
      <c r="F23" s="367">
        <f>data!I72</f>
        <v>500</v>
      </c>
      <c r="G23" s="124" t="e">
        <f>E23*F23</f>
        <v>#REF!</v>
      </c>
      <c r="H23" s="368" t="s">
        <v>732</v>
      </c>
      <c r="I23" s="368" t="e">
        <f>#REF!</f>
        <v>#REF!</v>
      </c>
      <c r="J23" s="182" t="s">
        <v>155</v>
      </c>
      <c r="K23" s="421" t="e">
        <f>#REF!</f>
        <v>#REF!</v>
      </c>
      <c r="L23" s="210">
        <f>data!J58</f>
        <v>15000</v>
      </c>
      <c r="M23" s="124" t="e">
        <f>K23*L23</f>
        <v>#REF!</v>
      </c>
    </row>
    <row r="24" spans="1:15">
      <c r="A24" s="124"/>
      <c r="B24" s="1267"/>
      <c r="C24" s="1267"/>
      <c r="D24" s="412"/>
      <c r="E24" s="82"/>
      <c r="F24" s="367"/>
      <c r="G24" s="124"/>
      <c r="H24" s="127"/>
      <c r="I24" s="127"/>
      <c r="J24" s="124"/>
      <c r="K24" s="369"/>
      <c r="L24" s="369"/>
      <c r="M24" s="124"/>
    </row>
    <row r="25" spans="1:15">
      <c r="A25" s="120"/>
      <c r="B25" s="119"/>
      <c r="C25" s="120"/>
      <c r="D25" s="120"/>
      <c r="E25" s="1256" t="s">
        <v>145</v>
      </c>
      <c r="F25" s="1257"/>
      <c r="G25" s="132" t="e">
        <f>SUM(G23:G24)</f>
        <v>#REF!</v>
      </c>
      <c r="H25" s="119"/>
      <c r="I25" s="119"/>
      <c r="J25" s="120"/>
      <c r="K25" s="1242" t="s">
        <v>157</v>
      </c>
      <c r="L25" s="1243"/>
      <c r="M25" s="132" t="e">
        <f>SUM(M23:M24)</f>
        <v>#REF!</v>
      </c>
    </row>
    <row r="26" spans="1:15">
      <c r="A26" s="120"/>
      <c r="B26" s="119"/>
      <c r="C26" s="120"/>
      <c r="D26" s="120"/>
      <c r="E26" s="407"/>
      <c r="F26" s="407"/>
      <c r="G26" s="122"/>
      <c r="H26" s="119"/>
      <c r="I26" s="119"/>
      <c r="J26" s="120"/>
      <c r="K26" s="408"/>
      <c r="L26" s="408"/>
      <c r="M26" s="122"/>
    </row>
    <row r="28" spans="1:15" ht="14.5" customHeight="1">
      <c r="D28" s="1301" t="s">
        <v>158</v>
      </c>
      <c r="E28" s="1301"/>
      <c r="F28" s="1301"/>
      <c r="G28" s="1301"/>
      <c r="H28" s="134" t="e">
        <f>G21+G25</f>
        <v>#REF!</v>
      </c>
      <c r="I28" s="373"/>
    </row>
    <row r="29" spans="1:15" ht="12.5" customHeight="1">
      <c r="D29" s="1301" t="s">
        <v>159</v>
      </c>
      <c r="E29" s="1301"/>
      <c r="F29" s="1301"/>
      <c r="G29" s="1301"/>
      <c r="H29" s="134" t="e">
        <f>H28*0.03</f>
        <v>#REF!</v>
      </c>
      <c r="I29" s="373"/>
    </row>
    <row r="30" spans="1:15" ht="14.5" customHeight="1">
      <c r="D30" s="1301" t="s">
        <v>160</v>
      </c>
      <c r="E30" s="1301"/>
      <c r="F30" s="1301"/>
      <c r="G30" s="1301"/>
      <c r="H30" s="134" t="e">
        <f>H28*0.16</f>
        <v>#REF!</v>
      </c>
      <c r="I30" s="373"/>
    </row>
    <row r="31" spans="1:15">
      <c r="D31" s="1301" t="s">
        <v>20</v>
      </c>
      <c r="E31" s="1301"/>
      <c r="F31" s="1301"/>
      <c r="G31" s="1301"/>
      <c r="H31" s="134" t="e">
        <f>H28+H29+H30</f>
        <v>#REF!</v>
      </c>
      <c r="I31" s="373"/>
    </row>
    <row r="32" spans="1:15" ht="14.5" customHeight="1">
      <c r="D32" s="1301" t="s">
        <v>161</v>
      </c>
      <c r="E32" s="1301"/>
      <c r="F32" s="1301"/>
      <c r="G32" s="1301"/>
      <c r="H32" s="134" t="e">
        <f>M21</f>
        <v>#REF!</v>
      </c>
      <c r="I32" s="373"/>
    </row>
    <row r="33" spans="4:12" ht="15" customHeight="1">
      <c r="D33" s="1301" t="s">
        <v>863</v>
      </c>
      <c r="E33" s="1301"/>
      <c r="F33" s="1301"/>
      <c r="G33" s="1301"/>
      <c r="H33" s="134" t="e">
        <f>H32*0.035</f>
        <v>#REF!</v>
      </c>
      <c r="I33" s="373"/>
    </row>
    <row r="34" spans="4:12" ht="14.5" customHeight="1">
      <c r="D34" s="1301" t="s">
        <v>162</v>
      </c>
      <c r="E34" s="1301"/>
      <c r="F34" s="1301"/>
      <c r="G34" s="1301"/>
      <c r="H34" s="134" t="e">
        <f>M25</f>
        <v>#REF!</v>
      </c>
      <c r="I34" s="373"/>
    </row>
    <row r="35" spans="4:12">
      <c r="D35" s="1301" t="s">
        <v>20</v>
      </c>
      <c r="E35" s="1301"/>
      <c r="F35" s="1301"/>
      <c r="G35" s="1301"/>
      <c r="H35" s="134" t="e">
        <f>H32+H33+H34</f>
        <v>#REF!</v>
      </c>
      <c r="I35" s="373"/>
    </row>
    <row r="36" spans="4:12">
      <c r="D36" s="1303" t="s">
        <v>163</v>
      </c>
      <c r="E36" s="1303"/>
      <c r="F36" s="1303"/>
      <c r="G36" s="1303"/>
      <c r="H36" s="499" t="e">
        <f>H31+H35</f>
        <v>#REF!</v>
      </c>
      <c r="I36" s="374"/>
    </row>
    <row r="37" spans="4:12" ht="16" thickBot="1">
      <c r="D37" s="1304" t="s">
        <v>164</v>
      </c>
      <c r="E37" s="1304"/>
      <c r="F37" s="1304"/>
      <c r="G37" s="1304"/>
      <c r="H37" s="211" t="e">
        <f>H28*0.03</f>
        <v>#REF!</v>
      </c>
      <c r="I37" s="375"/>
    </row>
    <row r="38" spans="4:12" ht="17" thickBot="1">
      <c r="D38" s="1302" t="s">
        <v>165</v>
      </c>
      <c r="E38" s="1302"/>
      <c r="F38" s="1302"/>
      <c r="G38" s="1302"/>
      <c r="H38" s="432" t="e">
        <f>H36+H37</f>
        <v>#REF!</v>
      </c>
      <c r="I38" s="375"/>
      <c r="K38" s="139"/>
      <c r="L38" s="376"/>
    </row>
  </sheetData>
  <mergeCells count="49">
    <mergeCell ref="D38:G38"/>
    <mergeCell ref="D33:G33"/>
    <mergeCell ref="D34:G34"/>
    <mergeCell ref="D35:G35"/>
    <mergeCell ref="D36:G36"/>
    <mergeCell ref="D37:G37"/>
    <mergeCell ref="H1:M1"/>
    <mergeCell ref="A2:B2"/>
    <mergeCell ref="D2:F2"/>
    <mergeCell ref="H2:M2"/>
    <mergeCell ref="A3:B3"/>
    <mergeCell ref="D3:F3"/>
    <mergeCell ref="H3:J3"/>
    <mergeCell ref="A11:B11"/>
    <mergeCell ref="H4:M4"/>
    <mergeCell ref="A5:B5"/>
    <mergeCell ref="D5:F5"/>
    <mergeCell ref="I5:M5"/>
    <mergeCell ref="A6:M6"/>
    <mergeCell ref="A7:M7"/>
    <mergeCell ref="B8:D8"/>
    <mergeCell ref="B9:C9"/>
    <mergeCell ref="H9:I9"/>
    <mergeCell ref="B10:C10"/>
    <mergeCell ref="H10:I10"/>
    <mergeCell ref="B12:C12"/>
    <mergeCell ref="H12:I12"/>
    <mergeCell ref="B13:C13"/>
    <mergeCell ref="H13:I13"/>
    <mergeCell ref="B14:C14"/>
    <mergeCell ref="H14:I14"/>
    <mergeCell ref="A22:B22"/>
    <mergeCell ref="B23:C23"/>
    <mergeCell ref="B24:C24"/>
    <mergeCell ref="E25:F25"/>
    <mergeCell ref="K21:L21"/>
    <mergeCell ref="K25:L25"/>
    <mergeCell ref="B15:C15"/>
    <mergeCell ref="H15:I15"/>
    <mergeCell ref="B19:C19"/>
    <mergeCell ref="H19:I19"/>
    <mergeCell ref="E21:F21"/>
    <mergeCell ref="B20:C20"/>
    <mergeCell ref="H20:I20"/>
    <mergeCell ref="D28:G28"/>
    <mergeCell ref="D29:G29"/>
    <mergeCell ref="D30:G30"/>
    <mergeCell ref="D31:G31"/>
    <mergeCell ref="D32:G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DF25-1115-44C1-85B9-595E4123C169}">
  <dimension ref="A1:O38"/>
  <sheetViews>
    <sheetView workbookViewId="0">
      <selection activeCell="K20" sqref="K20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9.1640625" style="372" bestFit="1" customWidth="1"/>
    <col min="6" max="6" width="10.5" bestFit="1" customWidth="1"/>
    <col min="7" max="7" width="11.6640625" customWidth="1"/>
    <col min="8" max="8" width="34.5" customWidth="1"/>
    <col min="9" max="9" width="7.1640625" bestFit="1" customWidth="1"/>
    <col min="10" max="10" width="7" customWidth="1"/>
    <col min="11" max="11" width="8.33203125" bestFit="1" customWidth="1"/>
    <col min="12" max="12" width="12.33203125" style="372" customWidth="1"/>
    <col min="13" max="13" width="12.33203125" customWidth="1"/>
  </cols>
  <sheetData>
    <row r="1" spans="1:15" s="295" customFormat="1" ht="14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">
      <c r="A4" s="52" t="s">
        <v>397</v>
      </c>
      <c r="B4" s="52"/>
      <c r="C4" s="49"/>
      <c r="D4" s="409"/>
      <c r="E4" s="383"/>
      <c r="F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698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A8" s="419"/>
      <c r="B8" s="1290"/>
      <c r="C8" s="1290"/>
      <c r="D8" s="1290"/>
      <c r="E8" s="293"/>
      <c r="F8" s="293"/>
      <c r="G8" s="419"/>
      <c r="H8" s="419"/>
      <c r="I8" s="419"/>
      <c r="J8" s="419"/>
      <c r="K8" s="415"/>
      <c r="L8" s="415"/>
      <c r="M8" s="419"/>
    </row>
    <row r="9" spans="1:15" s="295" customFormat="1" ht="42">
      <c r="A9" s="416" t="s">
        <v>125</v>
      </c>
      <c r="B9" s="1291" t="s">
        <v>126</v>
      </c>
      <c r="C9" s="1291"/>
      <c r="D9" s="416" t="s">
        <v>127</v>
      </c>
      <c r="E9" s="299" t="s">
        <v>2</v>
      </c>
      <c r="F9" s="300" t="s">
        <v>128</v>
      </c>
      <c r="G9" s="300" t="s">
        <v>129</v>
      </c>
      <c r="H9" s="1291" t="s">
        <v>130</v>
      </c>
      <c r="I9" s="1291"/>
      <c r="J9" s="416" t="s">
        <v>127</v>
      </c>
      <c r="K9" s="299" t="s">
        <v>2</v>
      </c>
      <c r="L9" s="299" t="s">
        <v>131</v>
      </c>
      <c r="M9" s="300" t="s">
        <v>132</v>
      </c>
    </row>
    <row r="10" spans="1:15" s="295" customFormat="1" ht="13">
      <c r="A10" s="417">
        <v>1</v>
      </c>
      <c r="B10" s="1292">
        <v>2</v>
      </c>
      <c r="C10" s="1292"/>
      <c r="D10" s="417">
        <v>3</v>
      </c>
      <c r="E10" s="418">
        <v>4</v>
      </c>
      <c r="F10" s="301">
        <v>5</v>
      </c>
      <c r="G10" s="301">
        <v>6</v>
      </c>
      <c r="H10" s="1293">
        <v>7</v>
      </c>
      <c r="I10" s="1293"/>
      <c r="J10" s="418">
        <v>8</v>
      </c>
      <c r="K10" s="418">
        <v>9</v>
      </c>
      <c r="L10" s="418">
        <v>10</v>
      </c>
      <c r="M10" s="301">
        <v>11</v>
      </c>
    </row>
    <row r="11" spans="1:15">
      <c r="A11" s="1236" t="s">
        <v>730</v>
      </c>
      <c r="B11" s="1236"/>
      <c r="C11" s="302"/>
      <c r="D11" s="303"/>
      <c r="E11" s="202"/>
      <c r="F11" s="202"/>
      <c r="G11" s="88"/>
      <c r="H11" s="289"/>
      <c r="I11" s="87"/>
      <c r="J11" s="88"/>
      <c r="K11" s="202"/>
      <c r="L11" s="202"/>
      <c r="M11" s="304"/>
    </row>
    <row r="12" spans="1:15">
      <c r="A12" s="305" t="s">
        <v>134</v>
      </c>
      <c r="B12" s="1269" t="s">
        <v>376</v>
      </c>
      <c r="C12" s="1269"/>
      <c r="D12" s="306" t="s">
        <v>148</v>
      </c>
      <c r="E12" s="307">
        <f>data!I41</f>
        <v>101.66</v>
      </c>
      <c r="F12" s="308">
        <f>data!I62</f>
        <v>100</v>
      </c>
      <c r="G12" s="309">
        <f t="shared" ref="G12:G15" si="0">E12*F12</f>
        <v>10166</v>
      </c>
      <c r="H12" s="1270" t="s">
        <v>404</v>
      </c>
      <c r="I12" s="1271"/>
      <c r="J12" s="500" t="s">
        <v>138</v>
      </c>
      <c r="K12" s="307" t="e">
        <f>data!I48</f>
        <v>#REF!</v>
      </c>
      <c r="L12" s="307">
        <f>data!J48</f>
        <v>1900</v>
      </c>
      <c r="M12" s="309" t="e">
        <f t="shared" ref="M12:M19" si="1">K12*L12</f>
        <v>#REF!</v>
      </c>
    </row>
    <row r="13" spans="1:15" ht="16.25" customHeight="1">
      <c r="A13" s="305" t="s">
        <v>152</v>
      </c>
      <c r="B13" s="1269" t="s">
        <v>681</v>
      </c>
      <c r="C13" s="1269"/>
      <c r="D13" s="306" t="s">
        <v>85</v>
      </c>
      <c r="E13" s="307">
        <f>data!I52</f>
        <v>33</v>
      </c>
      <c r="F13" s="308">
        <f>data!I69</f>
        <v>2100</v>
      </c>
      <c r="G13" s="309">
        <f t="shared" si="0"/>
        <v>69300</v>
      </c>
      <c r="H13" s="1270" t="s">
        <v>699</v>
      </c>
      <c r="I13" s="1271"/>
      <c r="J13" s="500" t="s">
        <v>85</v>
      </c>
      <c r="K13" s="307">
        <f>data!I52</f>
        <v>33</v>
      </c>
      <c r="L13" s="307">
        <f>data!J52</f>
        <v>3990</v>
      </c>
      <c r="M13" s="309">
        <f t="shared" si="1"/>
        <v>131670</v>
      </c>
    </row>
    <row r="14" spans="1:15">
      <c r="A14" s="312" t="s">
        <v>174</v>
      </c>
      <c r="B14" s="1272" t="s">
        <v>675</v>
      </c>
      <c r="C14" s="1273"/>
      <c r="D14" s="306" t="s">
        <v>85</v>
      </c>
      <c r="E14" s="307">
        <f>data!I53</f>
        <v>33</v>
      </c>
      <c r="F14" s="308">
        <f>data!I70</f>
        <v>250</v>
      </c>
      <c r="G14" s="309">
        <f t="shared" si="0"/>
        <v>8250</v>
      </c>
      <c r="H14" s="1274" t="s">
        <v>689</v>
      </c>
      <c r="I14" s="1275"/>
      <c r="J14" s="500" t="s">
        <v>85</v>
      </c>
      <c r="K14" s="307">
        <f>data!I53</f>
        <v>33</v>
      </c>
      <c r="L14" s="307">
        <f>data!J53</f>
        <v>300</v>
      </c>
      <c r="M14" s="309">
        <f t="shared" si="1"/>
        <v>9900</v>
      </c>
    </row>
    <row r="15" spans="1:15" ht="27" customHeight="1">
      <c r="A15" s="313" t="s">
        <v>194</v>
      </c>
      <c r="B15" s="1276" t="s">
        <v>996</v>
      </c>
      <c r="C15" s="1277"/>
      <c r="D15" s="315" t="s">
        <v>86</v>
      </c>
      <c r="E15" s="316">
        <f>data!I42</f>
        <v>102.75</v>
      </c>
      <c r="F15" s="317">
        <f>data!D75</f>
        <v>450</v>
      </c>
      <c r="G15" s="318">
        <f t="shared" si="0"/>
        <v>46237.5</v>
      </c>
      <c r="H15" s="1278" t="s">
        <v>994</v>
      </c>
      <c r="I15" s="1279"/>
      <c r="J15" s="501" t="s">
        <v>63</v>
      </c>
      <c r="K15" s="316" t="e">
        <f>data!I45</f>
        <v>#REF!</v>
      </c>
      <c r="L15" s="316">
        <f>data!J55</f>
        <v>17000</v>
      </c>
      <c r="M15" s="321" t="e">
        <f t="shared" si="1"/>
        <v>#REF!</v>
      </c>
      <c r="O15" s="322"/>
    </row>
    <row r="16" spans="1:15">
      <c r="A16" s="1096"/>
      <c r="B16" s="1097"/>
      <c r="C16" s="1098"/>
      <c r="D16" s="1099"/>
      <c r="E16" s="1100"/>
      <c r="F16" s="1101"/>
      <c r="G16" s="1102"/>
      <c r="H16" s="1103" t="s">
        <v>990</v>
      </c>
      <c r="I16" s="1104"/>
      <c r="J16" s="1105" t="s">
        <v>144</v>
      </c>
      <c r="K16" s="1100" t="e">
        <f>#REF!</f>
        <v>#REF!</v>
      </c>
      <c r="L16" s="1100">
        <f>data!F59</f>
        <v>150</v>
      </c>
      <c r="M16" s="321" t="e">
        <f t="shared" si="1"/>
        <v>#REF!</v>
      </c>
      <c r="O16" s="322"/>
    </row>
    <row r="17" spans="1:15">
      <c r="A17" s="1096"/>
      <c r="B17" s="1097"/>
      <c r="C17" s="1098"/>
      <c r="D17" s="1099"/>
      <c r="E17" s="1100"/>
      <c r="F17" s="1101"/>
      <c r="G17" s="1102"/>
      <c r="H17" s="1103" t="s">
        <v>1006</v>
      </c>
      <c r="I17" s="1104"/>
      <c r="J17" s="1105" t="s">
        <v>85</v>
      </c>
      <c r="K17" s="1100" t="e">
        <f>#REF!</f>
        <v>#REF!</v>
      </c>
      <c r="L17" s="1100">
        <f>data!E66</f>
        <v>47</v>
      </c>
      <c r="M17" s="321" t="e">
        <f t="shared" si="1"/>
        <v>#REF!</v>
      </c>
      <c r="O17" s="322"/>
    </row>
    <row r="18" spans="1:15">
      <c r="A18" s="1096"/>
      <c r="B18" s="1097"/>
      <c r="C18" s="1098"/>
      <c r="D18" s="1099"/>
      <c r="E18" s="1100"/>
      <c r="F18" s="1101"/>
      <c r="G18" s="1102"/>
      <c r="H18" s="1103" t="s">
        <v>1008</v>
      </c>
      <c r="I18" s="1104"/>
      <c r="J18" s="1105" t="s">
        <v>144</v>
      </c>
      <c r="K18" s="1100" t="e">
        <f>#REF!</f>
        <v>#REF!</v>
      </c>
      <c r="L18" s="1100">
        <f>data!E65</f>
        <v>380</v>
      </c>
      <c r="M18" s="321" t="e">
        <f t="shared" si="1"/>
        <v>#REF!</v>
      </c>
      <c r="O18" s="322"/>
    </row>
    <row r="19" spans="1:15">
      <c r="A19" s="330"/>
      <c r="B19" s="1280"/>
      <c r="C19" s="1281"/>
      <c r="D19" s="331"/>
      <c r="E19" s="209"/>
      <c r="F19" s="210"/>
      <c r="G19" s="332"/>
      <c r="H19" s="1282" t="s">
        <v>684</v>
      </c>
      <c r="I19" s="1283"/>
      <c r="J19" s="502" t="s">
        <v>85</v>
      </c>
      <c r="K19" s="209" t="e">
        <f>#REF!</f>
        <v>#REF!</v>
      </c>
      <c r="L19" s="209">
        <f>data!J54</f>
        <v>16</v>
      </c>
      <c r="M19" s="332" t="e">
        <f t="shared" si="1"/>
        <v>#REF!</v>
      </c>
    </row>
    <row r="20" spans="1:15">
      <c r="A20" s="910"/>
      <c r="B20" s="1285"/>
      <c r="C20" s="1286"/>
      <c r="D20" s="911"/>
      <c r="E20" s="912"/>
      <c r="F20" s="849"/>
      <c r="G20" s="913"/>
      <c r="H20" s="1287" t="s">
        <v>907</v>
      </c>
      <c r="I20" s="1288"/>
      <c r="J20" s="914" t="s">
        <v>85</v>
      </c>
      <c r="K20" s="912" t="e">
        <f>data!D64</f>
        <v>#REF!</v>
      </c>
      <c r="L20" s="912">
        <f>data!J22</f>
        <v>980</v>
      </c>
      <c r="M20" s="332" t="e">
        <f t="shared" ref="M20" si="2">K20*L20</f>
        <v>#REF!</v>
      </c>
    </row>
    <row r="21" spans="1:15">
      <c r="A21" s="88"/>
      <c r="B21" s="335"/>
      <c r="C21" s="88"/>
      <c r="D21" s="88"/>
      <c r="E21" s="1234" t="s">
        <v>145</v>
      </c>
      <c r="F21" s="1234"/>
      <c r="G21" s="336">
        <f>SUM(G12:G19)</f>
        <v>133953.5</v>
      </c>
      <c r="H21" s="87"/>
      <c r="I21" s="87"/>
      <c r="J21" s="88"/>
      <c r="K21" s="1235" t="s">
        <v>146</v>
      </c>
      <c r="L21" s="1235"/>
      <c r="M21" s="337" t="e">
        <f>SUM(M12:M20)</f>
        <v>#REF!</v>
      </c>
    </row>
    <row r="22" spans="1:15">
      <c r="A22" s="1300" t="s">
        <v>729</v>
      </c>
      <c r="B22" s="1249"/>
      <c r="C22" s="122"/>
      <c r="D22" s="120"/>
      <c r="E22" s="407"/>
      <c r="F22" s="407"/>
      <c r="G22" s="122"/>
      <c r="H22" s="503"/>
      <c r="I22" s="119"/>
      <c r="J22" s="120"/>
      <c r="K22" s="408"/>
      <c r="L22" s="408"/>
      <c r="M22" s="122"/>
    </row>
    <row r="23" spans="1:15">
      <c r="A23" s="124" t="s">
        <v>134</v>
      </c>
      <c r="B23" s="1267" t="s">
        <v>690</v>
      </c>
      <c r="C23" s="1267"/>
      <c r="D23" s="412" t="s">
        <v>63</v>
      </c>
      <c r="E23" s="446" t="e">
        <f>data!I45</f>
        <v>#REF!</v>
      </c>
      <c r="F23" s="367">
        <f>data!I72</f>
        <v>500</v>
      </c>
      <c r="G23" s="124" t="e">
        <f>E23*F23</f>
        <v>#REF!</v>
      </c>
      <c r="H23" s="368" t="s">
        <v>732</v>
      </c>
      <c r="I23" s="588" t="e">
        <f>#REF!</f>
        <v>#REF!</v>
      </c>
      <c r="J23" s="182" t="s">
        <v>155</v>
      </c>
      <c r="K23" s="421" t="e">
        <f>#REF!</f>
        <v>#REF!</v>
      </c>
      <c r="L23" s="210">
        <f>data!J59</f>
        <v>15000</v>
      </c>
      <c r="M23" s="124" t="e">
        <f>K23*L23</f>
        <v>#REF!</v>
      </c>
    </row>
    <row r="24" spans="1:15">
      <c r="A24" s="124"/>
      <c r="B24" s="1267"/>
      <c r="C24" s="1267"/>
      <c r="D24" s="412"/>
      <c r="E24" s="82"/>
      <c r="F24" s="367"/>
      <c r="G24" s="124"/>
      <c r="H24" s="127"/>
      <c r="I24" s="127"/>
      <c r="J24" s="124"/>
      <c r="K24" s="369"/>
      <c r="L24" s="369"/>
      <c r="M24" s="124"/>
    </row>
    <row r="25" spans="1:15">
      <c r="A25" s="120"/>
      <c r="B25" s="119"/>
      <c r="C25" s="120"/>
      <c r="D25" s="120"/>
      <c r="E25" s="1240" t="s">
        <v>145</v>
      </c>
      <c r="F25" s="1241"/>
      <c r="G25" s="132" t="e">
        <f>SUM(G23:G24)</f>
        <v>#REF!</v>
      </c>
      <c r="H25" s="119"/>
      <c r="I25" s="119"/>
      <c r="J25" s="120"/>
      <c r="K25" s="1242" t="s">
        <v>157</v>
      </c>
      <c r="L25" s="1243"/>
      <c r="M25" s="132" t="e">
        <f>SUM(M23:M24)</f>
        <v>#REF!</v>
      </c>
    </row>
    <row r="26" spans="1:15">
      <c r="A26" s="120"/>
      <c r="B26" s="119"/>
      <c r="C26" s="120"/>
      <c r="D26" s="120"/>
      <c r="E26" s="407"/>
      <c r="F26" s="407"/>
      <c r="G26" s="122"/>
      <c r="H26" s="119"/>
      <c r="I26" s="119"/>
      <c r="J26" s="120"/>
      <c r="K26" s="408"/>
      <c r="L26" s="408"/>
      <c r="M26" s="122"/>
    </row>
    <row r="28" spans="1:15" ht="14.5" customHeight="1">
      <c r="D28" s="1266" t="s">
        <v>158</v>
      </c>
      <c r="E28" s="1266"/>
      <c r="F28" s="1266"/>
      <c r="G28" s="1266"/>
      <c r="H28" s="134" t="e">
        <f>G21+G25</f>
        <v>#REF!</v>
      </c>
      <c r="I28" s="373"/>
    </row>
    <row r="29" spans="1:15" ht="15" customHeight="1">
      <c r="D29" s="1266" t="s">
        <v>159</v>
      </c>
      <c r="E29" s="1266"/>
      <c r="F29" s="1266"/>
      <c r="G29" s="1266"/>
      <c r="H29" s="134" t="e">
        <f>H28*0.03</f>
        <v>#REF!</v>
      </c>
      <c r="I29" s="373"/>
    </row>
    <row r="30" spans="1:15" ht="18.5" customHeight="1">
      <c r="D30" s="1266" t="s">
        <v>160</v>
      </c>
      <c r="E30" s="1266"/>
      <c r="F30" s="1266"/>
      <c r="G30" s="1266"/>
      <c r="H30" s="134" t="e">
        <f>H28*0.16</f>
        <v>#REF!</v>
      </c>
      <c r="I30" s="373"/>
    </row>
    <row r="31" spans="1:15">
      <c r="D31" s="1266" t="s">
        <v>20</v>
      </c>
      <c r="E31" s="1266"/>
      <c r="F31" s="1266"/>
      <c r="G31" s="1266"/>
      <c r="H31" s="134" t="e">
        <f>H28+H29+H30</f>
        <v>#REF!</v>
      </c>
      <c r="I31" s="373"/>
    </row>
    <row r="32" spans="1:15" ht="14.5" customHeight="1">
      <c r="D32" s="1266" t="s">
        <v>161</v>
      </c>
      <c r="E32" s="1266"/>
      <c r="F32" s="1266"/>
      <c r="G32" s="1266"/>
      <c r="H32" s="134" t="e">
        <f>M21</f>
        <v>#REF!</v>
      </c>
      <c r="I32" s="373"/>
    </row>
    <row r="33" spans="4:12" ht="19.25" customHeight="1">
      <c r="D33" s="1266" t="s">
        <v>863</v>
      </c>
      <c r="E33" s="1266"/>
      <c r="F33" s="1266"/>
      <c r="G33" s="1266"/>
      <c r="H33" s="134" t="e">
        <f>H32*0.035</f>
        <v>#REF!</v>
      </c>
      <c r="I33" s="373"/>
    </row>
    <row r="34" spans="4:12" ht="14.5" customHeight="1">
      <c r="D34" s="1266" t="s">
        <v>162</v>
      </c>
      <c r="E34" s="1266"/>
      <c r="F34" s="1266"/>
      <c r="G34" s="1266"/>
      <c r="H34" s="134" t="e">
        <f>M25</f>
        <v>#REF!</v>
      </c>
      <c r="I34" s="373"/>
    </row>
    <row r="35" spans="4:12">
      <c r="D35" s="1266" t="s">
        <v>20</v>
      </c>
      <c r="E35" s="1266"/>
      <c r="F35" s="1266"/>
      <c r="G35" s="1266"/>
      <c r="H35" s="134" t="e">
        <f>H32+H33+H34</f>
        <v>#REF!</v>
      </c>
      <c r="I35" s="373"/>
    </row>
    <row r="36" spans="4:12">
      <c r="D36" s="1294" t="s">
        <v>163</v>
      </c>
      <c r="E36" s="1294"/>
      <c r="F36" s="1294"/>
      <c r="G36" s="1294"/>
      <c r="H36" s="499" t="e">
        <f>H31+H35</f>
        <v>#REF!</v>
      </c>
      <c r="I36" s="374"/>
    </row>
    <row r="37" spans="4:12" ht="16" thickBot="1">
      <c r="D37" s="1295" t="s">
        <v>164</v>
      </c>
      <c r="E37" s="1295"/>
      <c r="F37" s="1295"/>
      <c r="G37" s="1295"/>
      <c r="H37" s="211" t="e">
        <f>H28*0.03</f>
        <v>#REF!</v>
      </c>
      <c r="I37" s="375"/>
    </row>
    <row r="38" spans="4:12" ht="17" thickBot="1">
      <c r="D38" s="1296" t="s">
        <v>165</v>
      </c>
      <c r="E38" s="1296"/>
      <c r="F38" s="1296"/>
      <c r="G38" s="1296"/>
      <c r="H38" s="432" t="e">
        <f>H36+H37</f>
        <v>#REF!</v>
      </c>
      <c r="I38" s="375"/>
      <c r="K38" s="139"/>
      <c r="L38" s="376"/>
    </row>
  </sheetData>
  <mergeCells count="49">
    <mergeCell ref="D38:G38"/>
    <mergeCell ref="D33:G33"/>
    <mergeCell ref="D34:G34"/>
    <mergeCell ref="D35:G35"/>
    <mergeCell ref="D36:G36"/>
    <mergeCell ref="D37:G37"/>
    <mergeCell ref="H1:M1"/>
    <mergeCell ref="A2:B2"/>
    <mergeCell ref="D2:F2"/>
    <mergeCell ref="H2:M2"/>
    <mergeCell ref="A3:B3"/>
    <mergeCell ref="D3:F3"/>
    <mergeCell ref="H3:J3"/>
    <mergeCell ref="A11:B11"/>
    <mergeCell ref="H4:M4"/>
    <mergeCell ref="A5:B5"/>
    <mergeCell ref="D5:F5"/>
    <mergeCell ref="I5:M5"/>
    <mergeCell ref="A6:M6"/>
    <mergeCell ref="A7:M7"/>
    <mergeCell ref="B8:D8"/>
    <mergeCell ref="B9:C9"/>
    <mergeCell ref="H9:I9"/>
    <mergeCell ref="B10:C10"/>
    <mergeCell ref="H10:I10"/>
    <mergeCell ref="B12:C12"/>
    <mergeCell ref="H12:I12"/>
    <mergeCell ref="B13:C13"/>
    <mergeCell ref="H13:I13"/>
    <mergeCell ref="B14:C14"/>
    <mergeCell ref="H14:I14"/>
    <mergeCell ref="A22:B22"/>
    <mergeCell ref="B23:C23"/>
    <mergeCell ref="B24:C24"/>
    <mergeCell ref="E25:F25"/>
    <mergeCell ref="K21:L21"/>
    <mergeCell ref="K25:L25"/>
    <mergeCell ref="B15:C15"/>
    <mergeCell ref="H15:I15"/>
    <mergeCell ref="B19:C19"/>
    <mergeCell ref="H19:I19"/>
    <mergeCell ref="E21:F21"/>
    <mergeCell ref="B20:C20"/>
    <mergeCell ref="H20:I20"/>
    <mergeCell ref="D28:G28"/>
    <mergeCell ref="D29:G29"/>
    <mergeCell ref="D30:G30"/>
    <mergeCell ref="D31:G31"/>
    <mergeCell ref="D32:G32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526C-0DE2-4BFB-94A6-62E9918171F9}">
  <dimension ref="A1:K75"/>
  <sheetViews>
    <sheetView topLeftCell="A22" workbookViewId="0">
      <selection activeCell="B41" sqref="B41"/>
    </sheetView>
  </sheetViews>
  <sheetFormatPr baseColWidth="10" defaultColWidth="9.1640625" defaultRowHeight="14"/>
  <cols>
    <col min="1" max="1" width="7" style="467" customWidth="1"/>
    <col min="2" max="2" width="45.33203125" style="467" bestFit="1" customWidth="1"/>
    <col min="3" max="4" width="9.1640625" style="467"/>
    <col min="5" max="5" width="12.6640625" style="467" customWidth="1"/>
    <col min="6" max="6" width="16.1640625" style="467" customWidth="1"/>
    <col min="7" max="7" width="41.5" style="467" customWidth="1"/>
    <col min="8" max="8" width="11.83203125" style="467" customWidth="1"/>
    <col min="9" max="9" width="11.1640625" style="467" bestFit="1" customWidth="1"/>
    <col min="10" max="10" width="12.1640625" style="467" customWidth="1"/>
    <col min="11" max="11" width="13.6640625" style="467" customWidth="1"/>
    <col min="12" max="16384" width="9.1640625" style="467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986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4.5" customHeight="1">
      <c r="A8" s="1305" t="s">
        <v>634</v>
      </c>
      <c r="B8" s="1305"/>
      <c r="C8" s="1305"/>
      <c r="D8" s="1305"/>
      <c r="E8" s="1053" t="e">
        <f>#REF!</f>
        <v>#REF!</v>
      </c>
      <c r="F8" s="1053" t="s">
        <v>148</v>
      </c>
      <c r="G8" s="1053"/>
      <c r="H8" s="57"/>
      <c r="I8" s="58"/>
      <c r="J8" s="58"/>
      <c r="K8" s="59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468"/>
      <c r="B11" s="468"/>
      <c r="C11" s="468"/>
      <c r="D11" s="469"/>
      <c r="E11" s="469"/>
      <c r="F11" s="469"/>
      <c r="G11" s="469"/>
      <c r="H11" s="469"/>
      <c r="I11" s="469"/>
      <c r="J11" s="469"/>
      <c r="K11" s="469"/>
    </row>
    <row r="12" spans="1:11">
      <c r="A12" s="1249" t="s">
        <v>609</v>
      </c>
      <c r="B12" s="1249"/>
      <c r="C12" s="120"/>
      <c r="D12" s="121"/>
      <c r="E12" s="121"/>
      <c r="F12" s="122"/>
      <c r="G12" s="119"/>
      <c r="H12" s="120"/>
      <c r="I12" s="123"/>
      <c r="J12" s="121"/>
      <c r="K12" s="122"/>
    </row>
    <row r="13" spans="1:11" ht="15">
      <c r="A13" s="453" t="s">
        <v>134</v>
      </c>
      <c r="B13" s="125" t="s">
        <v>610</v>
      </c>
      <c r="C13" s="124" t="s">
        <v>148</v>
      </c>
      <c r="D13" s="124" t="e">
        <f>#REF!</f>
        <v>#REF!</v>
      </c>
      <c r="E13" s="126" t="e">
        <f>#REF!</f>
        <v>#REF!</v>
      </c>
      <c r="F13" s="124" t="e">
        <f>D13*E13</f>
        <v>#REF!</v>
      </c>
      <c r="G13" s="843" t="s">
        <v>602</v>
      </c>
      <c r="H13" s="844" t="s">
        <v>63</v>
      </c>
      <c r="I13" s="845" t="e">
        <f>#REF!</f>
        <v>#REF!</v>
      </c>
      <c r="J13" s="326" t="e">
        <f>#REF!</f>
        <v>#REF!</v>
      </c>
      <c r="K13" s="435" t="e">
        <f t="shared" ref="K13:K26" si="0">I13*J13</f>
        <v>#REF!</v>
      </c>
    </row>
    <row r="14" spans="1:11" ht="30">
      <c r="A14" s="839" t="s">
        <v>152</v>
      </c>
      <c r="B14" s="840" t="s">
        <v>612</v>
      </c>
      <c r="C14" s="841" t="s">
        <v>148</v>
      </c>
      <c r="D14" s="841" t="e">
        <f>#REF!</f>
        <v>#REF!</v>
      </c>
      <c r="E14" s="842">
        <f>data!D341</f>
        <v>45</v>
      </c>
      <c r="F14" s="124" t="e">
        <f>D14*E14</f>
        <v>#REF!</v>
      </c>
      <c r="G14" s="846" t="s">
        <v>613</v>
      </c>
      <c r="H14" s="847" t="s">
        <v>85</v>
      </c>
      <c r="I14" s="848" t="e">
        <f>#REF!</f>
        <v>#REF!</v>
      </c>
      <c r="J14" s="849" t="e">
        <f>#REF!</f>
        <v>#REF!</v>
      </c>
      <c r="K14" s="435" t="e">
        <f t="shared" si="0"/>
        <v>#REF!</v>
      </c>
    </row>
    <row r="15" spans="1:11" ht="15">
      <c r="A15" s="453"/>
      <c r="B15" s="125"/>
      <c r="C15" s="124"/>
      <c r="D15" s="124"/>
      <c r="E15" s="126"/>
      <c r="F15" s="124"/>
      <c r="G15" s="470" t="s">
        <v>621</v>
      </c>
      <c r="H15" s="82" t="s">
        <v>85</v>
      </c>
      <c r="I15" s="158" t="e">
        <f>#REF!</f>
        <v>#REF!</v>
      </c>
      <c r="J15" s="367" t="e">
        <f>#REF!</f>
        <v>#REF!</v>
      </c>
      <c r="K15" s="82" t="e">
        <f t="shared" si="0"/>
        <v>#REF!</v>
      </c>
    </row>
    <row r="16" spans="1:11" ht="15">
      <c r="A16" s="453"/>
      <c r="B16" s="125"/>
      <c r="C16" s="124"/>
      <c r="D16" s="124"/>
      <c r="E16" s="126"/>
      <c r="F16" s="124"/>
      <c r="G16" s="470" t="s">
        <v>560</v>
      </c>
      <c r="H16" s="82" t="s">
        <v>144</v>
      </c>
      <c r="I16" s="158" t="e">
        <f>#REF!</f>
        <v>#REF!</v>
      </c>
      <c r="J16" s="367" t="e">
        <f>#REF!</f>
        <v>#REF!</v>
      </c>
      <c r="K16" s="82" t="e">
        <f t="shared" si="0"/>
        <v>#REF!</v>
      </c>
    </row>
    <row r="17" spans="1:11" ht="15">
      <c r="A17" s="453"/>
      <c r="B17" s="125"/>
      <c r="C17" s="124"/>
      <c r="D17" s="124"/>
      <c r="E17" s="126"/>
      <c r="F17" s="124"/>
      <c r="G17" s="470" t="s">
        <v>149</v>
      </c>
      <c r="H17" s="82" t="s">
        <v>144</v>
      </c>
      <c r="I17" s="158" t="e">
        <f>#REF!</f>
        <v>#REF!</v>
      </c>
      <c r="J17" s="367" t="e">
        <f>#REF!</f>
        <v>#REF!</v>
      </c>
      <c r="K17" s="82" t="e">
        <f t="shared" si="0"/>
        <v>#REF!</v>
      </c>
    </row>
    <row r="18" spans="1:11" ht="15">
      <c r="A18" s="453"/>
      <c r="B18" s="125"/>
      <c r="C18" s="124"/>
      <c r="D18" s="124"/>
      <c r="E18" s="124"/>
      <c r="F18" s="124"/>
      <c r="G18" s="125" t="s">
        <v>554</v>
      </c>
      <c r="H18" s="124" t="s">
        <v>138</v>
      </c>
      <c r="I18" s="129" t="e">
        <f>#REF!</f>
        <v>#REF!</v>
      </c>
      <c r="J18" s="124" t="e">
        <f>#REF!</f>
        <v>#REF!</v>
      </c>
      <c r="K18" s="124" t="e">
        <f t="shared" si="0"/>
        <v>#REF!</v>
      </c>
    </row>
    <row r="19" spans="1:11" ht="15">
      <c r="A19" s="453"/>
      <c r="B19" s="125"/>
      <c r="C19" s="124"/>
      <c r="D19" s="124"/>
      <c r="E19" s="124"/>
      <c r="F19" s="124"/>
      <c r="G19" s="125" t="s">
        <v>175</v>
      </c>
      <c r="H19" s="124" t="s">
        <v>85</v>
      </c>
      <c r="I19" s="129" t="e">
        <f>#REF!</f>
        <v>#REF!</v>
      </c>
      <c r="J19" s="124" t="e">
        <f>#REF!</f>
        <v>#REF!</v>
      </c>
      <c r="K19" s="124" t="e">
        <f t="shared" si="0"/>
        <v>#REF!</v>
      </c>
    </row>
    <row r="20" spans="1:11" ht="15">
      <c r="A20" s="453"/>
      <c r="B20" s="125"/>
      <c r="C20" s="124"/>
      <c r="D20" s="124"/>
      <c r="E20" s="124"/>
      <c r="F20" s="124"/>
      <c r="G20" s="125" t="s">
        <v>555</v>
      </c>
      <c r="H20" s="124" t="s">
        <v>85</v>
      </c>
      <c r="I20" s="129" t="e">
        <f>#REF!</f>
        <v>#REF!</v>
      </c>
      <c r="J20" s="124" t="e">
        <f>#REF!</f>
        <v>#REF!</v>
      </c>
      <c r="K20" s="124" t="e">
        <f t="shared" si="0"/>
        <v>#REF!</v>
      </c>
    </row>
    <row r="21" spans="1:11" ht="15">
      <c r="A21" s="453"/>
      <c r="B21" s="125"/>
      <c r="C21" s="124"/>
      <c r="D21" s="124"/>
      <c r="E21" s="124"/>
      <c r="F21" s="124"/>
      <c r="G21" s="127" t="s">
        <v>176</v>
      </c>
      <c r="H21" s="124" t="s">
        <v>85</v>
      </c>
      <c r="I21" s="129" t="e">
        <f>#REF!</f>
        <v>#REF!</v>
      </c>
      <c r="J21" s="126" t="e">
        <f>#REF!</f>
        <v>#REF!</v>
      </c>
      <c r="K21" s="124" t="e">
        <f t="shared" si="0"/>
        <v>#REF!</v>
      </c>
    </row>
    <row r="22" spans="1:11" ht="15">
      <c r="A22" s="453" t="s">
        <v>174</v>
      </c>
      <c r="B22" s="125" t="s">
        <v>638</v>
      </c>
      <c r="C22" s="124" t="s">
        <v>148</v>
      </c>
      <c r="D22" s="124" t="e">
        <f>D13</f>
        <v>#REF!</v>
      </c>
      <c r="E22" s="124" t="e">
        <f>#REF!</f>
        <v>#REF!</v>
      </c>
      <c r="F22" s="124" t="e">
        <f>D22*E22</f>
        <v>#REF!</v>
      </c>
      <c r="G22" s="125" t="s">
        <v>620</v>
      </c>
      <c r="H22" s="124" t="s">
        <v>63</v>
      </c>
      <c r="I22" s="129" t="e">
        <f>#REF!</f>
        <v>#REF!</v>
      </c>
      <c r="J22" s="126" t="e">
        <f>#REF!</f>
        <v>#REF!</v>
      </c>
      <c r="K22" s="124" t="e">
        <f t="shared" si="0"/>
        <v>#REF!</v>
      </c>
    </row>
    <row r="23" spans="1:11" ht="15">
      <c r="A23" s="453"/>
      <c r="B23" s="125"/>
      <c r="C23" s="124"/>
      <c r="D23" s="124"/>
      <c r="E23" s="124"/>
      <c r="F23" s="124"/>
      <c r="G23" s="125" t="s">
        <v>149</v>
      </c>
      <c r="H23" s="124" t="s">
        <v>63</v>
      </c>
      <c r="I23" s="449" t="e">
        <f>#REF!*44.44*10/395</f>
        <v>#REF!</v>
      </c>
      <c r="J23" s="124" t="e">
        <f>#REF!</f>
        <v>#REF!</v>
      </c>
      <c r="K23" s="124" t="e">
        <f t="shared" si="0"/>
        <v>#REF!</v>
      </c>
    </row>
    <row r="24" spans="1:11" ht="15">
      <c r="A24" s="453" t="s">
        <v>194</v>
      </c>
      <c r="B24" s="125" t="s">
        <v>635</v>
      </c>
      <c r="C24" s="124" t="s">
        <v>148</v>
      </c>
      <c r="D24" s="124" t="e">
        <f>D13</f>
        <v>#REF!</v>
      </c>
      <c r="E24" s="124" t="e">
        <f>#REF!</f>
        <v>#REF!</v>
      </c>
      <c r="F24" s="124" t="e">
        <f t="shared" ref="F24:F25" si="1">D24*E24</f>
        <v>#REF!</v>
      </c>
      <c r="G24" s="125" t="s">
        <v>510</v>
      </c>
      <c r="H24" s="124" t="s">
        <v>170</v>
      </c>
      <c r="I24" s="129" t="e">
        <f>#REF!</f>
        <v>#REF!</v>
      </c>
      <c r="J24" s="124" t="e">
        <f>#REF!</f>
        <v>#REF!</v>
      </c>
      <c r="K24" s="124" t="e">
        <f t="shared" si="0"/>
        <v>#REF!</v>
      </c>
    </row>
    <row r="25" spans="1:11" ht="15">
      <c r="A25" s="453" t="s">
        <v>193</v>
      </c>
      <c r="B25" s="125" t="s">
        <v>515</v>
      </c>
      <c r="C25" s="124" t="s">
        <v>148</v>
      </c>
      <c r="D25" s="124" t="e">
        <f>D24</f>
        <v>#REF!</v>
      </c>
      <c r="E25" s="124" t="e">
        <f>#REF!</f>
        <v>#REF!</v>
      </c>
      <c r="F25" s="124" t="e">
        <f t="shared" si="1"/>
        <v>#REF!</v>
      </c>
      <c r="G25" s="125" t="s">
        <v>512</v>
      </c>
      <c r="H25" s="124" t="s">
        <v>136</v>
      </c>
      <c r="I25" s="129" t="e">
        <f>#REF!</f>
        <v>#REF!</v>
      </c>
      <c r="J25" s="124" t="e">
        <f>#REF!</f>
        <v>#REF!</v>
      </c>
      <c r="K25" s="124" t="e">
        <f t="shared" si="0"/>
        <v>#REF!</v>
      </c>
    </row>
    <row r="26" spans="1:11">
      <c r="A26" s="453"/>
      <c r="B26" s="125"/>
      <c r="C26" s="124"/>
      <c r="D26" s="124"/>
      <c r="E26" s="124"/>
      <c r="F26" s="124"/>
      <c r="G26" s="155" t="s">
        <v>149</v>
      </c>
      <c r="H26" s="182" t="s">
        <v>144</v>
      </c>
      <c r="I26" s="421" t="e">
        <f>#REF!</f>
        <v>#REF!</v>
      </c>
      <c r="J26" s="210" t="e">
        <f>#REF!</f>
        <v>#REF!</v>
      </c>
      <c r="K26" s="124" t="e">
        <f t="shared" si="0"/>
        <v>#REF!</v>
      </c>
    </row>
    <row r="27" spans="1:11">
      <c r="A27" s="454"/>
      <c r="B27" s="454"/>
      <c r="C27" s="455"/>
      <c r="D27" s="1306" t="s">
        <v>145</v>
      </c>
      <c r="E27" s="1306"/>
      <c r="F27" s="471" t="e">
        <f>SUM(F13:F26)</f>
        <v>#REF!</v>
      </c>
      <c r="G27" s="454"/>
      <c r="H27" s="454"/>
      <c r="I27" s="1254" t="s">
        <v>146</v>
      </c>
      <c r="J27" s="1254"/>
      <c r="K27" s="118" t="e">
        <f>SUM(K13:K26)</f>
        <v>#REF!</v>
      </c>
    </row>
    <row r="28" spans="1:11">
      <c r="A28" s="454"/>
      <c r="B28" s="454"/>
      <c r="C28" s="455"/>
      <c r="D28" s="472"/>
      <c r="E28" s="472"/>
      <c r="F28" s="473"/>
      <c r="G28" s="454"/>
      <c r="H28" s="454"/>
      <c r="I28" s="123"/>
      <c r="J28" s="123"/>
      <c r="K28" s="122"/>
    </row>
    <row r="29" spans="1:11">
      <c r="A29" s="1239" t="s">
        <v>195</v>
      </c>
      <c r="B29" s="1239"/>
      <c r="C29" s="120"/>
      <c r="D29" s="121"/>
      <c r="E29" s="121"/>
      <c r="F29" s="122"/>
      <c r="G29" s="119"/>
      <c r="H29" s="120"/>
      <c r="I29" s="123"/>
      <c r="J29" s="123"/>
      <c r="K29" s="122"/>
    </row>
    <row r="30" spans="1:11" ht="15">
      <c r="A30" s="124" t="s">
        <v>134</v>
      </c>
      <c r="B30" s="125" t="s">
        <v>636</v>
      </c>
      <c r="C30" s="124" t="s">
        <v>63</v>
      </c>
      <c r="D30" s="124" t="e">
        <f>I13+I22+I25*0.025*0.05*1</f>
        <v>#REF!</v>
      </c>
      <c r="E30" s="126" t="e">
        <f>#REF!</f>
        <v>#REF!</v>
      </c>
      <c r="F30" s="124" t="e">
        <f>D30*E30</f>
        <v>#REF!</v>
      </c>
      <c r="G30" s="127" t="s">
        <v>627</v>
      </c>
      <c r="H30" s="124" t="s">
        <v>155</v>
      </c>
      <c r="I30" s="129" t="e">
        <f>#REF!</f>
        <v>#REF!</v>
      </c>
      <c r="J30" s="124" t="e">
        <f>#REF!</f>
        <v>#REF!</v>
      </c>
      <c r="K30" s="124" t="e">
        <f>I30*J30</f>
        <v>#REF!</v>
      </c>
    </row>
    <row r="31" spans="1:11" ht="15">
      <c r="A31" s="124" t="s">
        <v>152</v>
      </c>
      <c r="B31" s="125" t="s">
        <v>637</v>
      </c>
      <c r="C31" s="124" t="s">
        <v>138</v>
      </c>
      <c r="D31" s="124" t="e">
        <f>#REF!</f>
        <v>#REF!</v>
      </c>
      <c r="E31" s="126" t="e">
        <f>#REF!</f>
        <v>#REF!</v>
      </c>
      <c r="F31" s="124" t="e">
        <f t="shared" ref="F31" si="2">D31*E31</f>
        <v>#REF!</v>
      </c>
      <c r="G31" s="125" t="s">
        <v>521</v>
      </c>
      <c r="H31" s="124" t="s">
        <v>155</v>
      </c>
      <c r="I31" s="129" t="e">
        <f>#REF!</f>
        <v>#REF!</v>
      </c>
      <c r="J31" s="124" t="e">
        <f>#REF!</f>
        <v>#REF!</v>
      </c>
      <c r="K31" s="124" t="e">
        <f>I31*J31</f>
        <v>#REF!</v>
      </c>
    </row>
    <row r="32" spans="1:11">
      <c r="A32" s="124"/>
      <c r="B32" s="125"/>
      <c r="C32" s="124"/>
      <c r="D32" s="124"/>
      <c r="E32" s="126"/>
      <c r="F32" s="124"/>
      <c r="G32" s="127"/>
      <c r="H32" s="124"/>
      <c r="I32" s="129"/>
      <c r="J32" s="129"/>
      <c r="K32" s="124"/>
    </row>
    <row r="33" spans="1:11">
      <c r="A33" s="120"/>
      <c r="B33" s="119"/>
      <c r="C33" s="120"/>
      <c r="D33" s="1253" t="s">
        <v>145</v>
      </c>
      <c r="E33" s="1307"/>
      <c r="F33" s="118" t="e">
        <f>SUM(F30:F32)</f>
        <v>#REF!</v>
      </c>
      <c r="G33" s="119"/>
      <c r="H33" s="120"/>
      <c r="I33" s="1254" t="s">
        <v>157</v>
      </c>
      <c r="J33" s="1255"/>
      <c r="K33" s="118" t="e">
        <f>SUM(K30:K32)</f>
        <v>#REF!</v>
      </c>
    </row>
    <row r="34" spans="1:11" ht="15" thickBot="1">
      <c r="A34" s="120"/>
      <c r="B34" s="119"/>
      <c r="C34" s="120"/>
      <c r="D34" s="121"/>
      <c r="E34" s="121"/>
      <c r="F34" s="122"/>
      <c r="G34" s="119"/>
      <c r="H34" s="120"/>
      <c r="I34" s="123"/>
      <c r="J34" s="123"/>
      <c r="K34" s="122"/>
    </row>
    <row r="35" spans="1:11">
      <c r="C35" s="1266" t="s">
        <v>158</v>
      </c>
      <c r="D35" s="1266"/>
      <c r="E35" s="1266"/>
      <c r="F35" s="1266"/>
      <c r="G35" s="488" t="e">
        <f>F27+F33</f>
        <v>#REF!</v>
      </c>
    </row>
    <row r="36" spans="1:11" ht="13.75" customHeight="1">
      <c r="C36" s="1266" t="s">
        <v>159</v>
      </c>
      <c r="D36" s="1266"/>
      <c r="E36" s="1266"/>
      <c r="F36" s="1266"/>
      <c r="G36" s="489" t="e">
        <f>G35*0.015</f>
        <v>#REF!</v>
      </c>
    </row>
    <row r="37" spans="1:11" ht="13.75" customHeight="1">
      <c r="C37" s="1266" t="s">
        <v>160</v>
      </c>
      <c r="D37" s="1266"/>
      <c r="E37" s="1266"/>
      <c r="F37" s="1266"/>
      <c r="G37" s="489" t="e">
        <f>G35*0.16</f>
        <v>#REF!</v>
      </c>
    </row>
    <row r="38" spans="1:11">
      <c r="C38" s="1266" t="s">
        <v>20</v>
      </c>
      <c r="D38" s="1266"/>
      <c r="E38" s="1266"/>
      <c r="F38" s="1266"/>
      <c r="G38" s="489" t="e">
        <f>G35+G36+G37</f>
        <v>#REF!</v>
      </c>
    </row>
    <row r="39" spans="1:11" ht="13.75" customHeight="1">
      <c r="C39" s="1266" t="s">
        <v>161</v>
      </c>
      <c r="D39" s="1266"/>
      <c r="E39" s="1266"/>
      <c r="F39" s="1266"/>
      <c r="G39" s="489" t="e">
        <f>K27</f>
        <v>#REF!</v>
      </c>
    </row>
    <row r="40" spans="1:11" ht="13.75" customHeight="1">
      <c r="C40" s="1266" t="s">
        <v>863</v>
      </c>
      <c r="D40" s="1266"/>
      <c r="E40" s="1266"/>
      <c r="F40" s="1266"/>
      <c r="G40" s="489" t="e">
        <f>G39*0.035</f>
        <v>#REF!</v>
      </c>
    </row>
    <row r="41" spans="1:11" ht="13.75" customHeight="1">
      <c r="C41" s="1266" t="s">
        <v>162</v>
      </c>
      <c r="D41" s="1266"/>
      <c r="E41" s="1266"/>
      <c r="F41" s="1266"/>
      <c r="G41" s="489" t="e">
        <f>K33</f>
        <v>#REF!</v>
      </c>
    </row>
    <row r="42" spans="1:11">
      <c r="C42" s="1266" t="s">
        <v>20</v>
      </c>
      <c r="D42" s="1266"/>
      <c r="E42" s="1266"/>
      <c r="F42" s="1266"/>
      <c r="G42" s="489" t="e">
        <f>G39+G41+G40</f>
        <v>#REF!</v>
      </c>
      <c r="H42" s="474"/>
    </row>
    <row r="43" spans="1:11" ht="15" thickBot="1">
      <c r="C43" s="1294" t="s">
        <v>163</v>
      </c>
      <c r="D43" s="1294"/>
      <c r="E43" s="1294"/>
      <c r="F43" s="1294"/>
      <c r="G43" s="490" t="e">
        <f>G38+G42</f>
        <v>#REF!</v>
      </c>
    </row>
    <row r="44" spans="1:11" ht="15" customHeight="1" thickBot="1">
      <c r="C44" s="1295" t="s">
        <v>164</v>
      </c>
      <c r="D44" s="1295"/>
      <c r="E44" s="1295"/>
      <c r="F44" s="1295"/>
      <c r="G44" s="490" t="e">
        <f>G35*0.03</f>
        <v>#REF!</v>
      </c>
      <c r="J44" s="475"/>
    </row>
    <row r="45" spans="1:11" ht="15" thickBot="1">
      <c r="C45" s="1296" t="s">
        <v>165</v>
      </c>
      <c r="D45" s="1296"/>
      <c r="E45" s="1296"/>
      <c r="F45" s="1296"/>
      <c r="G45" s="490" t="e">
        <f>G43+G44</f>
        <v>#REF!</v>
      </c>
      <c r="J45" s="475"/>
    </row>
    <row r="46" spans="1:11">
      <c r="E46" s="476"/>
      <c r="F46" s="476"/>
      <c r="G46" s="477"/>
      <c r="J46" s="475"/>
    </row>
    <row r="47" spans="1:11">
      <c r="E47" s="476"/>
      <c r="F47" s="476"/>
      <c r="G47" s="477"/>
      <c r="J47" s="475"/>
    </row>
    <row r="48" spans="1:11">
      <c r="E48" s="476"/>
      <c r="F48" s="476"/>
      <c r="G48" s="477"/>
      <c r="J48" s="475"/>
    </row>
    <row r="49" spans="5:10">
      <c r="E49" s="476"/>
      <c r="F49" s="476"/>
      <c r="G49" s="477"/>
      <c r="J49" s="475"/>
    </row>
    <row r="50" spans="5:10">
      <c r="E50" s="476"/>
      <c r="F50" s="476"/>
      <c r="G50" s="477"/>
      <c r="J50" s="475"/>
    </row>
    <row r="51" spans="5:10">
      <c r="E51" s="476"/>
      <c r="F51" s="476"/>
      <c r="G51" s="477"/>
      <c r="J51" s="475"/>
    </row>
    <row r="52" spans="5:10">
      <c r="E52" s="476"/>
      <c r="F52" s="476"/>
      <c r="G52" s="477"/>
      <c r="I52" s="475"/>
    </row>
    <row r="53" spans="5:10">
      <c r="E53" s="478"/>
      <c r="F53" s="476"/>
      <c r="G53" s="476"/>
      <c r="H53" s="479"/>
      <c r="I53" s="475"/>
    </row>
    <row r="54" spans="5:10">
      <c r="F54" s="476"/>
      <c r="G54" s="476"/>
      <c r="H54" s="481"/>
      <c r="I54" s="474"/>
    </row>
    <row r="55" spans="5:10">
      <c r="E55" s="480"/>
      <c r="F55" s="476"/>
      <c r="G55" s="476"/>
      <c r="H55" s="481"/>
    </row>
    <row r="56" spans="5:10">
      <c r="E56" s="480"/>
      <c r="F56" s="476"/>
      <c r="G56" s="476"/>
      <c r="H56" s="481"/>
    </row>
    <row r="57" spans="5:10">
      <c r="F57" s="476"/>
      <c r="G57" s="476"/>
      <c r="H57" s="481"/>
    </row>
    <row r="58" spans="5:10">
      <c r="F58" s="476"/>
      <c r="G58" s="476"/>
      <c r="H58" s="481"/>
    </row>
    <row r="59" spans="5:10">
      <c r="F59" s="476"/>
      <c r="G59" s="476"/>
      <c r="H59" s="481"/>
    </row>
    <row r="60" spans="5:10">
      <c r="F60" s="476"/>
      <c r="G60" s="476"/>
      <c r="H60" s="479"/>
    </row>
    <row r="61" spans="5:10">
      <c r="F61" s="476"/>
      <c r="G61" s="476"/>
      <c r="H61" s="479"/>
    </row>
    <row r="62" spans="5:10">
      <c r="F62" s="476"/>
      <c r="G62" s="476"/>
      <c r="H62" s="481"/>
    </row>
    <row r="63" spans="5:10" ht="16">
      <c r="F63" s="139"/>
      <c r="G63" s="482"/>
      <c r="H63" s="479"/>
    </row>
    <row r="64" spans="5:10" ht="16">
      <c r="F64" s="483"/>
      <c r="G64" s="484"/>
      <c r="H64" s="479"/>
    </row>
    <row r="65" spans="6:8" ht="16">
      <c r="F65" s="483"/>
      <c r="G65" s="485"/>
      <c r="H65" s="479"/>
    </row>
    <row r="66" spans="6:8">
      <c r="G66" s="486"/>
    </row>
    <row r="67" spans="6:8">
      <c r="G67" s="487"/>
    </row>
    <row r="68" spans="6:8">
      <c r="G68" s="487"/>
    </row>
    <row r="69" spans="6:8">
      <c r="G69" s="487"/>
    </row>
    <row r="70" spans="6:8">
      <c r="G70" s="487"/>
    </row>
    <row r="71" spans="6:8">
      <c r="G71" s="487"/>
    </row>
    <row r="72" spans="6:8">
      <c r="G72" s="487"/>
    </row>
    <row r="73" spans="6:8">
      <c r="G73" s="487"/>
    </row>
    <row r="74" spans="6:8">
      <c r="G74" s="487"/>
    </row>
    <row r="75" spans="6:8">
      <c r="G75" s="487"/>
    </row>
  </sheetData>
  <mergeCells count="31">
    <mergeCell ref="C45:F45"/>
    <mergeCell ref="C40:F40"/>
    <mergeCell ref="C41:F41"/>
    <mergeCell ref="C42:F42"/>
    <mergeCell ref="C43:F43"/>
    <mergeCell ref="C44:F44"/>
    <mergeCell ref="C35:F35"/>
    <mergeCell ref="C36:F36"/>
    <mergeCell ref="C37:F37"/>
    <mergeCell ref="C38:F38"/>
    <mergeCell ref="C39:F39"/>
    <mergeCell ref="A12:B12"/>
    <mergeCell ref="D27:E27"/>
    <mergeCell ref="I27:J27"/>
    <mergeCell ref="A29:B29"/>
    <mergeCell ref="D33:E33"/>
    <mergeCell ref="I33:J33"/>
    <mergeCell ref="A1:K1"/>
    <mergeCell ref="A2:K2"/>
    <mergeCell ref="A3:B3"/>
    <mergeCell ref="D3:F3"/>
    <mergeCell ref="H3:J3"/>
    <mergeCell ref="A7:K7"/>
    <mergeCell ref="A8:D8"/>
    <mergeCell ref="A4:B4"/>
    <mergeCell ref="D4:F4"/>
    <mergeCell ref="H4:K4"/>
    <mergeCell ref="D5:F5"/>
    <mergeCell ref="A6:B6"/>
    <mergeCell ref="D6:F6"/>
    <mergeCell ref="I6:K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8672-E164-4B39-B737-192AFA56973C}">
  <dimension ref="A1:O73"/>
  <sheetViews>
    <sheetView topLeftCell="A10" zoomScale="110" zoomScaleNormal="110" workbookViewId="0">
      <selection activeCell="B43" sqref="B43:C43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4.5" bestFit="1" customWidth="1"/>
    <col min="5" max="5" width="9.1640625" style="372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8.33203125" style="372" bestFit="1" customWidth="1"/>
    <col min="12" max="12" width="12.33203125" style="372" customWidth="1"/>
    <col min="13" max="13" width="12.33203125" customWidth="1"/>
  </cols>
  <sheetData>
    <row r="1" spans="1:15">
      <c r="A1" s="295"/>
      <c r="B1" s="296"/>
      <c r="C1" s="296"/>
      <c r="D1" s="296"/>
      <c r="E1" s="545"/>
      <c r="F1" s="545"/>
      <c r="G1" s="296"/>
      <c r="H1" s="1230" t="s">
        <v>394</v>
      </c>
      <c r="I1" s="1230"/>
      <c r="J1" s="1230"/>
      <c r="K1" s="1230"/>
      <c r="L1" s="1230"/>
      <c r="M1" s="1230"/>
    </row>
    <row r="2" spans="1:15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>
      <c r="A3" s="1217" t="s">
        <v>703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46"/>
      <c r="L3" s="295"/>
      <c r="M3" s="295"/>
    </row>
    <row r="4" spans="1:15">
      <c r="A4" s="52" t="s">
        <v>397</v>
      </c>
      <c r="B4" s="52"/>
      <c r="C4" s="49"/>
      <c r="D4" s="409"/>
      <c r="E4" s="383"/>
      <c r="F4" s="383"/>
      <c r="G4" s="50"/>
      <c r="H4" s="1298" t="s">
        <v>398</v>
      </c>
      <c r="I4" s="1298"/>
      <c r="J4" s="1298"/>
      <c r="K4" s="1298"/>
      <c r="L4" s="1298"/>
      <c r="M4" s="1298"/>
    </row>
    <row r="5" spans="1:15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ht="16">
      <c r="A7" s="1289" t="s">
        <v>987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ht="16">
      <c r="A8" s="295"/>
      <c r="B8" s="297"/>
      <c r="C8" s="297"/>
      <c r="D8" s="1341" t="str">
        <f>IF([2]данные!D13=0,[2]расчеты!E44,[2]расчеты!E45)</f>
        <v>сечение фундамента в мм. ВхШ</v>
      </c>
      <c r="E8" s="1341"/>
      <c r="F8" s="1341"/>
      <c r="G8" s="1341"/>
      <c r="H8" s="1341"/>
      <c r="I8" s="1341"/>
      <c r="J8" s="414" t="e">
        <f>IF(#REF!=0,#REF!+0.1,#REF!+0.1+#REF!)*1000</f>
        <v>#REF!</v>
      </c>
      <c r="K8" s="298" t="e">
        <f>#REF!*1000</f>
        <v>#REF!</v>
      </c>
      <c r="L8" s="415"/>
      <c r="M8" s="419"/>
    </row>
    <row r="9" spans="1:15" ht="16">
      <c r="A9" s="419"/>
      <c r="B9" s="1290"/>
      <c r="C9" s="1290"/>
      <c r="D9" s="1290"/>
      <c r="E9" s="293"/>
      <c r="F9" s="293"/>
      <c r="G9" s="419"/>
      <c r="H9" s="419"/>
      <c r="I9" s="419"/>
      <c r="J9" s="419"/>
      <c r="K9" s="415"/>
      <c r="L9" s="415"/>
      <c r="M9" s="419"/>
    </row>
    <row r="10" spans="1:15" ht="42">
      <c r="A10" s="416" t="s">
        <v>125</v>
      </c>
      <c r="B10" s="1291" t="s">
        <v>126</v>
      </c>
      <c r="C10" s="1291"/>
      <c r="D10" s="416" t="s">
        <v>127</v>
      </c>
      <c r="E10" s="300" t="s">
        <v>2</v>
      </c>
      <c r="F10" s="300" t="s">
        <v>128</v>
      </c>
      <c r="G10" s="300" t="s">
        <v>129</v>
      </c>
      <c r="H10" s="1291" t="s">
        <v>130</v>
      </c>
      <c r="I10" s="1291"/>
      <c r="J10" s="416" t="s">
        <v>127</v>
      </c>
      <c r="K10" s="300" t="s">
        <v>2</v>
      </c>
      <c r="L10" s="300" t="s">
        <v>131</v>
      </c>
      <c r="M10" s="300" t="s">
        <v>132</v>
      </c>
    </row>
    <row r="11" spans="1:15">
      <c r="A11" s="417">
        <v>1</v>
      </c>
      <c r="B11" s="1292">
        <v>2</v>
      </c>
      <c r="C11" s="1292"/>
      <c r="D11" s="417">
        <v>3</v>
      </c>
      <c r="E11" s="301">
        <v>4</v>
      </c>
      <c r="F11" s="301">
        <v>5</v>
      </c>
      <c r="G11" s="301">
        <v>6</v>
      </c>
      <c r="H11" s="1293">
        <v>7</v>
      </c>
      <c r="I11" s="1293"/>
      <c r="J11" s="418">
        <v>8</v>
      </c>
      <c r="K11" s="301">
        <v>9</v>
      </c>
      <c r="L11" s="301">
        <v>10</v>
      </c>
      <c r="M11" s="301">
        <v>11</v>
      </c>
    </row>
    <row r="12" spans="1:15">
      <c r="A12" s="1236" t="s">
        <v>403</v>
      </c>
      <c r="B12" s="1236"/>
      <c r="C12" s="302"/>
      <c r="D12" s="303"/>
      <c r="E12" s="202"/>
      <c r="F12" s="202"/>
      <c r="G12" s="88"/>
      <c r="H12" s="87"/>
      <c r="I12" s="87"/>
      <c r="J12" s="88"/>
      <c r="K12" s="202"/>
      <c r="L12" s="202"/>
      <c r="M12" s="304"/>
    </row>
    <row r="13" spans="1:15">
      <c r="A13" s="305" t="s">
        <v>134</v>
      </c>
      <c r="B13" s="1269" t="s">
        <v>376</v>
      </c>
      <c r="C13" s="1269"/>
      <c r="D13" s="306" t="s">
        <v>148</v>
      </c>
      <c r="E13" s="307" t="e">
        <f>#REF!</f>
        <v>#REF!</v>
      </c>
      <c r="F13" s="308">
        <f>data!P5</f>
        <v>50</v>
      </c>
      <c r="G13" s="309" t="e">
        <f t="shared" ref="G13:G19" si="0">E13*F13</f>
        <v>#REF!</v>
      </c>
      <c r="H13" s="1270" t="s">
        <v>404</v>
      </c>
      <c r="I13" s="1271"/>
      <c r="J13" s="500" t="s">
        <v>405</v>
      </c>
      <c r="K13" s="307" t="e">
        <f>#REF!</f>
        <v>#REF!</v>
      </c>
      <c r="L13" s="307">
        <f>data!P4</f>
        <v>1900</v>
      </c>
      <c r="M13" s="309" t="e">
        <f>K13*L13</f>
        <v>#REF!</v>
      </c>
    </row>
    <row r="14" spans="1:15" ht="27.5" customHeight="1">
      <c r="A14" s="305" t="s">
        <v>152</v>
      </c>
      <c r="B14" s="1269" t="s">
        <v>406</v>
      </c>
      <c r="C14" s="1269"/>
      <c r="D14" s="306" t="s">
        <v>63</v>
      </c>
      <c r="E14" s="307" t="e">
        <f>#REF!</f>
        <v>#REF!</v>
      </c>
      <c r="F14" s="308">
        <f>data!P6</f>
        <v>1250</v>
      </c>
      <c r="G14" s="309" t="e">
        <f t="shared" si="0"/>
        <v>#REF!</v>
      </c>
      <c r="H14" s="1337"/>
      <c r="I14" s="1338"/>
      <c r="J14" s="500"/>
      <c r="K14" s="307"/>
      <c r="L14" s="311"/>
      <c r="M14" s="309"/>
    </row>
    <row r="15" spans="1:15">
      <c r="A15" s="312" t="s">
        <v>174</v>
      </c>
      <c r="B15" s="1272" t="s">
        <v>378</v>
      </c>
      <c r="C15" s="1273"/>
      <c r="D15" s="306" t="s">
        <v>148</v>
      </c>
      <c r="E15" s="307" t="e">
        <f>#REF!</f>
        <v>#REF!</v>
      </c>
      <c r="F15" s="308">
        <f>data!P7</f>
        <v>300</v>
      </c>
      <c r="G15" s="309" t="e">
        <f t="shared" si="0"/>
        <v>#REF!</v>
      </c>
      <c r="H15" s="1339"/>
      <c r="I15" s="1340"/>
      <c r="J15" s="500"/>
      <c r="K15" s="307"/>
      <c r="L15" s="311"/>
      <c r="M15" s="309"/>
    </row>
    <row r="16" spans="1:15" ht="30">
      <c r="A16" s="313" t="s">
        <v>194</v>
      </c>
      <c r="B16" s="314" t="s">
        <v>407</v>
      </c>
      <c r="C16" s="108">
        <f>[2]данные!D14*1000</f>
        <v>200</v>
      </c>
      <c r="D16" s="315" t="s">
        <v>63</v>
      </c>
      <c r="E16" s="316" t="e">
        <f>#REF!</f>
        <v>#REF!</v>
      </c>
      <c r="F16" s="317">
        <f>data!P8</f>
        <v>800</v>
      </c>
      <c r="G16" s="318" t="e">
        <f t="shared" si="0"/>
        <v>#REF!</v>
      </c>
      <c r="H16" s="1278" t="s">
        <v>346</v>
      </c>
      <c r="I16" s="1279"/>
      <c r="J16" s="501" t="s">
        <v>63</v>
      </c>
      <c r="K16" s="316" t="e">
        <f>E16*1.15</f>
        <v>#REF!</v>
      </c>
      <c r="L16" s="320">
        <f>data!J3</f>
        <v>1300</v>
      </c>
      <c r="M16" s="321" t="e">
        <f>K16*L16</f>
        <v>#REF!</v>
      </c>
      <c r="O16" s="322"/>
    </row>
    <row r="17" spans="1:13" ht="30">
      <c r="A17" s="323" t="s">
        <v>193</v>
      </c>
      <c r="B17" s="1269" t="s">
        <v>408</v>
      </c>
      <c r="C17" s="1269"/>
      <c r="D17" s="324" t="s">
        <v>409</v>
      </c>
      <c r="E17" s="325" t="e">
        <f>#REF!</f>
        <v>#REF!</v>
      </c>
      <c r="F17" s="326">
        <f>data!P9</f>
        <v>50</v>
      </c>
      <c r="G17" s="327" t="e">
        <f t="shared" si="0"/>
        <v>#REF!</v>
      </c>
      <c r="H17" s="381" t="s">
        <v>347</v>
      </c>
      <c r="I17" s="547">
        <f>[2]расчеты!K11</f>
        <v>1500</v>
      </c>
      <c r="J17" s="1019" t="s">
        <v>148</v>
      </c>
      <c r="K17" s="325" t="e">
        <f>#REF!*1.1</f>
        <v>#REF!</v>
      </c>
      <c r="L17" s="329">
        <f>data!J4</f>
        <v>65</v>
      </c>
      <c r="M17" s="327" t="e">
        <f>K17*L17</f>
        <v>#REF!</v>
      </c>
    </row>
    <row r="18" spans="1:13" ht="30">
      <c r="A18" s="548" t="s">
        <v>618</v>
      </c>
      <c r="B18" s="107" t="s">
        <v>410</v>
      </c>
      <c r="C18" s="108">
        <f>[2]данные!D15*1000</f>
        <v>200</v>
      </c>
      <c r="D18" s="362" t="s">
        <v>63</v>
      </c>
      <c r="E18" s="209" t="e">
        <f>#REF!</f>
        <v>#REF!</v>
      </c>
      <c r="F18" s="210">
        <f>data!P10</f>
        <v>800</v>
      </c>
      <c r="G18" s="332" t="e">
        <f t="shared" si="0"/>
        <v>#REF!</v>
      </c>
      <c r="H18" s="1267" t="s">
        <v>348</v>
      </c>
      <c r="I18" s="1267"/>
      <c r="J18" s="502" t="s">
        <v>63</v>
      </c>
      <c r="K18" s="209" t="e">
        <f>E18*1.15</f>
        <v>#REF!</v>
      </c>
      <c r="L18" s="209">
        <f>data!J6</f>
        <v>3150</v>
      </c>
      <c r="M18" s="332" t="e">
        <f>K18*L18</f>
        <v>#REF!</v>
      </c>
    </row>
    <row r="19" spans="1:13">
      <c r="A19" s="548" t="s">
        <v>716</v>
      </c>
      <c r="B19" s="1276" t="s">
        <v>704</v>
      </c>
      <c r="C19" s="1277"/>
      <c r="D19" s="362" t="s">
        <v>85</v>
      </c>
      <c r="E19" s="209" t="e">
        <f>IF(#REF!=1,#REF!,#REF!)</f>
        <v>#REF!</v>
      </c>
      <c r="F19" s="210">
        <f>data!P23</f>
        <v>1000</v>
      </c>
      <c r="G19" s="332" t="e">
        <f t="shared" si="0"/>
        <v>#REF!</v>
      </c>
      <c r="H19" s="549"/>
      <c r="I19" s="549"/>
      <c r="J19" s="502"/>
      <c r="K19" s="209"/>
      <c r="L19" s="334"/>
      <c r="M19" s="332"/>
    </row>
    <row r="20" spans="1:13">
      <c r="A20" s="88"/>
      <c r="B20" s="335"/>
      <c r="C20" s="88"/>
      <c r="D20" s="88"/>
      <c r="E20" s="1284" t="s">
        <v>145</v>
      </c>
      <c r="F20" s="1284"/>
      <c r="G20" s="336" t="e">
        <f>SUM(G13:G19)</f>
        <v>#REF!</v>
      </c>
      <c r="H20" s="87"/>
      <c r="I20" s="87"/>
      <c r="J20" s="88"/>
      <c r="K20" s="1268" t="s">
        <v>146</v>
      </c>
      <c r="L20" s="1268"/>
      <c r="M20" s="337" t="e">
        <f>SUM(M13:M18)</f>
        <v>#REF!</v>
      </c>
    </row>
    <row r="21" spans="1:13">
      <c r="A21" s="1236" t="s">
        <v>705</v>
      </c>
      <c r="B21" s="1236"/>
      <c r="C21" s="88"/>
      <c r="D21" s="88"/>
      <c r="E21" s="407"/>
      <c r="F21" s="407"/>
      <c r="G21" s="302"/>
      <c r="H21" s="87"/>
      <c r="I21" s="87"/>
      <c r="J21" s="88"/>
      <c r="K21" s="407"/>
      <c r="L21" s="407"/>
      <c r="M21" s="302"/>
    </row>
    <row r="22" spans="1:13">
      <c r="A22" s="110" t="s">
        <v>134</v>
      </c>
      <c r="B22" s="1324" t="s">
        <v>706</v>
      </c>
      <c r="C22" s="1325"/>
      <c r="D22" s="110" t="s">
        <v>85</v>
      </c>
      <c r="E22" s="209" t="e">
        <f>IF(#REF!=1,#REF!,#REF!)</f>
        <v>#REF!</v>
      </c>
      <c r="F22" s="82">
        <f>data!P24</f>
        <v>300</v>
      </c>
      <c r="G22" s="110" t="e">
        <f>E22*F22</f>
        <v>#REF!</v>
      </c>
      <c r="H22" s="1324" t="s">
        <v>707</v>
      </c>
      <c r="I22" s="1325"/>
      <c r="J22" s="110" t="s">
        <v>85</v>
      </c>
      <c r="K22" s="210" t="e">
        <f>#REF!</f>
        <v>#REF!</v>
      </c>
      <c r="L22" s="210">
        <f>data!J7</f>
        <v>4228</v>
      </c>
      <c r="M22" s="110" t="e">
        <f>K22*L22</f>
        <v>#REF!</v>
      </c>
    </row>
    <row r="23" spans="1:13">
      <c r="A23" s="110" t="s">
        <v>152</v>
      </c>
      <c r="B23" s="1318" t="s">
        <v>708</v>
      </c>
      <c r="C23" s="1318"/>
      <c r="D23" s="110" t="s">
        <v>343</v>
      </c>
      <c r="E23" s="209" t="e">
        <f>K23+K24+K25</f>
        <v>#REF!</v>
      </c>
      <c r="F23" s="550">
        <f>data!P25</f>
        <v>17500</v>
      </c>
      <c r="G23" s="110" t="e">
        <f t="shared" ref="G23:G26" si="1">E23*F23</f>
        <v>#REF!</v>
      </c>
      <c r="H23" s="1335" t="s">
        <v>357</v>
      </c>
      <c r="I23" s="1336"/>
      <c r="J23" s="362" t="s">
        <v>343</v>
      </c>
      <c r="K23" s="584" t="e">
        <f>#REF!</f>
        <v>#REF!</v>
      </c>
      <c r="L23" s="210">
        <f>data!J16</f>
        <v>62992.125984251972</v>
      </c>
      <c r="M23" s="110" t="e">
        <f t="shared" ref="M23:M26" si="2">K23*L23</f>
        <v>#REF!</v>
      </c>
    </row>
    <row r="24" spans="1:13">
      <c r="A24" s="110"/>
      <c r="B24" s="1332"/>
      <c r="C24" s="1333"/>
      <c r="D24" s="110"/>
      <c r="E24" s="370"/>
      <c r="F24" s="370"/>
      <c r="G24" s="110"/>
      <c r="H24" s="1335" t="s">
        <v>358</v>
      </c>
      <c r="I24" s="1336"/>
      <c r="J24" s="1020" t="s">
        <v>343</v>
      </c>
      <c r="K24" s="583" t="e">
        <f>#REF!</f>
        <v>#REF!</v>
      </c>
      <c r="L24" s="582">
        <f>data!J17</f>
        <v>70886.075949367078</v>
      </c>
      <c r="M24" s="110" t="e">
        <f t="shared" si="2"/>
        <v>#REF!</v>
      </c>
    </row>
    <row r="25" spans="1:13">
      <c r="A25" s="110"/>
      <c r="B25" s="1332"/>
      <c r="C25" s="1333"/>
      <c r="D25" s="110"/>
      <c r="E25" s="370"/>
      <c r="F25" s="370"/>
      <c r="G25" s="110"/>
      <c r="H25" s="1324" t="s">
        <v>359</v>
      </c>
      <c r="I25" s="1325"/>
      <c r="J25" s="362" t="s">
        <v>343</v>
      </c>
      <c r="K25" s="551" t="e">
        <f>#REF!</f>
        <v>#REF!</v>
      </c>
      <c r="L25" s="209">
        <f>data!J18</f>
        <v>130000</v>
      </c>
      <c r="M25" s="110" t="e">
        <f t="shared" si="2"/>
        <v>#REF!</v>
      </c>
    </row>
    <row r="26" spans="1:13">
      <c r="A26" s="110" t="s">
        <v>174</v>
      </c>
      <c r="B26" s="1324" t="s">
        <v>709</v>
      </c>
      <c r="C26" s="1325"/>
      <c r="D26" s="110" t="s">
        <v>63</v>
      </c>
      <c r="E26" s="209" t="e">
        <f>#REF!</f>
        <v>#REF!</v>
      </c>
      <c r="F26" s="550">
        <f>data!P26</f>
        <v>5000</v>
      </c>
      <c r="G26" s="110" t="e">
        <f t="shared" si="1"/>
        <v>#REF!</v>
      </c>
      <c r="H26" s="1334" t="s">
        <v>360</v>
      </c>
      <c r="I26" s="1334"/>
      <c r="J26" s="110" t="s">
        <v>63</v>
      </c>
      <c r="K26" s="210" t="e">
        <f>E26*1.1</f>
        <v>#REF!</v>
      </c>
      <c r="L26" s="210">
        <f>data!J19</f>
        <v>7200</v>
      </c>
      <c r="M26" s="110" t="e">
        <f t="shared" si="2"/>
        <v>#REF!</v>
      </c>
    </row>
    <row r="27" spans="1:13">
      <c r="A27" s="88"/>
      <c r="B27" s="335"/>
      <c r="C27" s="88"/>
      <c r="D27" s="88"/>
      <c r="E27" s="1284" t="s">
        <v>145</v>
      </c>
      <c r="F27" s="1284"/>
      <c r="G27" s="336" t="e">
        <f>SUM(G22:G26)</f>
        <v>#REF!</v>
      </c>
      <c r="H27" s="87"/>
      <c r="I27" s="87"/>
      <c r="J27" s="88"/>
      <c r="K27" s="1268" t="s">
        <v>146</v>
      </c>
      <c r="L27" s="1268"/>
      <c r="M27" s="337" t="e">
        <f>SUM(M22:M26)</f>
        <v>#REF!</v>
      </c>
    </row>
    <row r="28" spans="1:13">
      <c r="A28" s="1331" t="s">
        <v>710</v>
      </c>
      <c r="B28" s="1331"/>
      <c r="C28" s="1331"/>
      <c r="D28" s="1331"/>
      <c r="E28" s="1331"/>
      <c r="F28" s="202"/>
      <c r="G28" s="88"/>
      <c r="H28" s="87"/>
      <c r="I28" s="87"/>
      <c r="J28" s="88"/>
      <c r="K28" s="202"/>
      <c r="L28" s="202"/>
      <c r="M28" s="88"/>
    </row>
    <row r="29" spans="1:13">
      <c r="A29" s="110" t="s">
        <v>134</v>
      </c>
      <c r="B29" s="1282" t="s">
        <v>382</v>
      </c>
      <c r="C29" s="1283"/>
      <c r="D29" s="338" t="s">
        <v>148</v>
      </c>
      <c r="E29" s="82" t="e">
        <f>#REF!</f>
        <v>#REF!</v>
      </c>
      <c r="F29" s="82">
        <f>data!P11</f>
        <v>240</v>
      </c>
      <c r="G29" s="332" t="e">
        <f>E29*F29</f>
        <v>#REF!</v>
      </c>
      <c r="H29" s="1324" t="s">
        <v>711</v>
      </c>
      <c r="I29" s="1325"/>
      <c r="J29" s="110" t="s">
        <v>63</v>
      </c>
      <c r="K29" s="82" t="e">
        <f>#REF!</f>
        <v>#REF!</v>
      </c>
      <c r="L29" s="82">
        <f>data!J8</f>
        <v>16500</v>
      </c>
      <c r="M29" s="332" t="e">
        <f t="shared" ref="M29:M53" si="3">K29*L29</f>
        <v>#REF!</v>
      </c>
    </row>
    <row r="30" spans="1:13">
      <c r="A30" s="110"/>
      <c r="B30" s="410"/>
      <c r="C30" s="411"/>
      <c r="D30" s="338"/>
      <c r="E30" s="82"/>
      <c r="F30" s="82"/>
      <c r="G30" s="157"/>
      <c r="H30" s="1324" t="s">
        <v>350</v>
      </c>
      <c r="I30" s="1325"/>
      <c r="J30" s="110" t="s">
        <v>85</v>
      </c>
      <c r="K30" s="82" t="e">
        <f>#REF!+#REF!</f>
        <v>#REF!</v>
      </c>
      <c r="L30" s="82">
        <f>data!J9</f>
        <v>240</v>
      </c>
      <c r="M30" s="332" t="e">
        <f t="shared" si="3"/>
        <v>#REF!</v>
      </c>
    </row>
    <row r="31" spans="1:13">
      <c r="A31" s="110"/>
      <c r="B31" s="410"/>
      <c r="C31" s="411"/>
      <c r="D31" s="338"/>
      <c r="E31" s="82"/>
      <c r="F31" s="82"/>
      <c r="G31" s="157"/>
      <c r="H31" s="1324" t="s">
        <v>351</v>
      </c>
      <c r="I31" s="1325"/>
      <c r="J31" s="110" t="s">
        <v>144</v>
      </c>
      <c r="K31" s="82" t="e">
        <f>(#REF!+#REF!)/48</f>
        <v>#REF!</v>
      </c>
      <c r="L31" s="82">
        <f>data!J10</f>
        <v>360</v>
      </c>
      <c r="M31" s="332" t="e">
        <f t="shared" si="3"/>
        <v>#REF!</v>
      </c>
    </row>
    <row r="32" spans="1:13">
      <c r="A32" s="110"/>
      <c r="B32" s="410"/>
      <c r="C32" s="411"/>
      <c r="D32" s="338"/>
      <c r="E32" s="82"/>
      <c r="F32" s="82"/>
      <c r="G32" s="157"/>
      <c r="H32" s="1324" t="s">
        <v>352</v>
      </c>
      <c r="I32" s="1325"/>
      <c r="J32" s="110" t="s">
        <v>144</v>
      </c>
      <c r="K32" s="82" t="e">
        <f>(#REF!+#REF!)/62</f>
        <v>#REF!</v>
      </c>
      <c r="L32" s="82">
        <f>data!J11</f>
        <v>360</v>
      </c>
      <c r="M32" s="332" t="e">
        <f t="shared" si="3"/>
        <v>#REF!</v>
      </c>
    </row>
    <row r="33" spans="1:13">
      <c r="A33" s="110"/>
      <c r="B33" s="410"/>
      <c r="C33" s="411"/>
      <c r="D33" s="338"/>
      <c r="E33" s="82"/>
      <c r="F33" s="82"/>
      <c r="G33" s="157"/>
      <c r="H33" s="1324" t="s">
        <v>353</v>
      </c>
      <c r="I33" s="1325"/>
      <c r="J33" s="110" t="s">
        <v>136</v>
      </c>
      <c r="K33" s="82" t="e">
        <f>#REF!</f>
        <v>#REF!</v>
      </c>
      <c r="L33" s="82">
        <f>data!J12</f>
        <v>60</v>
      </c>
      <c r="M33" s="332" t="e">
        <f t="shared" si="3"/>
        <v>#REF!</v>
      </c>
    </row>
    <row r="34" spans="1:13">
      <c r="A34" s="339"/>
      <c r="B34" s="1282"/>
      <c r="C34" s="1283"/>
      <c r="D34" s="338"/>
      <c r="E34" s="82"/>
      <c r="F34" s="82"/>
      <c r="G34" s="157"/>
      <c r="H34" s="1326" t="s">
        <v>354</v>
      </c>
      <c r="I34" s="1326"/>
      <c r="J34" s="110" t="s">
        <v>144</v>
      </c>
      <c r="K34" s="82" t="e">
        <f>#REF!</f>
        <v>#REF!</v>
      </c>
      <c r="L34" s="82">
        <f>data!J13</f>
        <v>160</v>
      </c>
      <c r="M34" s="332" t="e">
        <f t="shared" si="3"/>
        <v>#REF!</v>
      </c>
    </row>
    <row r="35" spans="1:13">
      <c r="A35" s="340"/>
      <c r="B35" s="1327"/>
      <c r="C35" s="1328"/>
      <c r="D35" s="341"/>
      <c r="E35" s="342"/>
      <c r="F35" s="342"/>
      <c r="G35" s="343"/>
      <c r="H35" s="1329" t="s">
        <v>355</v>
      </c>
      <c r="I35" s="1330"/>
      <c r="J35" s="344" t="s">
        <v>144</v>
      </c>
      <c r="K35" s="345" t="e">
        <f>#REF!</f>
        <v>#REF!</v>
      </c>
      <c r="L35" s="345">
        <f>data!J14</f>
        <v>390</v>
      </c>
      <c r="M35" s="356" t="e">
        <f t="shared" si="3"/>
        <v>#REF!</v>
      </c>
    </row>
    <row r="36" spans="1:13">
      <c r="A36" s="339"/>
      <c r="B36" s="1327"/>
      <c r="C36" s="1328"/>
      <c r="D36" s="338"/>
      <c r="E36" s="82"/>
      <c r="F36" s="82"/>
      <c r="G36" s="157"/>
      <c r="H36" s="1324" t="s">
        <v>356</v>
      </c>
      <c r="I36" s="1325"/>
      <c r="J36" s="110" t="s">
        <v>148</v>
      </c>
      <c r="K36" s="82" t="e">
        <f>#REF!</f>
        <v>#REF!</v>
      </c>
      <c r="L36" s="82">
        <f>data!J15</f>
        <v>100</v>
      </c>
      <c r="M36" s="332" t="e">
        <f t="shared" si="3"/>
        <v>#REF!</v>
      </c>
    </row>
    <row r="37" spans="1:13" ht="27.5" customHeight="1">
      <c r="A37" s="212" t="s">
        <v>152</v>
      </c>
      <c r="B37" s="1318" t="s">
        <v>383</v>
      </c>
      <c r="C37" s="1318"/>
      <c r="D37" s="347" t="s">
        <v>343</v>
      </c>
      <c r="E37" s="378" t="e">
        <f>K37+K38+K39+K40+K44+K43</f>
        <v>#REF!</v>
      </c>
      <c r="F37" s="348">
        <f>data!P12</f>
        <v>17500</v>
      </c>
      <c r="G37" s="332" t="e">
        <f t="shared" ref="G37:G43" si="4">E37*F37</f>
        <v>#REF!</v>
      </c>
      <c r="H37" s="1321" t="s">
        <v>357</v>
      </c>
      <c r="I37" s="1316"/>
      <c r="J37" s="1020" t="s">
        <v>343</v>
      </c>
      <c r="K37" s="583" t="e">
        <f>#REF!</f>
        <v>#REF!</v>
      </c>
      <c r="L37" s="582">
        <f>data!J16</f>
        <v>62992.125984251972</v>
      </c>
      <c r="M37" s="332" t="e">
        <f t="shared" si="3"/>
        <v>#REF!</v>
      </c>
    </row>
    <row r="38" spans="1:13">
      <c r="A38" s="352" t="s">
        <v>412</v>
      </c>
      <c r="B38" s="1319" t="s">
        <v>384</v>
      </c>
      <c r="C38" s="1320"/>
      <c r="D38" s="353" t="s">
        <v>85</v>
      </c>
      <c r="E38" s="354" t="e">
        <f>#REF!+#REF!</f>
        <v>#REF!</v>
      </c>
      <c r="F38" s="355">
        <f>data!P13</f>
        <v>12</v>
      </c>
      <c r="G38" s="356" t="e">
        <f t="shared" si="4"/>
        <v>#REF!</v>
      </c>
      <c r="H38" s="1315" t="s">
        <v>358</v>
      </c>
      <c r="I38" s="1316"/>
      <c r="J38" s="362" t="s">
        <v>343</v>
      </c>
      <c r="K38" s="584" t="e">
        <f>#REF!+#REF!</f>
        <v>#REF!</v>
      </c>
      <c r="L38" s="210">
        <f>data!J17</f>
        <v>70886.075949367078</v>
      </c>
      <c r="M38" s="332" t="e">
        <f t="shared" si="3"/>
        <v>#REF!</v>
      </c>
    </row>
    <row r="39" spans="1:13">
      <c r="A39" s="359" t="s">
        <v>413</v>
      </c>
      <c r="B39" s="1322" t="s">
        <v>1000</v>
      </c>
      <c r="C39" s="1323"/>
      <c r="D39" s="315" t="s">
        <v>85</v>
      </c>
      <c r="E39" s="316" t="e">
        <f>#REF!+#REF!</f>
        <v>#REF!</v>
      </c>
      <c r="F39" s="360">
        <f>data!P14</f>
        <v>7</v>
      </c>
      <c r="G39" s="361" t="e">
        <f t="shared" si="4"/>
        <v>#REF!</v>
      </c>
      <c r="H39" s="1315" t="s">
        <v>357</v>
      </c>
      <c r="I39" s="1316"/>
      <c r="J39" s="1020" t="s">
        <v>343</v>
      </c>
      <c r="K39" s="583" t="e">
        <f>#REF!+#REF!</f>
        <v>#REF!</v>
      </c>
      <c r="L39" s="582">
        <f>data!J16</f>
        <v>62992.125984251972</v>
      </c>
      <c r="M39" s="332" t="e">
        <f t="shared" si="3"/>
        <v>#REF!</v>
      </c>
    </row>
    <row r="40" spans="1:13">
      <c r="A40" s="181" t="s">
        <v>414</v>
      </c>
      <c r="B40" s="1318" t="s">
        <v>1001</v>
      </c>
      <c r="C40" s="1318"/>
      <c r="D40" s="331" t="s">
        <v>85</v>
      </c>
      <c r="E40" s="209" t="e">
        <f>#REF!</f>
        <v>#REF!</v>
      </c>
      <c r="F40" s="157">
        <f>data!P15</f>
        <v>7</v>
      </c>
      <c r="G40" s="332" t="e">
        <f t="shared" si="4"/>
        <v>#REF!</v>
      </c>
      <c r="H40" s="1315" t="s">
        <v>357</v>
      </c>
      <c r="I40" s="1316"/>
      <c r="J40" s="362" t="s">
        <v>343</v>
      </c>
      <c r="K40" s="584" t="e">
        <f>#REF!</f>
        <v>#REF!</v>
      </c>
      <c r="L40" s="210">
        <f>data!J16</f>
        <v>62992.125984251972</v>
      </c>
      <c r="M40" s="332" t="e">
        <f t="shared" si="3"/>
        <v>#REF!</v>
      </c>
    </row>
    <row r="41" spans="1:13">
      <c r="A41" s="181"/>
      <c r="B41" s="1319" t="s">
        <v>999</v>
      </c>
      <c r="C41" s="1320"/>
      <c r="D41" s="331" t="s">
        <v>85</v>
      </c>
      <c r="E41" s="209" t="e">
        <f>#REF!</f>
        <v>#REF!</v>
      </c>
      <c r="F41" s="157">
        <f>data!P16</f>
        <v>7</v>
      </c>
      <c r="G41" s="332" t="e">
        <f t="shared" si="4"/>
        <v>#REF!</v>
      </c>
      <c r="H41" s="1315" t="s">
        <v>357</v>
      </c>
      <c r="I41" s="1316"/>
      <c r="J41" s="1020" t="s">
        <v>343</v>
      </c>
      <c r="K41" s="584" t="e">
        <f>#REF!</f>
        <v>#REF!</v>
      </c>
      <c r="L41" s="210">
        <f>data!J16</f>
        <v>62992.125984251972</v>
      </c>
      <c r="M41" s="332" t="e">
        <f t="shared" si="3"/>
        <v>#REF!</v>
      </c>
    </row>
    <row r="42" spans="1:13">
      <c r="A42" s="181"/>
      <c r="B42" s="1319" t="s">
        <v>1002</v>
      </c>
      <c r="C42" s="1320"/>
      <c r="D42" s="331" t="s">
        <v>85</v>
      </c>
      <c r="E42" s="209" t="e">
        <f>#REF!</f>
        <v>#REF!</v>
      </c>
      <c r="F42" s="157">
        <f>data!P17</f>
        <v>7</v>
      </c>
      <c r="G42" s="332" t="e">
        <f t="shared" si="4"/>
        <v>#REF!</v>
      </c>
      <c r="H42" s="1315" t="s">
        <v>357</v>
      </c>
      <c r="I42" s="1316"/>
      <c r="J42" s="362" t="s">
        <v>343</v>
      </c>
      <c r="K42" s="584" t="e">
        <f>#REF!</f>
        <v>#REF!</v>
      </c>
      <c r="L42" s="210">
        <f>data!J16</f>
        <v>62992.125984251972</v>
      </c>
      <c r="M42" s="332" t="e">
        <f t="shared" si="3"/>
        <v>#REF!</v>
      </c>
    </row>
    <row r="43" spans="1:13">
      <c r="A43" s="181" t="s">
        <v>415</v>
      </c>
      <c r="B43" s="1313" t="s">
        <v>1003</v>
      </c>
      <c r="C43" s="1314"/>
      <c r="D43" s="362" t="s">
        <v>85</v>
      </c>
      <c r="E43" s="209" t="e">
        <f>#REF!</f>
        <v>#REF!</v>
      </c>
      <c r="F43" s="157">
        <f>data!P18</f>
        <v>3</v>
      </c>
      <c r="G43" s="332" t="e">
        <f t="shared" si="4"/>
        <v>#REF!</v>
      </c>
      <c r="H43" s="1315" t="s">
        <v>357</v>
      </c>
      <c r="I43" s="1316"/>
      <c r="J43" s="362" t="s">
        <v>343</v>
      </c>
      <c r="K43" s="584" t="e">
        <f>#REF!</f>
        <v>#REF!</v>
      </c>
      <c r="L43" s="210">
        <f>data!J16</f>
        <v>62992.125984251972</v>
      </c>
      <c r="M43" s="332" t="e">
        <f t="shared" si="3"/>
        <v>#REF!</v>
      </c>
    </row>
    <row r="44" spans="1:13">
      <c r="A44" s="363"/>
      <c r="B44" s="1317"/>
      <c r="C44" s="1317"/>
      <c r="D44" s="362"/>
      <c r="E44" s="209"/>
      <c r="F44" s="157"/>
      <c r="G44" s="332"/>
      <c r="H44" s="1317" t="s">
        <v>359</v>
      </c>
      <c r="I44" s="1317"/>
      <c r="J44" s="362" t="s">
        <v>343</v>
      </c>
      <c r="K44" s="584" t="e">
        <f>#REF!</f>
        <v>#REF!</v>
      </c>
      <c r="L44" s="210">
        <f>data!J18</f>
        <v>130000</v>
      </c>
      <c r="M44" s="332" t="e">
        <f t="shared" si="3"/>
        <v>#REF!</v>
      </c>
    </row>
    <row r="45" spans="1:13">
      <c r="A45" s="364" t="s">
        <v>416</v>
      </c>
      <c r="B45" s="1317" t="s">
        <v>390</v>
      </c>
      <c r="C45" s="1317"/>
      <c r="D45" s="362" t="s">
        <v>85</v>
      </c>
      <c r="E45" s="209" t="e">
        <f>#REF!+#REF!</f>
        <v>#REF!</v>
      </c>
      <c r="F45" s="157">
        <f>data!P19</f>
        <v>50</v>
      </c>
      <c r="G45" s="332" t="e">
        <f t="shared" ref="G45:G46" si="5">E45*F45</f>
        <v>#REF!</v>
      </c>
      <c r="H45" s="1315" t="s">
        <v>417</v>
      </c>
      <c r="I45" s="1316"/>
      <c r="J45" s="362" t="s">
        <v>85</v>
      </c>
      <c r="K45" s="584" t="e">
        <f>#REF!</f>
        <v>#REF!</v>
      </c>
      <c r="L45" s="210">
        <f>data!J21</f>
        <v>1200</v>
      </c>
      <c r="M45" s="332" t="e">
        <f t="shared" si="3"/>
        <v>#REF!</v>
      </c>
    </row>
    <row r="46" spans="1:13">
      <c r="A46" s="365" t="s">
        <v>174</v>
      </c>
      <c r="B46" s="1269" t="s">
        <v>391</v>
      </c>
      <c r="C46" s="1269"/>
      <c r="D46" s="108" t="s">
        <v>63</v>
      </c>
      <c r="E46" s="209" t="e">
        <f>#REF!</f>
        <v>#REF!</v>
      </c>
      <c r="F46" s="210">
        <f>data!P20</f>
        <v>5850</v>
      </c>
      <c r="G46" s="332" t="e">
        <f t="shared" si="5"/>
        <v>#REF!</v>
      </c>
      <c r="H46" s="1269" t="s">
        <v>360</v>
      </c>
      <c r="I46" s="1269"/>
      <c r="J46" s="108" t="s">
        <v>63</v>
      </c>
      <c r="K46" s="157" t="e">
        <f>E46*1.1</f>
        <v>#REF!</v>
      </c>
      <c r="L46" s="210">
        <f>data!J19</f>
        <v>7200</v>
      </c>
      <c r="M46" s="332" t="e">
        <f t="shared" si="3"/>
        <v>#REF!</v>
      </c>
    </row>
    <row r="47" spans="1:13">
      <c r="A47" s="366"/>
      <c r="B47" s="1269"/>
      <c r="C47" s="1269"/>
      <c r="D47" s="108"/>
      <c r="E47" s="209"/>
      <c r="F47" s="210"/>
      <c r="G47" s="332"/>
      <c r="H47" s="1269" t="s">
        <v>361</v>
      </c>
      <c r="I47" s="1269"/>
      <c r="J47" s="108" t="s">
        <v>85</v>
      </c>
      <c r="K47" s="157" t="e">
        <f>#REF!</f>
        <v>#REF!</v>
      </c>
      <c r="L47" s="210">
        <f>data!J20</f>
        <v>11</v>
      </c>
      <c r="M47" s="332" t="e">
        <f t="shared" si="3"/>
        <v>#REF!</v>
      </c>
    </row>
    <row r="48" spans="1:13">
      <c r="A48" s="366"/>
      <c r="B48" s="1269"/>
      <c r="C48" s="1269"/>
      <c r="D48" s="413"/>
      <c r="E48" s="209"/>
      <c r="F48" s="210"/>
      <c r="G48" s="332"/>
      <c r="H48" s="1280" t="s">
        <v>366</v>
      </c>
      <c r="I48" s="1281"/>
      <c r="J48" s="108"/>
      <c r="K48" s="79"/>
      <c r="L48" s="210"/>
      <c r="M48" s="332"/>
    </row>
    <row r="49" spans="1:13">
      <c r="A49" s="106"/>
      <c r="B49" s="1280"/>
      <c r="C49" s="1281"/>
      <c r="D49" s="108"/>
      <c r="E49" s="209"/>
      <c r="F49" s="210"/>
      <c r="G49" s="332"/>
      <c r="H49" s="1312" t="s">
        <v>367</v>
      </c>
      <c r="I49" s="1312"/>
      <c r="J49" s="108" t="s">
        <v>85</v>
      </c>
      <c r="K49" s="157" t="e">
        <f>#REF!</f>
        <v>#REF!</v>
      </c>
      <c r="L49" s="210">
        <f>data!J26</f>
        <v>45</v>
      </c>
      <c r="M49" s="332" t="e">
        <f t="shared" si="3"/>
        <v>#REF!</v>
      </c>
    </row>
    <row r="50" spans="1:13">
      <c r="A50" s="106"/>
      <c r="B50" s="1280"/>
      <c r="C50" s="1281"/>
      <c r="D50" s="108"/>
      <c r="E50" s="209"/>
      <c r="F50" s="210"/>
      <c r="G50" s="332"/>
      <c r="H50" s="1312" t="s">
        <v>368</v>
      </c>
      <c r="I50" s="1312"/>
      <c r="J50" s="108" t="s">
        <v>418</v>
      </c>
      <c r="K50" s="157" t="e">
        <f>#REF!</f>
        <v>#REF!</v>
      </c>
      <c r="L50" s="210">
        <f>data!J27</f>
        <v>55</v>
      </c>
      <c r="M50" s="332" t="e">
        <f t="shared" si="3"/>
        <v>#REF!</v>
      </c>
    </row>
    <row r="51" spans="1:13">
      <c r="A51" s="106"/>
      <c r="B51" s="1280"/>
      <c r="C51" s="1281"/>
      <c r="D51" s="108"/>
      <c r="E51" s="209"/>
      <c r="F51" s="210"/>
      <c r="G51" s="332"/>
      <c r="H51" s="1312" t="s">
        <v>370</v>
      </c>
      <c r="I51" s="1312"/>
      <c r="J51" s="108" t="s">
        <v>419</v>
      </c>
      <c r="K51" s="157" t="e">
        <f>#REF!</f>
        <v>#REF!</v>
      </c>
      <c r="L51" s="210">
        <f>data!J28</f>
        <v>170</v>
      </c>
      <c r="M51" s="332" t="e">
        <f t="shared" si="3"/>
        <v>#REF!</v>
      </c>
    </row>
    <row r="52" spans="1:13">
      <c r="A52" s="106" t="s">
        <v>194</v>
      </c>
      <c r="B52" s="1276" t="s">
        <v>392</v>
      </c>
      <c r="C52" s="1277"/>
      <c r="D52" s="108" t="s">
        <v>148</v>
      </c>
      <c r="E52" s="209" t="e">
        <f>#REF!</f>
        <v>#REF!</v>
      </c>
      <c r="F52" s="210">
        <f>data!P21</f>
        <v>350</v>
      </c>
      <c r="G52" s="332" t="e">
        <f>E52*F52</f>
        <v>#REF!</v>
      </c>
      <c r="H52" s="1308" t="s">
        <v>363</v>
      </c>
      <c r="I52" s="1309"/>
      <c r="J52" s="108" t="s">
        <v>170</v>
      </c>
      <c r="K52" s="157" t="e">
        <f>#REF!</f>
        <v>#REF!</v>
      </c>
      <c r="L52" s="210">
        <f>data!J22</f>
        <v>980</v>
      </c>
      <c r="M52" s="332" t="e">
        <f t="shared" si="3"/>
        <v>#REF!</v>
      </c>
    </row>
    <row r="53" spans="1:13">
      <c r="A53" s="106"/>
      <c r="B53" s="107"/>
      <c r="C53" s="107"/>
      <c r="D53" s="108"/>
      <c r="E53" s="209"/>
      <c r="F53" s="210"/>
      <c r="G53" s="332"/>
      <c r="H53" s="1310" t="s">
        <v>364</v>
      </c>
      <c r="I53" s="1311"/>
      <c r="J53" s="108" t="s">
        <v>365</v>
      </c>
      <c r="K53" s="157" t="e">
        <f>#REF!</f>
        <v>#REF!</v>
      </c>
      <c r="L53" s="210">
        <f>data!J23</f>
        <v>3968</v>
      </c>
      <c r="M53" s="332" t="e">
        <f t="shared" si="3"/>
        <v>#REF!</v>
      </c>
    </row>
    <row r="54" spans="1:13">
      <c r="A54" s="83"/>
      <c r="B54" s="84"/>
      <c r="C54" s="85"/>
      <c r="D54" s="85"/>
      <c r="E54" s="1284" t="s">
        <v>145</v>
      </c>
      <c r="F54" s="1268"/>
      <c r="G54" s="86" t="e">
        <f>SUM(G29:G52)</f>
        <v>#REF!</v>
      </c>
      <c r="H54" s="87"/>
      <c r="I54" s="87"/>
      <c r="J54" s="88"/>
      <c r="K54" s="1268" t="s">
        <v>146</v>
      </c>
      <c r="L54" s="1268"/>
      <c r="M54" s="420" t="e">
        <f>SUM(M29:M53)</f>
        <v>#REF!</v>
      </c>
    </row>
    <row r="55" spans="1:13">
      <c r="A55" s="1239" t="s">
        <v>718</v>
      </c>
      <c r="B55" s="1239"/>
      <c r="C55" s="122"/>
      <c r="D55" s="120"/>
      <c r="E55" s="407"/>
      <c r="F55" s="407"/>
      <c r="G55" s="122"/>
      <c r="H55" s="119"/>
      <c r="I55" s="119"/>
      <c r="J55" s="120"/>
      <c r="K55" s="408"/>
      <c r="L55" s="408"/>
      <c r="M55" s="122"/>
    </row>
    <row r="56" spans="1:13">
      <c r="A56" s="124" t="s">
        <v>134</v>
      </c>
      <c r="B56" s="1267" t="s">
        <v>393</v>
      </c>
      <c r="C56" s="1267"/>
      <c r="D56" s="412" t="s">
        <v>343</v>
      </c>
      <c r="E56" s="446" t="e">
        <f>#REF!+#REF!</f>
        <v>#REF!</v>
      </c>
      <c r="F56" s="367">
        <f>data!P22</f>
        <v>3000</v>
      </c>
      <c r="G56" s="124" t="e">
        <f>E56*F56</f>
        <v>#REF!</v>
      </c>
      <c r="H56" s="127" t="s">
        <v>151</v>
      </c>
      <c r="I56" s="127"/>
      <c r="J56" s="124" t="s">
        <v>155</v>
      </c>
      <c r="K56" s="369" t="e">
        <f>#REF!</f>
        <v>#REF!</v>
      </c>
      <c r="L56" s="82">
        <f>data!H30+data!J30*data!D17</f>
        <v>3500</v>
      </c>
      <c r="M56" s="124" t="e">
        <f>K56*L56</f>
        <v>#REF!</v>
      </c>
    </row>
    <row r="57" spans="1:13">
      <c r="A57" s="124"/>
      <c r="B57" s="1267"/>
      <c r="C57" s="1267"/>
      <c r="D57" s="412"/>
      <c r="E57" s="82"/>
      <c r="F57" s="367"/>
      <c r="G57" s="124"/>
      <c r="H57" s="127" t="s">
        <v>372</v>
      </c>
      <c r="I57" s="127"/>
      <c r="J57" s="124" t="s">
        <v>155</v>
      </c>
      <c r="K57" s="369" t="e">
        <f>#REF!</f>
        <v>#REF!</v>
      </c>
      <c r="L57" s="82">
        <f>data!H31+data!J31*data!D17</f>
        <v>8000</v>
      </c>
      <c r="M57" s="124" t="e">
        <f>K57*L57</f>
        <v>#REF!</v>
      </c>
    </row>
    <row r="58" spans="1:13">
      <c r="A58" s="124"/>
      <c r="B58" s="552"/>
      <c r="C58" s="552"/>
      <c r="D58" s="412"/>
      <c r="E58" s="370"/>
      <c r="F58" s="371"/>
      <c r="G58" s="132"/>
      <c r="H58" s="127" t="s">
        <v>373</v>
      </c>
      <c r="I58" s="127"/>
      <c r="J58" s="124" t="s">
        <v>155</v>
      </c>
      <c r="K58" s="369" t="e">
        <f>#REF!*#REF!</f>
        <v>#REF!</v>
      </c>
      <c r="L58" s="82">
        <f>data!H32</f>
        <v>18500</v>
      </c>
      <c r="M58" s="124" t="e">
        <f t="shared" ref="M58:M59" si="6">K58*L58</f>
        <v>#REF!</v>
      </c>
    </row>
    <row r="59" spans="1:13">
      <c r="A59" s="124"/>
      <c r="B59" s="1267"/>
      <c r="C59" s="1267"/>
      <c r="D59" s="412"/>
      <c r="E59" s="370"/>
      <c r="F59" s="371"/>
      <c r="G59" s="132"/>
      <c r="H59" s="128" t="s">
        <v>374</v>
      </c>
      <c r="I59" s="128"/>
      <c r="J59" s="133" t="s">
        <v>155</v>
      </c>
      <c r="K59" s="82" t="e">
        <f>#REF!</f>
        <v>#REF!</v>
      </c>
      <c r="L59" s="82">
        <f>data!H33</f>
        <v>23500</v>
      </c>
      <c r="M59" s="124" t="e">
        <f t="shared" si="6"/>
        <v>#REF!</v>
      </c>
    </row>
    <row r="60" spans="1:13">
      <c r="A60" s="120"/>
      <c r="B60" s="119"/>
      <c r="C60" s="120"/>
      <c r="D60" s="120"/>
      <c r="E60" s="1256" t="s">
        <v>145</v>
      </c>
      <c r="F60" s="1257"/>
      <c r="G60" s="976" t="e">
        <f>SUM(G56:G59)</f>
        <v>#REF!</v>
      </c>
      <c r="H60" s="119"/>
      <c r="I60" s="119"/>
      <c r="J60" s="120"/>
      <c r="K60" s="1242" t="s">
        <v>157</v>
      </c>
      <c r="L60" s="1243"/>
      <c r="M60" s="976" t="e">
        <f>SUM(M56:M59)</f>
        <v>#REF!</v>
      </c>
    </row>
    <row r="61" spans="1:13">
      <c r="A61" s="120"/>
      <c r="B61" s="119"/>
      <c r="C61" s="120"/>
      <c r="D61" s="120"/>
      <c r="E61" s="407"/>
      <c r="F61" s="407"/>
      <c r="G61" s="122"/>
      <c r="H61" s="119"/>
      <c r="I61" s="119"/>
      <c r="J61" s="120"/>
      <c r="K61" s="408"/>
      <c r="L61" s="408"/>
      <c r="M61" s="122"/>
    </row>
    <row r="63" spans="1:13" ht="14.5" customHeight="1">
      <c r="D63" s="1301" t="s">
        <v>158</v>
      </c>
      <c r="E63" s="1301"/>
      <c r="F63" s="1301"/>
      <c r="G63" s="1301"/>
      <c r="H63" s="977" t="e">
        <f>G20+G27+G54+G60</f>
        <v>#REF!</v>
      </c>
      <c r="I63" s="373"/>
    </row>
    <row r="64" spans="1:13" ht="14.5" customHeight="1">
      <c r="D64" s="1301" t="s">
        <v>159</v>
      </c>
      <c r="E64" s="1301"/>
      <c r="F64" s="1301"/>
      <c r="G64" s="1301"/>
      <c r="H64" s="134" t="e">
        <f>H63*0.03</f>
        <v>#REF!</v>
      </c>
      <c r="I64" s="373"/>
    </row>
    <row r="65" spans="4:12" ht="16.25" customHeight="1">
      <c r="D65" s="1301" t="s">
        <v>160</v>
      </c>
      <c r="E65" s="1301"/>
      <c r="F65" s="1301"/>
      <c r="G65" s="1301"/>
      <c r="H65" s="134" t="e">
        <f>H63*0.16</f>
        <v>#REF!</v>
      </c>
      <c r="I65" s="373"/>
    </row>
    <row r="66" spans="4:12" ht="15" customHeight="1">
      <c r="D66" s="1301" t="s">
        <v>20</v>
      </c>
      <c r="E66" s="1301"/>
      <c r="F66" s="1301"/>
      <c r="G66" s="1301"/>
      <c r="H66" s="134" t="e">
        <f>H63+H64+H65</f>
        <v>#REF!</v>
      </c>
      <c r="I66" s="373"/>
    </row>
    <row r="67" spans="4:12" ht="14.5" customHeight="1">
      <c r="D67" s="1301" t="s">
        <v>161</v>
      </c>
      <c r="E67" s="1301"/>
      <c r="F67" s="1301"/>
      <c r="G67" s="1301"/>
      <c r="H67" s="134" t="e">
        <f>M20+M27+M54</f>
        <v>#REF!</v>
      </c>
      <c r="I67" s="373"/>
    </row>
    <row r="68" spans="4:12" ht="14.5" customHeight="1">
      <c r="D68" s="1301" t="s">
        <v>863</v>
      </c>
      <c r="E68" s="1301"/>
      <c r="F68" s="1301"/>
      <c r="G68" s="1301"/>
      <c r="H68" s="134" t="e">
        <f>H67*0.035</f>
        <v>#REF!</v>
      </c>
      <c r="I68" s="373"/>
    </row>
    <row r="69" spans="4:12" ht="15.5" customHeight="1">
      <c r="D69" s="1301" t="s">
        <v>162</v>
      </c>
      <c r="E69" s="1301"/>
      <c r="F69" s="1301"/>
      <c r="G69" s="1301"/>
      <c r="H69" s="134" t="e">
        <f>M60</f>
        <v>#REF!</v>
      </c>
      <c r="I69" s="373"/>
    </row>
    <row r="70" spans="4:12">
      <c r="D70" s="1301" t="s">
        <v>20</v>
      </c>
      <c r="E70" s="1301"/>
      <c r="F70" s="1301"/>
      <c r="G70" s="1301"/>
      <c r="H70" s="134" t="e">
        <f>H67+H68+H69</f>
        <v>#REF!</v>
      </c>
      <c r="I70" s="373"/>
    </row>
    <row r="71" spans="4:12">
      <c r="D71" s="1303" t="s">
        <v>163</v>
      </c>
      <c r="E71" s="1303"/>
      <c r="F71" s="1303"/>
      <c r="G71" s="1303"/>
      <c r="H71" s="499" t="e">
        <f>H66+H70</f>
        <v>#REF!</v>
      </c>
      <c r="I71" s="374"/>
    </row>
    <row r="72" spans="4:12" ht="16" thickBot="1">
      <c r="D72" s="1304" t="s">
        <v>164</v>
      </c>
      <c r="E72" s="1304"/>
      <c r="F72" s="1304"/>
      <c r="G72" s="1304"/>
      <c r="H72" s="211" t="e">
        <f>H63*0.03</f>
        <v>#REF!</v>
      </c>
      <c r="I72" s="375"/>
    </row>
    <row r="73" spans="4:12" ht="17" thickBot="1">
      <c r="D73" s="1302" t="s">
        <v>165</v>
      </c>
      <c r="E73" s="1302"/>
      <c r="F73" s="1302"/>
      <c r="G73" s="1302"/>
      <c r="H73" s="432" t="e">
        <f>H71+H72</f>
        <v>#REF!</v>
      </c>
      <c r="I73" s="375"/>
      <c r="K73" s="139"/>
      <c r="L73" s="376"/>
    </row>
  </sheetData>
  <mergeCells count="110">
    <mergeCell ref="H4:M4"/>
    <mergeCell ref="A5:B5"/>
    <mergeCell ref="D5:F5"/>
    <mergeCell ref="I5:M5"/>
    <mergeCell ref="A6:M6"/>
    <mergeCell ref="A7:M7"/>
    <mergeCell ref="H1:M1"/>
    <mergeCell ref="A2:B2"/>
    <mergeCell ref="D2:F2"/>
    <mergeCell ref="H2:M2"/>
    <mergeCell ref="A3:B3"/>
    <mergeCell ref="D3:F3"/>
    <mergeCell ref="H3:J3"/>
    <mergeCell ref="A12:B12"/>
    <mergeCell ref="B13:C13"/>
    <mergeCell ref="H13:I13"/>
    <mergeCell ref="B14:C14"/>
    <mergeCell ref="H14:I14"/>
    <mergeCell ref="B15:C15"/>
    <mergeCell ref="H15:I15"/>
    <mergeCell ref="D8:I8"/>
    <mergeCell ref="B9:D9"/>
    <mergeCell ref="B10:C10"/>
    <mergeCell ref="H10:I10"/>
    <mergeCell ref="B11:C11"/>
    <mergeCell ref="H11:I11"/>
    <mergeCell ref="K27:L27"/>
    <mergeCell ref="A21:B21"/>
    <mergeCell ref="B22:C22"/>
    <mergeCell ref="H22:I22"/>
    <mergeCell ref="B23:C23"/>
    <mergeCell ref="H23:I23"/>
    <mergeCell ref="B24:C24"/>
    <mergeCell ref="H24:I24"/>
    <mergeCell ref="H16:I16"/>
    <mergeCell ref="B17:C17"/>
    <mergeCell ref="H18:I18"/>
    <mergeCell ref="B19:C19"/>
    <mergeCell ref="E20:F20"/>
    <mergeCell ref="K20:L20"/>
    <mergeCell ref="A28:E28"/>
    <mergeCell ref="B29:C29"/>
    <mergeCell ref="H29:I29"/>
    <mergeCell ref="H30:I30"/>
    <mergeCell ref="H31:I31"/>
    <mergeCell ref="H32:I32"/>
    <mergeCell ref="B25:C25"/>
    <mergeCell ref="H25:I25"/>
    <mergeCell ref="B26:C26"/>
    <mergeCell ref="H26:I26"/>
    <mergeCell ref="E27:F27"/>
    <mergeCell ref="B37:C37"/>
    <mergeCell ref="H37:I37"/>
    <mergeCell ref="B38:C38"/>
    <mergeCell ref="H38:I38"/>
    <mergeCell ref="B39:C39"/>
    <mergeCell ref="H39:I39"/>
    <mergeCell ref="H33:I33"/>
    <mergeCell ref="B34:C34"/>
    <mergeCell ref="H34:I34"/>
    <mergeCell ref="B35:C35"/>
    <mergeCell ref="H35:I35"/>
    <mergeCell ref="B36:C36"/>
    <mergeCell ref="H36:I36"/>
    <mergeCell ref="B43:C43"/>
    <mergeCell ref="H43:I43"/>
    <mergeCell ref="B44:C44"/>
    <mergeCell ref="H44:I44"/>
    <mergeCell ref="B45:C45"/>
    <mergeCell ref="H45:I45"/>
    <mergeCell ref="B40:C40"/>
    <mergeCell ref="H40:I40"/>
    <mergeCell ref="B41:C41"/>
    <mergeCell ref="H41:I41"/>
    <mergeCell ref="B42:C42"/>
    <mergeCell ref="H42:I42"/>
    <mergeCell ref="B49:C49"/>
    <mergeCell ref="H49:I49"/>
    <mergeCell ref="B50:C50"/>
    <mergeCell ref="H50:I50"/>
    <mergeCell ref="B51:C51"/>
    <mergeCell ref="H51:I51"/>
    <mergeCell ref="B46:C46"/>
    <mergeCell ref="H46:I46"/>
    <mergeCell ref="B47:C47"/>
    <mergeCell ref="H47:I47"/>
    <mergeCell ref="B48:C48"/>
    <mergeCell ref="H48:I48"/>
    <mergeCell ref="B56:C56"/>
    <mergeCell ref="B57:C57"/>
    <mergeCell ref="B59:C59"/>
    <mergeCell ref="E60:F60"/>
    <mergeCell ref="K60:L60"/>
    <mergeCell ref="B52:C52"/>
    <mergeCell ref="H52:I52"/>
    <mergeCell ref="H53:I53"/>
    <mergeCell ref="E54:F54"/>
    <mergeCell ref="K54:L54"/>
    <mergeCell ref="A55:B55"/>
    <mergeCell ref="D72:G72"/>
    <mergeCell ref="D73:G73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C559-4C16-4744-9BFD-EB3C8A455D8C}">
  <dimension ref="A1:O66"/>
  <sheetViews>
    <sheetView topLeftCell="A40" zoomScaleNormal="100" workbookViewId="0">
      <selection activeCell="B60" sqref="B60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11.1640625" style="372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13.1640625" bestFit="1" customWidth="1"/>
    <col min="12" max="12" width="12.33203125" style="372" customWidth="1"/>
    <col min="13" max="13" width="12.33203125" customWidth="1"/>
  </cols>
  <sheetData>
    <row r="1" spans="1:15" s="295" customFormat="1" ht="14.5" customHeight="1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.5" customHeight="1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.5" customHeight="1">
      <c r="A4" s="52" t="s">
        <v>397</v>
      </c>
      <c r="B4" s="52"/>
      <c r="C4" s="49"/>
      <c r="D4" s="409"/>
      <c r="E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402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B8" s="297"/>
      <c r="C8" s="297"/>
      <c r="D8" s="1341" t="str">
        <f>IF([3]данные!D13=0,[3]расчеты!B34,[3]расчеты!B35)</f>
        <v>сечение фундамента в мм. ВхШ</v>
      </c>
      <c r="E8" s="1341"/>
      <c r="F8" s="1341"/>
      <c r="G8" s="1341"/>
      <c r="H8" s="1341"/>
      <c r="I8" s="1341"/>
      <c r="J8" s="1124" t="e">
        <f>IF(#REF!=0,#REF!+0.1,#REF!+0.1+#REF!)*1000</f>
        <v>#REF!</v>
      </c>
      <c r="K8" s="1125" t="e">
        <f>#REF!*1000</f>
        <v>#REF!</v>
      </c>
      <c r="L8" s="415"/>
      <c r="M8" s="419"/>
    </row>
    <row r="9" spans="1:15" s="295" customFormat="1" ht="16">
      <c r="A9" s="419"/>
      <c r="B9" s="1290"/>
      <c r="C9" s="1290"/>
      <c r="D9" s="1290"/>
      <c r="E9" s="293"/>
      <c r="F9" s="293"/>
      <c r="G9" s="419"/>
      <c r="H9" s="419"/>
      <c r="I9" s="419"/>
      <c r="J9" s="419"/>
      <c r="K9" s="415"/>
      <c r="L9" s="415"/>
      <c r="M9" s="419"/>
    </row>
    <row r="10" spans="1:15" s="295" customFormat="1" ht="42">
      <c r="A10" s="416" t="s">
        <v>125</v>
      </c>
      <c r="B10" s="1291" t="s">
        <v>126</v>
      </c>
      <c r="C10" s="1291"/>
      <c r="D10" s="416" t="s">
        <v>127</v>
      </c>
      <c r="E10" s="299" t="s">
        <v>2</v>
      </c>
      <c r="F10" s="300" t="s">
        <v>128</v>
      </c>
      <c r="G10" s="300" t="s">
        <v>129</v>
      </c>
      <c r="H10" s="1291" t="s">
        <v>130</v>
      </c>
      <c r="I10" s="1291"/>
      <c r="J10" s="416" t="s">
        <v>127</v>
      </c>
      <c r="K10" s="299" t="s">
        <v>2</v>
      </c>
      <c r="L10" s="299" t="s">
        <v>131</v>
      </c>
      <c r="M10" s="300" t="s">
        <v>132</v>
      </c>
    </row>
    <row r="11" spans="1:15" s="295" customFormat="1" ht="13">
      <c r="A11" s="417">
        <v>1</v>
      </c>
      <c r="B11" s="1292">
        <v>2</v>
      </c>
      <c r="C11" s="1292"/>
      <c r="D11" s="417">
        <v>3</v>
      </c>
      <c r="E11" s="418">
        <v>4</v>
      </c>
      <c r="F11" s="301">
        <v>5</v>
      </c>
      <c r="G11" s="301">
        <v>6</v>
      </c>
      <c r="H11" s="1293">
        <v>7</v>
      </c>
      <c r="I11" s="1293"/>
      <c r="J11" s="418">
        <v>8</v>
      </c>
      <c r="K11" s="418">
        <v>9</v>
      </c>
      <c r="L11" s="418">
        <v>10</v>
      </c>
      <c r="M11" s="301">
        <v>11</v>
      </c>
    </row>
    <row r="12" spans="1:15" ht="14.5" customHeight="1">
      <c r="A12" s="1344" t="s">
        <v>403</v>
      </c>
      <c r="B12" s="1344"/>
      <c r="C12" s="302"/>
      <c r="D12" s="553"/>
      <c r="E12" s="553"/>
      <c r="F12" s="553"/>
      <c r="G12" s="553"/>
      <c r="H12" s="553"/>
      <c r="I12" s="553"/>
      <c r="J12" s="553"/>
      <c r="K12" s="202"/>
      <c r="L12" s="202"/>
      <c r="M12" s="304"/>
    </row>
    <row r="13" spans="1:15">
      <c r="A13" s="305" t="s">
        <v>134</v>
      </c>
      <c r="B13" s="1276" t="s">
        <v>376</v>
      </c>
      <c r="C13" s="1277"/>
      <c r="D13" s="306" t="s">
        <v>148</v>
      </c>
      <c r="E13" s="307" t="e">
        <f>#REF!</f>
        <v>#REF!</v>
      </c>
      <c r="F13" s="308">
        <f>data!P5</f>
        <v>50</v>
      </c>
      <c r="G13" s="554" t="e">
        <f t="shared" ref="G13:G18" si="0">E13*F13</f>
        <v>#REF!</v>
      </c>
      <c r="H13" s="1267" t="s">
        <v>404</v>
      </c>
      <c r="I13" s="1267"/>
      <c r="J13" s="979" t="s">
        <v>138</v>
      </c>
      <c r="K13" s="307" t="e">
        <f>#REF!</f>
        <v>#REF!</v>
      </c>
      <c r="L13" s="307">
        <f>data!P4</f>
        <v>1900</v>
      </c>
      <c r="M13" s="309" t="e">
        <f>K13*L13</f>
        <v>#REF!</v>
      </c>
    </row>
    <row r="14" spans="1:15" ht="27.5" customHeight="1">
      <c r="A14" s="305" t="s">
        <v>152</v>
      </c>
      <c r="B14" s="1276" t="s">
        <v>406</v>
      </c>
      <c r="C14" s="1277"/>
      <c r="D14" s="306" t="s">
        <v>63</v>
      </c>
      <c r="E14" s="307" t="e">
        <f>#REF!</f>
        <v>#REF!</v>
      </c>
      <c r="F14" s="308">
        <f>data!P6</f>
        <v>1250</v>
      </c>
      <c r="G14" s="309" t="e">
        <f t="shared" si="0"/>
        <v>#REF!</v>
      </c>
      <c r="H14" s="1345"/>
      <c r="I14" s="1346"/>
      <c r="J14" s="500"/>
      <c r="K14" s="307"/>
      <c r="L14" s="307"/>
      <c r="M14" s="309"/>
    </row>
    <row r="15" spans="1:15">
      <c r="A15" s="312" t="s">
        <v>174</v>
      </c>
      <c r="B15" s="1347" t="s">
        <v>378</v>
      </c>
      <c r="C15" s="1277"/>
      <c r="D15" s="306" t="s">
        <v>148</v>
      </c>
      <c r="E15" s="307" t="e">
        <f>#REF!</f>
        <v>#REF!</v>
      </c>
      <c r="F15" s="308">
        <f>data!P7</f>
        <v>300</v>
      </c>
      <c r="G15" s="309" t="e">
        <f t="shared" si="0"/>
        <v>#REF!</v>
      </c>
      <c r="H15" s="1348"/>
      <c r="I15" s="1349"/>
      <c r="J15" s="500"/>
      <c r="K15" s="307"/>
      <c r="L15" s="307"/>
      <c r="M15" s="309"/>
    </row>
    <row r="16" spans="1:15" ht="30">
      <c r="A16" s="313" t="s">
        <v>194</v>
      </c>
      <c r="B16" s="314" t="s">
        <v>407</v>
      </c>
      <c r="C16" s="108" t="e">
        <f>#REF!*1000</f>
        <v>#REF!</v>
      </c>
      <c r="D16" s="315" t="s">
        <v>63</v>
      </c>
      <c r="E16" s="316" t="e">
        <f>#REF!</f>
        <v>#REF!</v>
      </c>
      <c r="F16" s="317">
        <f>data!P8</f>
        <v>800</v>
      </c>
      <c r="G16" s="318" t="e">
        <f t="shared" si="0"/>
        <v>#REF!</v>
      </c>
      <c r="H16" s="1278" t="s">
        <v>346</v>
      </c>
      <c r="I16" s="1279"/>
      <c r="J16" s="501" t="s">
        <v>63</v>
      </c>
      <c r="K16" s="316" t="e">
        <f>E16*1.15</f>
        <v>#REF!</v>
      </c>
      <c r="L16" s="316">
        <f>data!J3</f>
        <v>1300</v>
      </c>
      <c r="M16" s="321" t="e">
        <f>K16*L16</f>
        <v>#REF!</v>
      </c>
      <c r="O16" s="322"/>
    </row>
    <row r="17" spans="1:13" ht="30">
      <c r="A17" s="323" t="s">
        <v>193</v>
      </c>
      <c r="B17" s="1276" t="s">
        <v>408</v>
      </c>
      <c r="C17" s="1277"/>
      <c r="D17" s="324" t="s">
        <v>409</v>
      </c>
      <c r="E17" s="325" t="e">
        <f>#REF!</f>
        <v>#REF!</v>
      </c>
      <c r="F17" s="326">
        <f>data!P9</f>
        <v>50</v>
      </c>
      <c r="G17" s="327" t="e">
        <f t="shared" si="0"/>
        <v>#REF!</v>
      </c>
      <c r="H17" s="381" t="s">
        <v>347</v>
      </c>
      <c r="I17" s="382" t="e">
        <f>#REF!</f>
        <v>#REF!</v>
      </c>
      <c r="J17" s="1019" t="s">
        <v>148</v>
      </c>
      <c r="K17" s="325" t="e">
        <f>#REF!*1.1</f>
        <v>#REF!</v>
      </c>
      <c r="L17" s="325">
        <f>data!J4</f>
        <v>65</v>
      </c>
      <c r="M17" s="327" t="e">
        <f>K17*L17</f>
        <v>#REF!</v>
      </c>
    </row>
    <row r="18" spans="1:13" ht="30">
      <c r="A18" s="330" t="s">
        <v>618</v>
      </c>
      <c r="B18" s="107" t="s">
        <v>982</v>
      </c>
      <c r="C18" s="108" t="e">
        <f>#REF!*1000</f>
        <v>#REF!</v>
      </c>
      <c r="D18" s="331" t="s">
        <v>63</v>
      </c>
      <c r="E18" s="209" t="e">
        <f>#REF!</f>
        <v>#REF!</v>
      </c>
      <c r="F18" s="210">
        <f>data!P10</f>
        <v>800</v>
      </c>
      <c r="G18" s="332" t="e">
        <f t="shared" si="0"/>
        <v>#REF!</v>
      </c>
      <c r="H18" s="1282" t="s">
        <v>348</v>
      </c>
      <c r="I18" s="1283"/>
      <c r="J18" s="502" t="s">
        <v>63</v>
      </c>
      <c r="K18" s="209" t="e">
        <f>E18*1.15</f>
        <v>#REF!</v>
      </c>
      <c r="L18" s="209">
        <f>data!J6</f>
        <v>3150</v>
      </c>
      <c r="M18" s="332" t="e">
        <f>K18*L18</f>
        <v>#REF!</v>
      </c>
    </row>
    <row r="19" spans="1:13" ht="14.5" customHeight="1">
      <c r="A19" s="88"/>
      <c r="B19" s="335"/>
      <c r="C19" s="88"/>
      <c r="D19" s="88"/>
      <c r="E19" s="1342" t="s">
        <v>145</v>
      </c>
      <c r="F19" s="1352"/>
      <c r="G19" s="336" t="e">
        <f>SUM(G13:G18)</f>
        <v>#REF!</v>
      </c>
      <c r="H19" s="87"/>
      <c r="I19" s="87"/>
      <c r="J19" s="88"/>
      <c r="K19" s="1342" t="s">
        <v>146</v>
      </c>
      <c r="L19" s="1343"/>
      <c r="M19" s="337" t="e">
        <f>SUM(M13:M18)</f>
        <v>#REF!</v>
      </c>
    </row>
    <row r="20" spans="1:13" ht="14.5" customHeight="1">
      <c r="A20" s="1350" t="s">
        <v>411</v>
      </c>
      <c r="B20" s="1350"/>
      <c r="C20" s="555"/>
      <c r="D20" s="555"/>
      <c r="E20" s="1351"/>
      <c r="F20" s="1351"/>
      <c r="G20" s="1351"/>
      <c r="H20" s="1351"/>
      <c r="I20" s="1351"/>
      <c r="J20" s="1351"/>
      <c r="K20" s="1351"/>
      <c r="L20" s="1351"/>
      <c r="M20" s="1351"/>
    </row>
    <row r="21" spans="1:13">
      <c r="A21" s="110" t="s">
        <v>134</v>
      </c>
      <c r="B21" s="1282" t="s">
        <v>382</v>
      </c>
      <c r="C21" s="1283"/>
      <c r="D21" s="338" t="s">
        <v>148</v>
      </c>
      <c r="E21" s="82" t="e">
        <f>#REF!</f>
        <v>#REF!</v>
      </c>
      <c r="F21" s="82">
        <f>data!P11</f>
        <v>240</v>
      </c>
      <c r="G21" s="332" t="e">
        <f>E21*F21</f>
        <v>#REF!</v>
      </c>
      <c r="H21" s="1324" t="s">
        <v>424</v>
      </c>
      <c r="I21" s="1325"/>
      <c r="J21" s="110" t="s">
        <v>63</v>
      </c>
      <c r="K21" s="82" t="e">
        <f>#REF!</f>
        <v>#REF!</v>
      </c>
      <c r="L21" s="82">
        <f>data!J8</f>
        <v>16500</v>
      </c>
      <c r="M21" s="332" t="e">
        <f t="shared" ref="M21:M45" si="1">K21*L21</f>
        <v>#REF!</v>
      </c>
    </row>
    <row r="22" spans="1:13">
      <c r="A22" s="110"/>
      <c r="B22" s="410"/>
      <c r="C22" s="411"/>
      <c r="D22" s="338"/>
      <c r="E22" s="82"/>
      <c r="F22" s="82"/>
      <c r="G22" s="157"/>
      <c r="H22" s="1324" t="s">
        <v>350</v>
      </c>
      <c r="I22" s="1325"/>
      <c r="J22" s="110" t="s">
        <v>85</v>
      </c>
      <c r="K22" s="82" t="e">
        <f>#REF!+#REF!</f>
        <v>#REF!</v>
      </c>
      <c r="L22" s="82">
        <f>data!J9</f>
        <v>240</v>
      </c>
      <c r="M22" s="332" t="e">
        <f t="shared" si="1"/>
        <v>#REF!</v>
      </c>
    </row>
    <row r="23" spans="1:13">
      <c r="A23" s="110"/>
      <c r="B23" s="410"/>
      <c r="C23" s="411"/>
      <c r="D23" s="338"/>
      <c r="E23" s="82"/>
      <c r="F23" s="82"/>
      <c r="G23" s="157"/>
      <c r="H23" s="1324" t="s">
        <v>351</v>
      </c>
      <c r="I23" s="1325"/>
      <c r="J23" s="110" t="s">
        <v>144</v>
      </c>
      <c r="K23" s="82" t="e">
        <f>(#REF!+#REF!)/48</f>
        <v>#REF!</v>
      </c>
      <c r="L23" s="82">
        <f>data!J10</f>
        <v>360</v>
      </c>
      <c r="M23" s="332" t="e">
        <f t="shared" si="1"/>
        <v>#REF!</v>
      </c>
    </row>
    <row r="24" spans="1:13">
      <c r="A24" s="110"/>
      <c r="B24" s="410"/>
      <c r="C24" s="411"/>
      <c r="D24" s="338"/>
      <c r="E24" s="82"/>
      <c r="F24" s="82"/>
      <c r="G24" s="157"/>
      <c r="H24" s="1324" t="s">
        <v>352</v>
      </c>
      <c r="I24" s="1325"/>
      <c r="J24" s="110" t="s">
        <v>144</v>
      </c>
      <c r="K24" s="82" t="e">
        <f>(#REF!+#REF!)/62</f>
        <v>#REF!</v>
      </c>
      <c r="L24" s="82">
        <f>data!J11</f>
        <v>360</v>
      </c>
      <c r="M24" s="332" t="e">
        <f t="shared" si="1"/>
        <v>#REF!</v>
      </c>
    </row>
    <row r="25" spans="1:13">
      <c r="A25" s="110"/>
      <c r="B25" s="410"/>
      <c r="C25" s="411"/>
      <c r="D25" s="338"/>
      <c r="E25" s="82"/>
      <c r="F25" s="82"/>
      <c r="G25" s="157"/>
      <c r="H25" s="1324" t="s">
        <v>353</v>
      </c>
      <c r="I25" s="1325"/>
      <c r="J25" s="110" t="s">
        <v>136</v>
      </c>
      <c r="K25" s="82" t="e">
        <f>#REF!</f>
        <v>#REF!</v>
      </c>
      <c r="L25" s="82">
        <f>data!J12</f>
        <v>60</v>
      </c>
      <c r="M25" s="332" t="e">
        <f t="shared" si="1"/>
        <v>#REF!</v>
      </c>
    </row>
    <row r="26" spans="1:13">
      <c r="A26" s="339"/>
      <c r="B26" s="1282"/>
      <c r="C26" s="1283"/>
      <c r="D26" s="338"/>
      <c r="E26" s="82"/>
      <c r="F26" s="82"/>
      <c r="G26" s="157"/>
      <c r="H26" s="1282" t="s">
        <v>354</v>
      </c>
      <c r="I26" s="1283"/>
      <c r="J26" s="110" t="s">
        <v>144</v>
      </c>
      <c r="K26" s="82" t="e">
        <f>#REF!</f>
        <v>#REF!</v>
      </c>
      <c r="L26" s="82">
        <f>data!J13</f>
        <v>160</v>
      </c>
      <c r="M26" s="332" t="e">
        <f t="shared" si="1"/>
        <v>#REF!</v>
      </c>
    </row>
    <row r="27" spans="1:13" ht="14.5" customHeight="1">
      <c r="A27" s="340"/>
      <c r="B27" s="1327"/>
      <c r="C27" s="1328"/>
      <c r="D27" s="341"/>
      <c r="E27" s="342"/>
      <c r="F27" s="342"/>
      <c r="G27" s="343"/>
      <c r="H27" s="1353" t="s">
        <v>355</v>
      </c>
      <c r="I27" s="1325"/>
      <c r="J27" s="344" t="s">
        <v>144</v>
      </c>
      <c r="K27" s="345" t="e">
        <f>#REF!</f>
        <v>#REF!</v>
      </c>
      <c r="L27" s="345">
        <f>data!J14</f>
        <v>390</v>
      </c>
      <c r="M27" s="356" t="e">
        <f t="shared" si="1"/>
        <v>#REF!</v>
      </c>
    </row>
    <row r="28" spans="1:13">
      <c r="A28" s="339"/>
      <c r="B28" s="1327"/>
      <c r="C28" s="1328"/>
      <c r="D28" s="338"/>
      <c r="E28" s="82"/>
      <c r="F28" s="82"/>
      <c r="G28" s="157"/>
      <c r="H28" s="1324" t="s">
        <v>356</v>
      </c>
      <c r="I28" s="1325"/>
      <c r="J28" s="110" t="s">
        <v>148</v>
      </c>
      <c r="K28" s="82" t="e">
        <f>#REF!</f>
        <v>#REF!</v>
      </c>
      <c r="L28" s="82">
        <f>data!J15</f>
        <v>100</v>
      </c>
      <c r="M28" s="332" t="e">
        <f t="shared" si="1"/>
        <v>#REF!</v>
      </c>
    </row>
    <row r="29" spans="1:13" ht="27.5" customHeight="1">
      <c r="A29" s="212" t="s">
        <v>152</v>
      </c>
      <c r="B29" s="1319" t="s">
        <v>383</v>
      </c>
      <c r="C29" s="1320"/>
      <c r="D29" s="347" t="s">
        <v>343</v>
      </c>
      <c r="E29" s="378" t="e">
        <f>K29+K30+K31+K32+K36+K35</f>
        <v>#REF!</v>
      </c>
      <c r="F29" s="348">
        <f>data!P12</f>
        <v>17500</v>
      </c>
      <c r="G29" s="332" t="e">
        <f t="shared" ref="G29:G35" si="2">E29*F29</f>
        <v>#REF!</v>
      </c>
      <c r="H29" s="1315" t="s">
        <v>357</v>
      </c>
      <c r="I29" s="1316"/>
      <c r="J29" s="1020" t="s">
        <v>343</v>
      </c>
      <c r="K29" s="583" t="e">
        <f>#REF!</f>
        <v>#REF!</v>
      </c>
      <c r="L29" s="582">
        <f>data!J16</f>
        <v>62992.125984251972</v>
      </c>
      <c r="M29" s="332" t="e">
        <f t="shared" si="1"/>
        <v>#REF!</v>
      </c>
    </row>
    <row r="30" spans="1:13">
      <c r="A30" s="352" t="s">
        <v>412</v>
      </c>
      <c r="B30" s="1319" t="s">
        <v>384</v>
      </c>
      <c r="C30" s="1320"/>
      <c r="D30" s="353" t="s">
        <v>85</v>
      </c>
      <c r="E30" s="354" t="e">
        <f>#REF!+#REF!</f>
        <v>#REF!</v>
      </c>
      <c r="F30" s="355">
        <f>data!P13</f>
        <v>12</v>
      </c>
      <c r="G30" s="356" t="e">
        <f t="shared" si="2"/>
        <v>#REF!</v>
      </c>
      <c r="H30" s="1315" t="s">
        <v>358</v>
      </c>
      <c r="I30" s="1316"/>
      <c r="J30" s="362" t="s">
        <v>343</v>
      </c>
      <c r="K30" s="584" t="e">
        <f>#REF!+#REF!</f>
        <v>#REF!</v>
      </c>
      <c r="L30" s="210">
        <f>data!J17</f>
        <v>70886.075949367078</v>
      </c>
      <c r="M30" s="332" t="e">
        <f t="shared" si="1"/>
        <v>#REF!</v>
      </c>
    </row>
    <row r="31" spans="1:13">
      <c r="A31" s="359" t="s">
        <v>413</v>
      </c>
      <c r="B31" s="1319" t="s">
        <v>1000</v>
      </c>
      <c r="C31" s="1320"/>
      <c r="D31" s="315" t="s">
        <v>85</v>
      </c>
      <c r="E31" s="316" t="e">
        <f>#REF!+#REF!</f>
        <v>#REF!</v>
      </c>
      <c r="F31" s="360">
        <f>data!P14</f>
        <v>7</v>
      </c>
      <c r="G31" s="361" t="e">
        <f t="shared" si="2"/>
        <v>#REF!</v>
      </c>
      <c r="H31" s="1315" t="s">
        <v>357</v>
      </c>
      <c r="I31" s="1316"/>
      <c r="J31" s="1020" t="s">
        <v>343</v>
      </c>
      <c r="K31" s="583" t="e">
        <f>#REF!+#REF!</f>
        <v>#REF!</v>
      </c>
      <c r="L31" s="582">
        <f>data!J16</f>
        <v>62992.125984251972</v>
      </c>
      <c r="M31" s="332" t="e">
        <f t="shared" si="1"/>
        <v>#REF!</v>
      </c>
    </row>
    <row r="32" spans="1:13">
      <c r="A32" s="181" t="s">
        <v>414</v>
      </c>
      <c r="B32" s="1319" t="s">
        <v>1001</v>
      </c>
      <c r="C32" s="1320"/>
      <c r="D32" s="331" t="s">
        <v>85</v>
      </c>
      <c r="E32" s="209" t="e">
        <f>#REF!</f>
        <v>#REF!</v>
      </c>
      <c r="F32" s="157">
        <f>data!P15</f>
        <v>7</v>
      </c>
      <c r="G32" s="332" t="e">
        <f t="shared" si="2"/>
        <v>#REF!</v>
      </c>
      <c r="H32" s="1315" t="s">
        <v>357</v>
      </c>
      <c r="I32" s="1316"/>
      <c r="J32" s="362" t="s">
        <v>343</v>
      </c>
      <c r="K32" s="584" t="e">
        <f>#REF!</f>
        <v>#REF!</v>
      </c>
      <c r="L32" s="210">
        <f>data!J16</f>
        <v>62992.125984251972</v>
      </c>
      <c r="M32" s="332" t="e">
        <f t="shared" si="1"/>
        <v>#REF!</v>
      </c>
    </row>
    <row r="33" spans="1:13">
      <c r="A33" s="181"/>
      <c r="B33" s="1319" t="s">
        <v>999</v>
      </c>
      <c r="C33" s="1320"/>
      <c r="D33" s="331" t="s">
        <v>85</v>
      </c>
      <c r="E33" s="209" t="e">
        <f>#REF!</f>
        <v>#REF!</v>
      </c>
      <c r="F33" s="157">
        <f>data!P16</f>
        <v>7</v>
      </c>
      <c r="G33" s="332" t="e">
        <f t="shared" si="2"/>
        <v>#REF!</v>
      </c>
      <c r="H33" s="1315" t="s">
        <v>357</v>
      </c>
      <c r="I33" s="1316"/>
      <c r="J33" s="1020" t="s">
        <v>343</v>
      </c>
      <c r="K33" s="584" t="e">
        <f>#REF!</f>
        <v>#REF!</v>
      </c>
      <c r="L33" s="210">
        <f>data!J16</f>
        <v>62992.125984251972</v>
      </c>
      <c r="M33" s="332" t="e">
        <f t="shared" si="1"/>
        <v>#REF!</v>
      </c>
    </row>
    <row r="34" spans="1:13">
      <c r="A34" s="181"/>
      <c r="B34" s="1319" t="s">
        <v>1002</v>
      </c>
      <c r="C34" s="1320"/>
      <c r="D34" s="331" t="s">
        <v>85</v>
      </c>
      <c r="E34" s="209" t="e">
        <f>#REF!</f>
        <v>#REF!</v>
      </c>
      <c r="F34" s="157">
        <f>data!P17</f>
        <v>7</v>
      </c>
      <c r="G34" s="332" t="e">
        <f t="shared" si="2"/>
        <v>#REF!</v>
      </c>
      <c r="H34" s="1315" t="s">
        <v>357</v>
      </c>
      <c r="I34" s="1316"/>
      <c r="J34" s="362" t="s">
        <v>343</v>
      </c>
      <c r="K34" s="584" t="e">
        <f>#REF!</f>
        <v>#REF!</v>
      </c>
      <c r="L34" s="210">
        <f>data!J16</f>
        <v>62992.125984251972</v>
      </c>
      <c r="M34" s="332" t="e">
        <f t="shared" si="1"/>
        <v>#REF!</v>
      </c>
    </row>
    <row r="35" spans="1:13">
      <c r="A35" s="181" t="s">
        <v>415</v>
      </c>
      <c r="B35" s="1313" t="s">
        <v>1003</v>
      </c>
      <c r="C35" s="1314"/>
      <c r="D35" s="362" t="s">
        <v>85</v>
      </c>
      <c r="E35" s="209" t="e">
        <f>#REF!</f>
        <v>#REF!</v>
      </c>
      <c r="F35" s="157">
        <f>data!P18</f>
        <v>3</v>
      </c>
      <c r="G35" s="332" t="e">
        <f t="shared" si="2"/>
        <v>#REF!</v>
      </c>
      <c r="H35" s="1315" t="s">
        <v>357</v>
      </c>
      <c r="I35" s="1316"/>
      <c r="J35" s="362" t="s">
        <v>343</v>
      </c>
      <c r="K35" s="584" t="e">
        <f>#REF!</f>
        <v>#REF!</v>
      </c>
      <c r="L35" s="210">
        <f>data!J16</f>
        <v>62992.125984251972</v>
      </c>
      <c r="M35" s="332" t="e">
        <f t="shared" si="1"/>
        <v>#REF!</v>
      </c>
    </row>
    <row r="36" spans="1:13">
      <c r="A36" s="363"/>
      <c r="B36" s="1315"/>
      <c r="C36" s="1316"/>
      <c r="D36" s="362"/>
      <c r="E36" s="209"/>
      <c r="F36" s="157"/>
      <c r="G36" s="332"/>
      <c r="H36" s="1315" t="s">
        <v>359</v>
      </c>
      <c r="I36" s="1316"/>
      <c r="J36" s="362" t="s">
        <v>343</v>
      </c>
      <c r="K36" s="584" t="e">
        <f>#REF!</f>
        <v>#REF!</v>
      </c>
      <c r="L36" s="210">
        <f>data!J18</f>
        <v>130000</v>
      </c>
      <c r="M36" s="332" t="e">
        <f t="shared" si="1"/>
        <v>#REF!</v>
      </c>
    </row>
    <row r="37" spans="1:13">
      <c r="A37" s="364" t="s">
        <v>416</v>
      </c>
      <c r="B37" s="1315" t="s">
        <v>390</v>
      </c>
      <c r="C37" s="1316"/>
      <c r="D37" s="362" t="s">
        <v>85</v>
      </c>
      <c r="E37" s="209" t="e">
        <f>#REF!+#REF!</f>
        <v>#REF!</v>
      </c>
      <c r="F37" s="157">
        <f>data!P19</f>
        <v>50</v>
      </c>
      <c r="G37" s="332" t="e">
        <f t="shared" ref="G37:G38" si="3">E37*F37</f>
        <v>#REF!</v>
      </c>
      <c r="H37" s="1315" t="s">
        <v>417</v>
      </c>
      <c r="I37" s="1316"/>
      <c r="J37" s="362" t="s">
        <v>85</v>
      </c>
      <c r="K37" s="585" t="e">
        <f>#REF!+#REF!</f>
        <v>#REF!</v>
      </c>
      <c r="L37" s="210">
        <f>data!J21</f>
        <v>1200</v>
      </c>
      <c r="M37" s="332" t="e">
        <f t="shared" si="1"/>
        <v>#REF!</v>
      </c>
    </row>
    <row r="38" spans="1:13">
      <c r="A38" s="365" t="s">
        <v>174</v>
      </c>
      <c r="B38" s="1276" t="s">
        <v>391</v>
      </c>
      <c r="C38" s="1277"/>
      <c r="D38" s="108" t="s">
        <v>63</v>
      </c>
      <c r="E38" s="209" t="e">
        <f>#REF!</f>
        <v>#REF!</v>
      </c>
      <c r="F38" s="210">
        <f>data!P20</f>
        <v>5850</v>
      </c>
      <c r="G38" s="332" t="e">
        <f t="shared" si="3"/>
        <v>#REF!</v>
      </c>
      <c r="H38" s="1276" t="s">
        <v>360</v>
      </c>
      <c r="I38" s="1277"/>
      <c r="J38" s="108" t="s">
        <v>63</v>
      </c>
      <c r="K38" s="157" t="e">
        <f>E38*1.1</f>
        <v>#REF!</v>
      </c>
      <c r="L38" s="210">
        <f>data!J19</f>
        <v>7200</v>
      </c>
      <c r="M38" s="332" t="e">
        <f t="shared" si="1"/>
        <v>#REF!</v>
      </c>
    </row>
    <row r="39" spans="1:13">
      <c r="A39" s="366"/>
      <c r="B39" s="1276"/>
      <c r="C39" s="1277"/>
      <c r="D39" s="108"/>
      <c r="E39" s="209"/>
      <c r="F39" s="210"/>
      <c r="G39" s="332"/>
      <c r="H39" s="1276" t="s">
        <v>361</v>
      </c>
      <c r="I39" s="1277"/>
      <c r="J39" s="108" t="s">
        <v>85</v>
      </c>
      <c r="K39" s="157" t="e">
        <f>#REF!</f>
        <v>#REF!</v>
      </c>
      <c r="L39" s="210">
        <f>data!J20</f>
        <v>11</v>
      </c>
      <c r="M39" s="332" t="e">
        <f t="shared" si="1"/>
        <v>#REF!</v>
      </c>
    </row>
    <row r="40" spans="1:13" ht="16">
      <c r="A40" s="366"/>
      <c r="B40" s="1276"/>
      <c r="C40" s="1277"/>
      <c r="D40" s="413"/>
      <c r="E40" s="209"/>
      <c r="F40" s="210"/>
      <c r="G40" s="332"/>
      <c r="H40" s="1354" t="s">
        <v>366</v>
      </c>
      <c r="I40" s="1355"/>
      <c r="J40" s="108"/>
      <c r="K40" s="157"/>
      <c r="L40" s="210"/>
      <c r="M40" s="332"/>
    </row>
    <row r="41" spans="1:13">
      <c r="A41" s="106"/>
      <c r="B41" s="1280"/>
      <c r="C41" s="1281"/>
      <c r="D41" s="108"/>
      <c r="E41" s="209"/>
      <c r="F41" s="210"/>
      <c r="G41" s="332"/>
      <c r="H41" s="1356" t="s">
        <v>367</v>
      </c>
      <c r="I41" s="1357"/>
      <c r="J41" s="108" t="s">
        <v>85</v>
      </c>
      <c r="K41" s="198" t="e">
        <f>ROUNDUP(#REF!,0)</f>
        <v>#REF!</v>
      </c>
      <c r="L41" s="210">
        <f>data!J26</f>
        <v>45</v>
      </c>
      <c r="M41" s="332" t="e">
        <f t="shared" si="1"/>
        <v>#REF!</v>
      </c>
    </row>
    <row r="42" spans="1:13">
      <c r="A42" s="106"/>
      <c r="B42" s="1280"/>
      <c r="C42" s="1281"/>
      <c r="D42" s="108"/>
      <c r="E42" s="209"/>
      <c r="F42" s="210"/>
      <c r="G42" s="332"/>
      <c r="H42" s="1356" t="s">
        <v>368</v>
      </c>
      <c r="I42" s="1357"/>
      <c r="J42" s="108" t="s">
        <v>418</v>
      </c>
      <c r="K42" s="198" t="e">
        <f>#REF!</f>
        <v>#REF!</v>
      </c>
      <c r="L42" s="210">
        <f>data!J27</f>
        <v>55</v>
      </c>
      <c r="M42" s="332" t="e">
        <f t="shared" si="1"/>
        <v>#REF!</v>
      </c>
    </row>
    <row r="43" spans="1:13">
      <c r="A43" s="106"/>
      <c r="B43" s="1280"/>
      <c r="C43" s="1281"/>
      <c r="D43" s="108"/>
      <c r="E43" s="209"/>
      <c r="F43" s="210"/>
      <c r="G43" s="332"/>
      <c r="H43" s="1356" t="s">
        <v>370</v>
      </c>
      <c r="I43" s="1357"/>
      <c r="J43" s="108" t="s">
        <v>419</v>
      </c>
      <c r="K43" s="198" t="e">
        <f>#REF!</f>
        <v>#REF!</v>
      </c>
      <c r="L43" s="210">
        <f>data!J28</f>
        <v>170</v>
      </c>
      <c r="M43" s="332" t="e">
        <f t="shared" si="1"/>
        <v>#REF!</v>
      </c>
    </row>
    <row r="44" spans="1:13">
      <c r="A44" s="106" t="s">
        <v>194</v>
      </c>
      <c r="B44" s="1276" t="s">
        <v>816</v>
      </c>
      <c r="C44" s="1277"/>
      <c r="D44" s="108" t="s">
        <v>148</v>
      </c>
      <c r="E44" s="209" t="e">
        <f>#REF!+#REF!</f>
        <v>#REF!</v>
      </c>
      <c r="F44" s="210">
        <f>data!P21</f>
        <v>350</v>
      </c>
      <c r="G44" s="332" t="e">
        <f>E44*F44</f>
        <v>#REF!</v>
      </c>
      <c r="H44" s="1308" t="s">
        <v>363</v>
      </c>
      <c r="I44" s="1309"/>
      <c r="J44" s="108" t="s">
        <v>170</v>
      </c>
      <c r="K44" s="198" t="e">
        <f>ROUNDUP(#REF!+#REF!,0)</f>
        <v>#REF!</v>
      </c>
      <c r="L44" s="210">
        <f>data!J22</f>
        <v>980</v>
      </c>
      <c r="M44" s="332" t="e">
        <f>K44*L44</f>
        <v>#REF!</v>
      </c>
    </row>
    <row r="45" spans="1:13">
      <c r="A45" s="106"/>
      <c r="B45" s="1280"/>
      <c r="C45" s="1281"/>
      <c r="D45" s="108"/>
      <c r="E45" s="209"/>
      <c r="F45" s="210"/>
      <c r="G45" s="332"/>
      <c r="H45" s="1310" t="s">
        <v>364</v>
      </c>
      <c r="I45" s="1311"/>
      <c r="J45" s="108" t="s">
        <v>365</v>
      </c>
      <c r="K45" s="198" t="e">
        <f>#REF!</f>
        <v>#REF!</v>
      </c>
      <c r="L45" s="210">
        <f>data!J23</f>
        <v>3968</v>
      </c>
      <c r="M45" s="332" t="e">
        <f t="shared" si="1"/>
        <v>#REF!</v>
      </c>
    </row>
    <row r="46" spans="1:13" ht="14.5" customHeight="1">
      <c r="A46" s="83"/>
      <c r="B46" s="84"/>
      <c r="C46" s="85"/>
      <c r="D46" s="85"/>
      <c r="E46" s="1342" t="s">
        <v>145</v>
      </c>
      <c r="F46" s="1343"/>
      <c r="G46" s="86" t="e">
        <f>SUM(G21:G45)</f>
        <v>#REF!</v>
      </c>
      <c r="H46" s="87"/>
      <c r="I46" s="87"/>
      <c r="J46" s="88"/>
      <c r="K46" s="1342" t="s">
        <v>146</v>
      </c>
      <c r="L46" s="1343"/>
      <c r="M46" s="420" t="e">
        <f>SUM(M21:M45)</f>
        <v>#REF!</v>
      </c>
    </row>
    <row r="47" spans="1:13" ht="14.5" customHeight="1">
      <c r="A47" s="1300" t="s">
        <v>717</v>
      </c>
      <c r="B47" s="1300"/>
      <c r="C47" s="1359"/>
      <c r="D47" s="1359"/>
      <c r="E47" s="1359"/>
      <c r="F47" s="1359"/>
      <c r="G47" s="1359"/>
      <c r="H47" s="1359"/>
      <c r="I47" s="1359"/>
      <c r="J47" s="1359"/>
      <c r="K47" s="1359"/>
      <c r="L47" s="1359"/>
      <c r="M47" s="1359"/>
    </row>
    <row r="48" spans="1:13">
      <c r="A48" s="124" t="s">
        <v>134</v>
      </c>
      <c r="B48" s="1282" t="s">
        <v>731</v>
      </c>
      <c r="C48" s="1283"/>
      <c r="D48" s="412" t="s">
        <v>343</v>
      </c>
      <c r="E48" s="446" t="e">
        <f>#REF!</f>
        <v>#REF!</v>
      </c>
      <c r="F48" s="367">
        <f>data!P22</f>
        <v>3000</v>
      </c>
      <c r="G48" s="124" t="e">
        <f>E48*F48</f>
        <v>#REF!</v>
      </c>
      <c r="H48" s="368"/>
      <c r="I48" s="368"/>
      <c r="J48" s="182"/>
      <c r="K48" s="198"/>
      <c r="L48" s="210"/>
      <c r="M48" s="124"/>
    </row>
    <row r="49" spans="1:13">
      <c r="A49" s="124"/>
      <c r="B49" s="1282"/>
      <c r="C49" s="1283"/>
      <c r="D49" s="412"/>
      <c r="E49" s="82"/>
      <c r="F49" s="367"/>
      <c r="G49" s="124"/>
      <c r="H49" s="127" t="s">
        <v>151</v>
      </c>
      <c r="I49" s="127"/>
      <c r="J49" s="124" t="s">
        <v>155</v>
      </c>
      <c r="K49" s="158" t="e">
        <f>#REF!</f>
        <v>#REF!</v>
      </c>
      <c r="L49" s="82">
        <f>data!H30+data!J30*data!D17</f>
        <v>3500</v>
      </c>
      <c r="M49" s="124" t="e">
        <f>K49*L49</f>
        <v>#REF!</v>
      </c>
    </row>
    <row r="50" spans="1:13">
      <c r="A50" s="124"/>
      <c r="B50" s="1282"/>
      <c r="C50" s="1283"/>
      <c r="D50" s="412"/>
      <c r="E50" s="370"/>
      <c r="F50" s="371"/>
      <c r="G50" s="132"/>
      <c r="H50" s="127" t="s">
        <v>372</v>
      </c>
      <c r="I50" s="127"/>
      <c r="J50" s="124" t="s">
        <v>155</v>
      </c>
      <c r="K50" s="158" t="e">
        <f>#REF!</f>
        <v>#REF!</v>
      </c>
      <c r="L50" s="82">
        <f>data!H31+data!J31*data!D17</f>
        <v>8000</v>
      </c>
      <c r="M50" s="124" t="e">
        <f>K50*L50</f>
        <v>#REF!</v>
      </c>
    </row>
    <row r="51" spans="1:13">
      <c r="A51" s="124"/>
      <c r="B51" s="1360"/>
      <c r="C51" s="1361"/>
      <c r="D51" s="412"/>
      <c r="E51" s="370"/>
      <c r="F51" s="371"/>
      <c r="G51" s="132"/>
      <c r="H51" s="127" t="s">
        <v>373</v>
      </c>
      <c r="I51" s="127"/>
      <c r="J51" s="124" t="s">
        <v>155</v>
      </c>
      <c r="K51" s="158" t="e">
        <f>#REF!*#REF!</f>
        <v>#REF!</v>
      </c>
      <c r="L51" s="82">
        <f>data!H32</f>
        <v>18500</v>
      </c>
      <c r="M51" s="124" t="e">
        <f t="shared" ref="M51:M52" si="4">K51*L51</f>
        <v>#REF!</v>
      </c>
    </row>
    <row r="52" spans="1:13">
      <c r="A52" s="124"/>
      <c r="B52" s="1282"/>
      <c r="C52" s="1283"/>
      <c r="D52" s="412"/>
      <c r="E52" s="370"/>
      <c r="F52" s="371"/>
      <c r="G52" s="132"/>
      <c r="H52" s="128" t="s">
        <v>374</v>
      </c>
      <c r="I52" s="128"/>
      <c r="J52" s="133" t="s">
        <v>155</v>
      </c>
      <c r="K52" s="158" t="e">
        <f>#REF!</f>
        <v>#REF!</v>
      </c>
      <c r="L52" s="82">
        <f>data!H33</f>
        <v>23500</v>
      </c>
      <c r="M52" s="124" t="e">
        <f t="shared" si="4"/>
        <v>#REF!</v>
      </c>
    </row>
    <row r="53" spans="1:13" ht="14.5" customHeight="1">
      <c r="A53" s="120"/>
      <c r="B53" s="119"/>
      <c r="C53" s="120"/>
      <c r="D53" s="120"/>
      <c r="E53" s="1256" t="s">
        <v>145</v>
      </c>
      <c r="F53" s="1257"/>
      <c r="G53" s="976" t="e">
        <f>SUM(G48:G52)</f>
        <v>#REF!</v>
      </c>
      <c r="H53" s="119"/>
      <c r="I53" s="119"/>
      <c r="J53" s="120"/>
      <c r="K53" s="1358" t="s">
        <v>20</v>
      </c>
      <c r="L53" s="1358"/>
      <c r="M53" s="976" t="e">
        <f>SUM(M48:M52)</f>
        <v>#REF!</v>
      </c>
    </row>
    <row r="54" spans="1:13">
      <c r="A54" s="120"/>
      <c r="B54" s="119"/>
      <c r="C54" s="120"/>
      <c r="D54" s="120"/>
      <c r="E54" s="407"/>
      <c r="F54" s="407"/>
      <c r="G54" s="122"/>
      <c r="H54" s="119"/>
      <c r="I54" s="119"/>
      <c r="J54" s="120"/>
      <c r="K54" s="408"/>
      <c r="L54" s="408"/>
      <c r="M54" s="122"/>
    </row>
    <row r="56" spans="1:13" ht="14.5" customHeight="1">
      <c r="D56" s="1301" t="s">
        <v>158</v>
      </c>
      <c r="E56" s="1301"/>
      <c r="F56" s="1301"/>
      <c r="G56" s="1301"/>
      <c r="H56" s="968" t="e">
        <f>G19+G46+G53</f>
        <v>#REF!</v>
      </c>
      <c r="I56" s="373"/>
    </row>
    <row r="57" spans="1:13" ht="15.5" customHeight="1">
      <c r="D57" s="1301" t="s">
        <v>159</v>
      </c>
      <c r="E57" s="1301"/>
      <c r="F57" s="1301"/>
      <c r="G57" s="1301"/>
      <c r="H57" s="720" t="e">
        <f>H56*0.03</f>
        <v>#REF!</v>
      </c>
      <c r="I57" s="373"/>
    </row>
    <row r="58" spans="1:13" ht="13.75" customHeight="1">
      <c r="D58" s="1301" t="s">
        <v>160</v>
      </c>
      <c r="E58" s="1301"/>
      <c r="F58" s="1301"/>
      <c r="G58" s="1301"/>
      <c r="H58" s="720" t="e">
        <f>H56*0.16</f>
        <v>#REF!</v>
      </c>
      <c r="I58" s="373"/>
    </row>
    <row r="59" spans="1:13">
      <c r="D59" s="1301" t="s">
        <v>20</v>
      </c>
      <c r="E59" s="1301"/>
      <c r="F59" s="1301"/>
      <c r="G59" s="1301"/>
      <c r="H59" s="720" t="e">
        <f>H56+H57+H58</f>
        <v>#REF!</v>
      </c>
      <c r="I59" s="373"/>
    </row>
    <row r="60" spans="1:13" ht="14.5" customHeight="1">
      <c r="D60" s="1301" t="s">
        <v>161</v>
      </c>
      <c r="E60" s="1301"/>
      <c r="F60" s="1301"/>
      <c r="G60" s="1301"/>
      <c r="H60" s="720" t="e">
        <f>M19+M46</f>
        <v>#REF!</v>
      </c>
      <c r="I60" s="373"/>
    </row>
    <row r="61" spans="1:13" ht="15" customHeight="1">
      <c r="D61" s="1301" t="s">
        <v>863</v>
      </c>
      <c r="E61" s="1301"/>
      <c r="F61" s="1301"/>
      <c r="G61" s="1301"/>
      <c r="H61" s="720" t="e">
        <f>H60*0.035</f>
        <v>#REF!</v>
      </c>
      <c r="I61" s="373"/>
    </row>
    <row r="62" spans="1:13" ht="14.5" customHeight="1">
      <c r="D62" s="1301" t="s">
        <v>162</v>
      </c>
      <c r="E62" s="1301"/>
      <c r="F62" s="1301"/>
      <c r="G62" s="1301"/>
      <c r="H62" s="720" t="e">
        <f>M53</f>
        <v>#REF!</v>
      </c>
      <c r="I62" s="373"/>
    </row>
    <row r="63" spans="1:13">
      <c r="D63" s="1301" t="s">
        <v>20</v>
      </c>
      <c r="E63" s="1301"/>
      <c r="F63" s="1301"/>
      <c r="G63" s="1301"/>
      <c r="H63" s="720" t="e">
        <f>H60+H61+H62</f>
        <v>#REF!</v>
      </c>
      <c r="I63" s="373"/>
    </row>
    <row r="64" spans="1:13">
      <c r="D64" s="1303" t="s">
        <v>163</v>
      </c>
      <c r="E64" s="1303"/>
      <c r="F64" s="1303"/>
      <c r="G64" s="1303"/>
      <c r="H64" s="944" t="e">
        <f>H59+H63</f>
        <v>#REF!</v>
      </c>
      <c r="I64" s="374"/>
    </row>
    <row r="65" spans="4:12" ht="16" thickBot="1">
      <c r="D65" s="1304" t="s">
        <v>164</v>
      </c>
      <c r="E65" s="1304"/>
      <c r="F65" s="1304"/>
      <c r="G65" s="1304"/>
      <c r="H65" s="630" t="e">
        <f>H56*0.03</f>
        <v>#REF!</v>
      </c>
      <c r="I65" s="375"/>
    </row>
    <row r="66" spans="4:12" ht="17" thickBot="1">
      <c r="D66" s="1302" t="s">
        <v>165</v>
      </c>
      <c r="E66" s="1302"/>
      <c r="F66" s="1302"/>
      <c r="G66" s="1302"/>
      <c r="H66" s="631" t="e">
        <f>H64+H65</f>
        <v>#REF!</v>
      </c>
      <c r="I66" s="375"/>
      <c r="K66" s="139"/>
      <c r="L66" s="376"/>
    </row>
  </sheetData>
  <mergeCells count="101">
    <mergeCell ref="D63:G63"/>
    <mergeCell ref="D64:G64"/>
    <mergeCell ref="D65:G65"/>
    <mergeCell ref="D66:G66"/>
    <mergeCell ref="B48:C48"/>
    <mergeCell ref="B49:C49"/>
    <mergeCell ref="B50:C50"/>
    <mergeCell ref="B52:C52"/>
    <mergeCell ref="E53:F53"/>
    <mergeCell ref="B51:C51"/>
    <mergeCell ref="D56:G56"/>
    <mergeCell ref="D57:G57"/>
    <mergeCell ref="D58:G58"/>
    <mergeCell ref="D59:G59"/>
    <mergeCell ref="D60:G60"/>
    <mergeCell ref="D61:G61"/>
    <mergeCell ref="D62:G62"/>
    <mergeCell ref="B41:C41"/>
    <mergeCell ref="H41:I41"/>
    <mergeCell ref="B42:C42"/>
    <mergeCell ref="H42:I42"/>
    <mergeCell ref="B43:C43"/>
    <mergeCell ref="H43:I43"/>
    <mergeCell ref="K53:L53"/>
    <mergeCell ref="B44:C44"/>
    <mergeCell ref="H44:I44"/>
    <mergeCell ref="H45:I45"/>
    <mergeCell ref="E46:F46"/>
    <mergeCell ref="K46:L46"/>
    <mergeCell ref="A47:B47"/>
    <mergeCell ref="B45:C45"/>
    <mergeCell ref="C47:M47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A20:B20"/>
    <mergeCell ref="E20:M20"/>
    <mergeCell ref="H25:I25"/>
    <mergeCell ref="H16:I16"/>
    <mergeCell ref="B17:C17"/>
    <mergeCell ref="H18:I18"/>
    <mergeCell ref="E19:F19"/>
    <mergeCell ref="B21:C21"/>
    <mergeCell ref="H21:I21"/>
    <mergeCell ref="H22:I22"/>
    <mergeCell ref="H23:I23"/>
    <mergeCell ref="H24:I24"/>
    <mergeCell ref="D8:I8"/>
    <mergeCell ref="B9:D9"/>
    <mergeCell ref="B10:C10"/>
    <mergeCell ref="H10:I10"/>
    <mergeCell ref="B11:C11"/>
    <mergeCell ref="H11:I11"/>
    <mergeCell ref="K19:L19"/>
    <mergeCell ref="A12:B12"/>
    <mergeCell ref="B13:C13"/>
    <mergeCell ref="H13:I13"/>
    <mergeCell ref="B14:C14"/>
    <mergeCell ref="H14:I14"/>
    <mergeCell ref="B15:C15"/>
    <mergeCell ref="H15:I15"/>
    <mergeCell ref="A7:M7"/>
    <mergeCell ref="H1:M1"/>
    <mergeCell ref="A2:B2"/>
    <mergeCell ref="D2:F2"/>
    <mergeCell ref="H2:M2"/>
    <mergeCell ref="A3:B3"/>
    <mergeCell ref="D3:F3"/>
    <mergeCell ref="H3:J3"/>
    <mergeCell ref="H4:M4"/>
    <mergeCell ref="A5:B5"/>
    <mergeCell ref="D5:F5"/>
    <mergeCell ref="I5:M5"/>
    <mergeCell ref="A6:M6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A2A7-0A8B-4271-B347-220CF9C60ED3}">
  <dimension ref="A1:O66"/>
  <sheetViews>
    <sheetView workbookViewId="0">
      <selection activeCell="B65" sqref="B65:B66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405" customWidth="1"/>
    <col min="4" max="4" width="6.5" bestFit="1" customWidth="1"/>
    <col min="5" max="5" width="11.1640625" style="372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13.1640625" bestFit="1" customWidth="1"/>
    <col min="12" max="12" width="12.33203125" style="372" customWidth="1"/>
    <col min="13" max="13" width="12.33203125" customWidth="1"/>
  </cols>
  <sheetData>
    <row r="1" spans="1:15" s="295" customFormat="1" ht="14.5" customHeight="1">
      <c r="B1" s="296"/>
      <c r="C1" s="296"/>
      <c r="D1" s="296"/>
      <c r="E1" s="296"/>
      <c r="F1" s="296"/>
      <c r="G1" s="296"/>
      <c r="H1" s="1230" t="s">
        <v>394</v>
      </c>
      <c r="I1" s="1230"/>
      <c r="J1" s="1230"/>
      <c r="K1" s="1230"/>
      <c r="L1" s="1230"/>
      <c r="M1" s="1230"/>
    </row>
    <row r="2" spans="1:15" s="295" customFormat="1" ht="14.5" customHeight="1">
      <c r="A2" s="1231" t="s">
        <v>114</v>
      </c>
      <c r="B2" s="1231"/>
      <c r="C2" s="49"/>
      <c r="D2" s="1232"/>
      <c r="E2" s="1232"/>
      <c r="F2" s="1232"/>
      <c r="G2" s="50"/>
      <c r="H2" s="1230" t="s">
        <v>395</v>
      </c>
      <c r="I2" s="1230"/>
      <c r="J2" s="1230"/>
      <c r="K2" s="1230"/>
      <c r="L2" s="1230"/>
      <c r="M2" s="1230"/>
    </row>
    <row r="3" spans="1:15" s="295" customFormat="1" ht="14">
      <c r="A3" s="1217" t="s">
        <v>396</v>
      </c>
      <c r="B3" s="1217"/>
      <c r="C3" s="49"/>
      <c r="D3" s="1219"/>
      <c r="E3" s="1219"/>
      <c r="F3" s="1219"/>
      <c r="G3" s="50"/>
      <c r="H3" s="1297" t="s">
        <v>115</v>
      </c>
      <c r="I3" s="1297"/>
      <c r="J3" s="1297"/>
      <c r="K3" s="50"/>
    </row>
    <row r="4" spans="1:15" s="295" customFormat="1" ht="14.5" customHeight="1">
      <c r="A4" s="52" t="s">
        <v>397</v>
      </c>
      <c r="B4" s="52"/>
      <c r="C4" s="49"/>
      <c r="D4" s="409"/>
      <c r="E4" s="383"/>
      <c r="G4" s="50"/>
      <c r="H4" s="1298" t="s">
        <v>398</v>
      </c>
      <c r="I4" s="1298"/>
      <c r="J4" s="1298"/>
      <c r="K4" s="1298"/>
      <c r="L4" s="1298"/>
      <c r="M4" s="1298"/>
    </row>
    <row r="5" spans="1:15" s="295" customFormat="1" ht="14">
      <c r="A5" s="1217" t="s">
        <v>399</v>
      </c>
      <c r="B5" s="1217"/>
      <c r="C5" s="49"/>
      <c r="D5" s="1219" t="s">
        <v>121</v>
      </c>
      <c r="E5" s="1219"/>
      <c r="F5" s="1219"/>
      <c r="G5" s="56"/>
      <c r="H5" s="56"/>
      <c r="I5" s="1299" t="s">
        <v>400</v>
      </c>
      <c r="J5" s="1299"/>
      <c r="K5" s="1299"/>
      <c r="L5" s="1299"/>
      <c r="M5" s="1299"/>
    </row>
    <row r="6" spans="1:15" s="295" customFormat="1" ht="16">
      <c r="A6" s="1250" t="s">
        <v>401</v>
      </c>
      <c r="B6" s="1250"/>
      <c r="C6" s="1250"/>
      <c r="D6" s="1250"/>
      <c r="E6" s="1250"/>
      <c r="F6" s="1250"/>
      <c r="G6" s="1250"/>
      <c r="H6" s="1250"/>
      <c r="I6" s="1250"/>
      <c r="J6" s="1250"/>
      <c r="K6" s="1250"/>
      <c r="L6" s="1250"/>
      <c r="M6" s="1250"/>
    </row>
    <row r="7" spans="1:15" s="295" customFormat="1" ht="16">
      <c r="A7" s="1289" t="s">
        <v>402</v>
      </c>
      <c r="B7" s="1289"/>
      <c r="C7" s="1289"/>
      <c r="D7" s="1289"/>
      <c r="E7" s="1289"/>
      <c r="F7" s="1289"/>
      <c r="G7" s="1289"/>
      <c r="H7" s="1289"/>
      <c r="I7" s="1289"/>
      <c r="J7" s="1289"/>
      <c r="K7" s="1289"/>
      <c r="L7" s="1289"/>
      <c r="M7" s="1289"/>
    </row>
    <row r="8" spans="1:15" s="295" customFormat="1" ht="16">
      <c r="B8" s="297"/>
      <c r="C8" s="297"/>
      <c r="D8" s="1341" t="str">
        <f>IF([3]данные!D13=0,[3]расчеты!B34,[3]расчеты!B35)</f>
        <v>сечение фундамента в мм. ВхШ</v>
      </c>
      <c r="E8" s="1341"/>
      <c r="F8" s="1341"/>
      <c r="G8" s="1341"/>
      <c r="H8" s="1341"/>
      <c r="I8" s="1341"/>
      <c r="J8" s="414" t="e">
        <f>IF(#REF!=0,#REF!+0.1,#REF!+0.1+#REF!)*1000</f>
        <v>#REF!</v>
      </c>
      <c r="K8" s="298" t="e">
        <f>#REF!*1000</f>
        <v>#REF!</v>
      </c>
      <c r="L8" s="415"/>
      <c r="M8" s="419"/>
    </row>
    <row r="9" spans="1:15" s="295" customFormat="1" ht="16">
      <c r="A9" s="419"/>
      <c r="B9" s="1290"/>
      <c r="C9" s="1290"/>
      <c r="D9" s="1290"/>
      <c r="E9" s="293"/>
      <c r="F9" s="293"/>
      <c r="G9" s="419"/>
      <c r="H9" s="419"/>
      <c r="I9" s="419"/>
      <c r="J9" s="419"/>
      <c r="K9" s="415"/>
      <c r="L9" s="415"/>
      <c r="M9" s="419"/>
    </row>
    <row r="10" spans="1:15" s="295" customFormat="1" ht="42">
      <c r="A10" s="416" t="s">
        <v>125</v>
      </c>
      <c r="B10" s="1291" t="s">
        <v>126</v>
      </c>
      <c r="C10" s="1291"/>
      <c r="D10" s="416" t="s">
        <v>127</v>
      </c>
      <c r="E10" s="299" t="s">
        <v>2</v>
      </c>
      <c r="F10" s="300" t="s">
        <v>128</v>
      </c>
      <c r="G10" s="300" t="s">
        <v>129</v>
      </c>
      <c r="H10" s="1291" t="s">
        <v>130</v>
      </c>
      <c r="I10" s="1291"/>
      <c r="J10" s="416" t="s">
        <v>127</v>
      </c>
      <c r="K10" s="299" t="s">
        <v>2</v>
      </c>
      <c r="L10" s="299" t="s">
        <v>131</v>
      </c>
      <c r="M10" s="300" t="s">
        <v>132</v>
      </c>
    </row>
    <row r="11" spans="1:15" s="295" customFormat="1" ht="13">
      <c r="A11" s="417">
        <v>1</v>
      </c>
      <c r="B11" s="1292">
        <v>2</v>
      </c>
      <c r="C11" s="1292"/>
      <c r="D11" s="417">
        <v>3</v>
      </c>
      <c r="E11" s="418">
        <v>4</v>
      </c>
      <c r="F11" s="301">
        <v>5</v>
      </c>
      <c r="G11" s="301">
        <v>6</v>
      </c>
      <c r="H11" s="1293">
        <v>7</v>
      </c>
      <c r="I11" s="1293"/>
      <c r="J11" s="418">
        <v>8</v>
      </c>
      <c r="K11" s="418">
        <v>9</v>
      </c>
      <c r="L11" s="418">
        <v>10</v>
      </c>
      <c r="M11" s="301">
        <v>11</v>
      </c>
    </row>
    <row r="12" spans="1:15" ht="14.5" customHeight="1">
      <c r="A12" s="1344" t="s">
        <v>403</v>
      </c>
      <c r="B12" s="1344"/>
      <c r="C12" s="302"/>
      <c r="D12" s="303"/>
      <c r="E12" s="202"/>
      <c r="F12" s="202"/>
      <c r="G12" s="88"/>
      <c r="H12" s="379" t="s">
        <v>421</v>
      </c>
      <c r="I12" s="87"/>
      <c r="J12" s="88"/>
      <c r="K12" s="202"/>
      <c r="L12" s="202"/>
      <c r="M12" s="304"/>
    </row>
    <row r="13" spans="1:15">
      <c r="A13" s="305">
        <v>1</v>
      </c>
      <c r="B13" s="1276" t="s">
        <v>376</v>
      </c>
      <c r="C13" s="1277"/>
      <c r="D13" s="306" t="s">
        <v>148</v>
      </c>
      <c r="E13" s="307" t="e">
        <f>#REF!</f>
        <v>#REF!</v>
      </c>
      <c r="F13" s="308" t="e">
        <f>#REF!</f>
        <v>#REF!</v>
      </c>
      <c r="G13" s="309" t="e">
        <f t="shared" ref="G13:G18" si="0">E13*F13</f>
        <v>#REF!</v>
      </c>
      <c r="H13" s="1364" t="s">
        <v>404</v>
      </c>
      <c r="I13" s="1271"/>
      <c r="J13" s="310" t="s">
        <v>405</v>
      </c>
      <c r="K13" s="307" t="e">
        <f>#REF!</f>
        <v>#REF!</v>
      </c>
      <c r="L13" s="311" t="e">
        <f>#REF!</f>
        <v>#REF!</v>
      </c>
      <c r="M13" s="309" t="e">
        <f>K13*L13</f>
        <v>#REF!</v>
      </c>
    </row>
    <row r="14" spans="1:15" ht="27.5" customHeight="1">
      <c r="A14" s="305">
        <v>2</v>
      </c>
      <c r="B14" s="1276" t="s">
        <v>406</v>
      </c>
      <c r="C14" s="1277"/>
      <c r="D14" s="306" t="s">
        <v>63</v>
      </c>
      <c r="E14" s="307" t="e">
        <f>#REF!</f>
        <v>#REF!</v>
      </c>
      <c r="F14" s="308" t="e">
        <f>#REF!</f>
        <v>#REF!</v>
      </c>
      <c r="G14" s="309" t="e">
        <f t="shared" si="0"/>
        <v>#REF!</v>
      </c>
      <c r="H14" s="1365"/>
      <c r="I14" s="1366"/>
      <c r="J14" s="310"/>
      <c r="K14" s="307"/>
      <c r="L14" s="311"/>
      <c r="M14" s="309"/>
    </row>
    <row r="15" spans="1:15">
      <c r="A15" s="312">
        <v>3</v>
      </c>
      <c r="B15" s="1347" t="s">
        <v>378</v>
      </c>
      <c r="C15" s="1277"/>
      <c r="D15" s="306" t="s">
        <v>148</v>
      </c>
      <c r="E15" s="307" t="e">
        <f>#REF!</f>
        <v>#REF!</v>
      </c>
      <c r="F15" s="308" t="e">
        <f>#REF!</f>
        <v>#REF!</v>
      </c>
      <c r="G15" s="309" t="e">
        <f t="shared" si="0"/>
        <v>#REF!</v>
      </c>
      <c r="H15" s="1348"/>
      <c r="I15" s="1349"/>
      <c r="J15" s="310"/>
      <c r="K15" s="307"/>
      <c r="L15" s="311"/>
      <c r="M15" s="309"/>
    </row>
    <row r="16" spans="1:15" ht="30">
      <c r="A16" s="313">
        <v>4</v>
      </c>
      <c r="B16" s="314" t="s">
        <v>407</v>
      </c>
      <c r="C16" s="108">
        <f>[3]данные!D14*1000</f>
        <v>200</v>
      </c>
      <c r="D16" s="315" t="s">
        <v>63</v>
      </c>
      <c r="E16" s="316" t="e">
        <f>#REF!</f>
        <v>#REF!</v>
      </c>
      <c r="F16" s="317" t="e">
        <f>#REF!</f>
        <v>#REF!</v>
      </c>
      <c r="G16" s="318" t="e">
        <f t="shared" si="0"/>
        <v>#REF!</v>
      </c>
      <c r="H16" s="1278" t="s">
        <v>346</v>
      </c>
      <c r="I16" s="1279"/>
      <c r="J16" s="319" t="s">
        <v>63</v>
      </c>
      <c r="K16" s="316" t="e">
        <f>E16*1.15</f>
        <v>#REF!</v>
      </c>
      <c r="L16" s="320" t="e">
        <f>#REF!</f>
        <v>#REF!</v>
      </c>
      <c r="M16" s="321" t="e">
        <f>K16*L16</f>
        <v>#REF!</v>
      </c>
      <c r="O16" s="322"/>
    </row>
    <row r="17" spans="1:13" ht="30">
      <c r="A17" s="323">
        <v>5</v>
      </c>
      <c r="B17" s="1276" t="s">
        <v>408</v>
      </c>
      <c r="C17" s="1277"/>
      <c r="D17" s="324" t="s">
        <v>409</v>
      </c>
      <c r="E17" s="325" t="e">
        <f>#REF!</f>
        <v>#REF!</v>
      </c>
      <c r="F17" s="326" t="e">
        <f>#REF!</f>
        <v>#REF!</v>
      </c>
      <c r="G17" s="327" t="e">
        <f t="shared" si="0"/>
        <v>#REF!</v>
      </c>
      <c r="H17" s="381" t="s">
        <v>347</v>
      </c>
      <c r="I17" s="382">
        <f>[3]расчеты!K11</f>
        <v>1500</v>
      </c>
      <c r="J17" s="328" t="s">
        <v>148</v>
      </c>
      <c r="K17" s="325" t="e">
        <f>#REF!*1.1</f>
        <v>#REF!</v>
      </c>
      <c r="L17" s="329" t="e">
        <f>IF(I17=1500,#REF!,#REF!)</f>
        <v>#REF!</v>
      </c>
      <c r="M17" s="327" t="e">
        <f>K17*L17</f>
        <v>#REF!</v>
      </c>
    </row>
    <row r="18" spans="1:13" ht="30">
      <c r="A18" s="330">
        <v>6</v>
      </c>
      <c r="B18" s="107" t="s">
        <v>410</v>
      </c>
      <c r="C18" s="108">
        <f>[3]данные!D15*1000</f>
        <v>200</v>
      </c>
      <c r="D18" s="331" t="s">
        <v>63</v>
      </c>
      <c r="E18" s="209" t="e">
        <f>#REF!</f>
        <v>#REF!</v>
      </c>
      <c r="F18" s="210" t="e">
        <f>#REF!</f>
        <v>#REF!</v>
      </c>
      <c r="G18" s="332" t="e">
        <f t="shared" si="0"/>
        <v>#REF!</v>
      </c>
      <c r="H18" s="1282" t="s">
        <v>348</v>
      </c>
      <c r="I18" s="1283"/>
      <c r="J18" s="333" t="s">
        <v>63</v>
      </c>
      <c r="K18" s="209" t="e">
        <f>E18*1.15</f>
        <v>#REF!</v>
      </c>
      <c r="L18" s="334" t="e">
        <f>#REF!</f>
        <v>#REF!</v>
      </c>
      <c r="M18" s="332" t="e">
        <f>K18*L18</f>
        <v>#REF!</v>
      </c>
    </row>
    <row r="19" spans="1:13" ht="14.5" customHeight="1">
      <c r="A19" s="88"/>
      <c r="B19" s="335"/>
      <c r="C19" s="88"/>
      <c r="D19" s="88"/>
      <c r="E19" s="1362" t="s">
        <v>145</v>
      </c>
      <c r="F19" s="1367"/>
      <c r="G19" s="336" t="e">
        <f>SUM(G13:G18)</f>
        <v>#REF!</v>
      </c>
      <c r="H19" s="87"/>
      <c r="I19" s="87"/>
      <c r="J19" s="88"/>
      <c r="K19" s="1362" t="s">
        <v>146</v>
      </c>
      <c r="L19" s="1363"/>
      <c r="M19" s="337" t="e">
        <f>SUM(M13:M18)</f>
        <v>#REF!</v>
      </c>
    </row>
    <row r="20" spans="1:13" ht="14.5" customHeight="1">
      <c r="A20" s="1350" t="s">
        <v>411</v>
      </c>
      <c r="B20" s="1350"/>
      <c r="C20" s="1350"/>
      <c r="D20" s="1350"/>
      <c r="E20" s="1350"/>
      <c r="F20" s="202"/>
      <c r="G20" s="88"/>
      <c r="H20" s="379" t="s">
        <v>421</v>
      </c>
      <c r="I20" s="87"/>
      <c r="J20" s="88"/>
      <c r="K20" s="202"/>
      <c r="L20" s="202"/>
      <c r="M20" s="88"/>
    </row>
    <row r="21" spans="1:13">
      <c r="A21" s="110" t="s">
        <v>134</v>
      </c>
      <c r="B21" s="1282" t="s">
        <v>382</v>
      </c>
      <c r="C21" s="1283"/>
      <c r="D21" s="338" t="s">
        <v>148</v>
      </c>
      <c r="E21" s="82" t="e">
        <f>#REF!</f>
        <v>#REF!</v>
      </c>
      <c r="F21" s="82" t="e">
        <f>#REF!</f>
        <v>#REF!</v>
      </c>
      <c r="G21" s="332" t="e">
        <f>E21*F21</f>
        <v>#REF!</v>
      </c>
      <c r="H21" s="1324" t="s">
        <v>424</v>
      </c>
      <c r="I21" s="1325"/>
      <c r="J21" s="110" t="s">
        <v>63</v>
      </c>
      <c r="K21" s="82" t="e">
        <f>#REF!</f>
        <v>#REF!</v>
      </c>
      <c r="L21" s="82" t="e">
        <f>#REF!</f>
        <v>#REF!</v>
      </c>
      <c r="M21" s="113" t="e">
        <f t="shared" ref="M21:M45" si="1">K21*L21</f>
        <v>#REF!</v>
      </c>
    </row>
    <row r="22" spans="1:13">
      <c r="A22" s="110"/>
      <c r="B22" s="410"/>
      <c r="C22" s="411"/>
      <c r="D22" s="338"/>
      <c r="E22" s="82"/>
      <c r="F22" s="82"/>
      <c r="G22" s="157"/>
      <c r="H22" s="1324" t="s">
        <v>350</v>
      </c>
      <c r="I22" s="1325"/>
      <c r="J22" s="110" t="s">
        <v>85</v>
      </c>
      <c r="K22" s="82" t="e">
        <f>#REF!+#REF!</f>
        <v>#REF!</v>
      </c>
      <c r="L22" s="82" t="e">
        <f>#REF!</f>
        <v>#REF!</v>
      </c>
      <c r="M22" s="113" t="e">
        <f t="shared" si="1"/>
        <v>#REF!</v>
      </c>
    </row>
    <row r="23" spans="1:13">
      <c r="A23" s="110"/>
      <c r="B23" s="410"/>
      <c r="C23" s="411"/>
      <c r="D23" s="338"/>
      <c r="E23" s="82"/>
      <c r="F23" s="82"/>
      <c r="G23" s="157"/>
      <c r="H23" s="1324" t="s">
        <v>351</v>
      </c>
      <c r="I23" s="1325"/>
      <c r="J23" s="110" t="s">
        <v>144</v>
      </c>
      <c r="K23" s="82" t="e">
        <f>(#REF!+#REF!)/48</f>
        <v>#REF!</v>
      </c>
      <c r="L23" s="82" t="e">
        <f>#REF!</f>
        <v>#REF!</v>
      </c>
      <c r="M23" s="113" t="e">
        <f t="shared" si="1"/>
        <v>#REF!</v>
      </c>
    </row>
    <row r="24" spans="1:13">
      <c r="A24" s="110"/>
      <c r="B24" s="410"/>
      <c r="C24" s="411"/>
      <c r="D24" s="338"/>
      <c r="E24" s="82"/>
      <c r="F24" s="82"/>
      <c r="G24" s="157"/>
      <c r="H24" s="1324" t="s">
        <v>352</v>
      </c>
      <c r="I24" s="1325"/>
      <c r="J24" s="110" t="s">
        <v>144</v>
      </c>
      <c r="K24" s="82" t="e">
        <f>(#REF!+#REF!)/62</f>
        <v>#REF!</v>
      </c>
      <c r="L24" s="82" t="e">
        <f>#REF!</f>
        <v>#REF!</v>
      </c>
      <c r="M24" s="113" t="e">
        <f t="shared" si="1"/>
        <v>#REF!</v>
      </c>
    </row>
    <row r="25" spans="1:13">
      <c r="A25" s="110"/>
      <c r="B25" s="410"/>
      <c r="C25" s="411"/>
      <c r="D25" s="338"/>
      <c r="E25" s="82"/>
      <c r="F25" s="82"/>
      <c r="G25" s="157"/>
      <c r="H25" s="1324" t="s">
        <v>353</v>
      </c>
      <c r="I25" s="1325"/>
      <c r="J25" s="110" t="s">
        <v>136</v>
      </c>
      <c r="K25" s="82" t="e">
        <f>#REF!</f>
        <v>#REF!</v>
      </c>
      <c r="L25" s="82" t="e">
        <f>#REF!</f>
        <v>#REF!</v>
      </c>
      <c r="M25" s="113" t="e">
        <f t="shared" si="1"/>
        <v>#REF!</v>
      </c>
    </row>
    <row r="26" spans="1:13">
      <c r="A26" s="339"/>
      <c r="B26" s="1282"/>
      <c r="C26" s="1283"/>
      <c r="D26" s="338"/>
      <c r="E26" s="82"/>
      <c r="F26" s="82"/>
      <c r="G26" s="157"/>
      <c r="H26" s="1282" t="s">
        <v>354</v>
      </c>
      <c r="I26" s="1283"/>
      <c r="J26" s="110" t="s">
        <v>144</v>
      </c>
      <c r="K26" s="82" t="e">
        <f>#REF!</f>
        <v>#REF!</v>
      </c>
      <c r="L26" s="82" t="e">
        <f>#REF!</f>
        <v>#REF!</v>
      </c>
      <c r="M26" s="113" t="e">
        <f t="shared" si="1"/>
        <v>#REF!</v>
      </c>
    </row>
    <row r="27" spans="1:13" ht="14.5" customHeight="1">
      <c r="A27" s="340"/>
      <c r="B27" s="1327"/>
      <c r="C27" s="1328"/>
      <c r="D27" s="341"/>
      <c r="E27" s="342"/>
      <c r="F27" s="342"/>
      <c r="G27" s="343"/>
      <c r="H27" s="1353" t="s">
        <v>355</v>
      </c>
      <c r="I27" s="1325"/>
      <c r="J27" s="344" t="s">
        <v>144</v>
      </c>
      <c r="K27" s="345" t="e">
        <f>#REF!</f>
        <v>#REF!</v>
      </c>
      <c r="L27" s="345" t="e">
        <f>#REF!</f>
        <v>#REF!</v>
      </c>
      <c r="M27" s="346" t="e">
        <f t="shared" si="1"/>
        <v>#REF!</v>
      </c>
    </row>
    <row r="28" spans="1:13">
      <c r="A28" s="339"/>
      <c r="B28" s="1327"/>
      <c r="C28" s="1328"/>
      <c r="D28" s="338"/>
      <c r="E28" s="82"/>
      <c r="F28" s="82"/>
      <c r="G28" s="157"/>
      <c r="H28" s="1324" t="s">
        <v>356</v>
      </c>
      <c r="I28" s="1325"/>
      <c r="J28" s="110" t="s">
        <v>148</v>
      </c>
      <c r="K28" s="82" t="e">
        <f>#REF!</f>
        <v>#REF!</v>
      </c>
      <c r="L28" s="82" t="e">
        <f>#REF!</f>
        <v>#REF!</v>
      </c>
      <c r="M28" s="113" t="e">
        <f t="shared" si="1"/>
        <v>#REF!</v>
      </c>
    </row>
    <row r="29" spans="1:13" ht="27.5" customHeight="1">
      <c r="A29" s="212" t="s">
        <v>152</v>
      </c>
      <c r="B29" s="1319" t="s">
        <v>383</v>
      </c>
      <c r="C29" s="1320"/>
      <c r="D29" s="347" t="s">
        <v>343</v>
      </c>
      <c r="E29" s="378" t="e">
        <f>K29+K30+K31+K32+K36+K35</f>
        <v>#REF!</v>
      </c>
      <c r="F29" s="348" t="e">
        <f>#REF!</f>
        <v>#REF!</v>
      </c>
      <c r="G29" s="332" t="e">
        <f t="shared" ref="G29:G35" si="2">E29*F29</f>
        <v>#REF!</v>
      </c>
      <c r="H29" s="1315" t="s">
        <v>357</v>
      </c>
      <c r="I29" s="1316"/>
      <c r="J29" s="349" t="s">
        <v>343</v>
      </c>
      <c r="K29" s="350" t="e">
        <f>#REF!</f>
        <v>#REF!</v>
      </c>
      <c r="L29" s="351" t="e">
        <f>#REF!</f>
        <v>#REF!</v>
      </c>
      <c r="M29" s="113" t="e">
        <f t="shared" si="1"/>
        <v>#REF!</v>
      </c>
    </row>
    <row r="30" spans="1:13">
      <c r="A30" s="352" t="s">
        <v>412</v>
      </c>
      <c r="B30" s="1319" t="s">
        <v>384</v>
      </c>
      <c r="C30" s="1320"/>
      <c r="D30" s="353" t="s">
        <v>85</v>
      </c>
      <c r="E30" s="354" t="e">
        <f>#REF!+#REF!</f>
        <v>#REF!</v>
      </c>
      <c r="F30" s="355" t="e">
        <f>#REF!</f>
        <v>#REF!</v>
      </c>
      <c r="G30" s="356" t="e">
        <f t="shared" si="2"/>
        <v>#REF!</v>
      </c>
      <c r="H30" s="1315" t="s">
        <v>358</v>
      </c>
      <c r="I30" s="1316"/>
      <c r="J30" s="357" t="s">
        <v>343</v>
      </c>
      <c r="K30" s="358" t="e">
        <f>#REF!+#REF!</f>
        <v>#REF!</v>
      </c>
      <c r="L30" s="78" t="e">
        <f>#REF!</f>
        <v>#REF!</v>
      </c>
      <c r="M30" s="113" t="e">
        <f t="shared" si="1"/>
        <v>#REF!</v>
      </c>
    </row>
    <row r="31" spans="1:13">
      <c r="A31" s="359" t="s">
        <v>413</v>
      </c>
      <c r="B31" s="1319" t="s">
        <v>385</v>
      </c>
      <c r="C31" s="1320"/>
      <c r="D31" s="315" t="s">
        <v>85</v>
      </c>
      <c r="E31" s="316" t="e">
        <f>#REF!+#REF!</f>
        <v>#REF!</v>
      </c>
      <c r="F31" s="360" t="e">
        <f>#REF!</f>
        <v>#REF!</v>
      </c>
      <c r="G31" s="361" t="e">
        <f t="shared" si="2"/>
        <v>#REF!</v>
      </c>
      <c r="H31" s="1315" t="s">
        <v>357</v>
      </c>
      <c r="I31" s="1316"/>
      <c r="J31" s="349" t="s">
        <v>343</v>
      </c>
      <c r="K31" s="350" t="e">
        <f>#REF!+#REF!</f>
        <v>#REF!</v>
      </c>
      <c r="L31" s="351" t="e">
        <f>#REF!</f>
        <v>#REF!</v>
      </c>
      <c r="M31" s="113" t="e">
        <f t="shared" si="1"/>
        <v>#REF!</v>
      </c>
    </row>
    <row r="32" spans="1:13">
      <c r="A32" s="181" t="s">
        <v>414</v>
      </c>
      <c r="B32" s="1319" t="s">
        <v>386</v>
      </c>
      <c r="C32" s="1320"/>
      <c r="D32" s="331" t="s">
        <v>85</v>
      </c>
      <c r="E32" s="209" t="e">
        <f>#REF!</f>
        <v>#REF!</v>
      </c>
      <c r="F32" s="157" t="e">
        <f>#REF!</f>
        <v>#REF!</v>
      </c>
      <c r="G32" s="332" t="e">
        <f t="shared" si="2"/>
        <v>#REF!</v>
      </c>
      <c r="H32" s="1315" t="s">
        <v>357</v>
      </c>
      <c r="I32" s="1316"/>
      <c r="J32" s="357" t="s">
        <v>343</v>
      </c>
      <c r="K32" s="358" t="e">
        <f>#REF!</f>
        <v>#REF!</v>
      </c>
      <c r="L32" s="78" t="e">
        <f>#REF!</f>
        <v>#REF!</v>
      </c>
      <c r="M32" s="113" t="e">
        <f t="shared" si="1"/>
        <v>#REF!</v>
      </c>
    </row>
    <row r="33" spans="1:13">
      <c r="A33" s="181"/>
      <c r="B33" s="1319" t="s">
        <v>387</v>
      </c>
      <c r="C33" s="1320"/>
      <c r="D33" s="331" t="s">
        <v>85</v>
      </c>
      <c r="E33" s="209" t="e">
        <f>#REF!</f>
        <v>#REF!</v>
      </c>
      <c r="F33" s="157" t="e">
        <f>#REF!</f>
        <v>#REF!</v>
      </c>
      <c r="G33" s="332" t="e">
        <f t="shared" si="2"/>
        <v>#REF!</v>
      </c>
      <c r="H33" s="1315" t="s">
        <v>357</v>
      </c>
      <c r="I33" s="1316"/>
      <c r="J33" s="349" t="s">
        <v>343</v>
      </c>
      <c r="K33" s="358" t="e">
        <f>#REF!</f>
        <v>#REF!</v>
      </c>
      <c r="L33" s="78" t="e">
        <f>#REF!</f>
        <v>#REF!</v>
      </c>
      <c r="M33" s="113" t="e">
        <f t="shared" si="1"/>
        <v>#REF!</v>
      </c>
    </row>
    <row r="34" spans="1:13">
      <c r="A34" s="181"/>
      <c r="B34" s="1319" t="s">
        <v>388</v>
      </c>
      <c r="C34" s="1320"/>
      <c r="D34" s="331" t="s">
        <v>85</v>
      </c>
      <c r="E34" s="209" t="e">
        <f>#REF!</f>
        <v>#REF!</v>
      </c>
      <c r="F34" s="157" t="e">
        <f>#REF!</f>
        <v>#REF!</v>
      </c>
      <c r="G34" s="332" t="e">
        <f t="shared" si="2"/>
        <v>#REF!</v>
      </c>
      <c r="H34" s="1315" t="s">
        <v>357</v>
      </c>
      <c r="I34" s="1316"/>
      <c r="J34" s="357" t="s">
        <v>343</v>
      </c>
      <c r="K34" s="358" t="e">
        <f>#REF!</f>
        <v>#REF!</v>
      </c>
      <c r="L34" s="78" t="e">
        <f>#REF!</f>
        <v>#REF!</v>
      </c>
      <c r="M34" s="113" t="e">
        <f t="shared" si="1"/>
        <v>#REF!</v>
      </c>
    </row>
    <row r="35" spans="1:13">
      <c r="A35" s="181" t="s">
        <v>415</v>
      </c>
      <c r="B35" s="1313" t="s">
        <v>389</v>
      </c>
      <c r="C35" s="1314"/>
      <c r="D35" s="362" t="s">
        <v>85</v>
      </c>
      <c r="E35" s="209" t="e">
        <f>#REF!</f>
        <v>#REF!</v>
      </c>
      <c r="F35" s="157" t="e">
        <f>#REF!</f>
        <v>#REF!</v>
      </c>
      <c r="G35" s="332" t="e">
        <f t="shared" si="2"/>
        <v>#REF!</v>
      </c>
      <c r="H35" s="1315" t="s">
        <v>357</v>
      </c>
      <c r="I35" s="1316"/>
      <c r="J35" s="357" t="s">
        <v>343</v>
      </c>
      <c r="K35" s="358" t="e">
        <f>#REF!</f>
        <v>#REF!</v>
      </c>
      <c r="L35" s="78" t="e">
        <f>#REF!</f>
        <v>#REF!</v>
      </c>
      <c r="M35" s="113" t="e">
        <f t="shared" si="1"/>
        <v>#REF!</v>
      </c>
    </row>
    <row r="36" spans="1:13">
      <c r="A36" s="363"/>
      <c r="B36" s="1315"/>
      <c r="C36" s="1316"/>
      <c r="D36" s="362"/>
      <c r="E36" s="209"/>
      <c r="F36" s="157"/>
      <c r="G36" s="332"/>
      <c r="H36" s="1315" t="s">
        <v>359</v>
      </c>
      <c r="I36" s="1316"/>
      <c r="J36" s="357" t="s">
        <v>343</v>
      </c>
      <c r="K36" s="358" t="e">
        <f>#REF!</f>
        <v>#REF!</v>
      </c>
      <c r="L36" s="78" t="e">
        <f>#REF!</f>
        <v>#REF!</v>
      </c>
      <c r="M36" s="113" t="e">
        <f t="shared" si="1"/>
        <v>#REF!</v>
      </c>
    </row>
    <row r="37" spans="1:13">
      <c r="A37" s="364" t="s">
        <v>416</v>
      </c>
      <c r="B37" s="1315" t="s">
        <v>390</v>
      </c>
      <c r="C37" s="1316"/>
      <c r="D37" s="362" t="s">
        <v>85</v>
      </c>
      <c r="E37" s="209" t="e">
        <f>#REF!+#REF!</f>
        <v>#REF!</v>
      </c>
      <c r="F37" s="157" t="e">
        <f>#REF!</f>
        <v>#REF!</v>
      </c>
      <c r="G37" s="332" t="e">
        <f t="shared" ref="G37:G38" si="3">E37*F37</f>
        <v>#REF!</v>
      </c>
      <c r="H37" s="1315" t="s">
        <v>417</v>
      </c>
      <c r="I37" s="1316"/>
      <c r="J37" s="357" t="s">
        <v>85</v>
      </c>
      <c r="K37" s="377" t="e">
        <f>#REF!+#REF!</f>
        <v>#REF!</v>
      </c>
      <c r="L37" s="78" t="e">
        <f>#REF!</f>
        <v>#REF!</v>
      </c>
      <c r="M37" s="113" t="e">
        <f t="shared" si="1"/>
        <v>#REF!</v>
      </c>
    </row>
    <row r="38" spans="1:13">
      <c r="A38" s="365" t="s">
        <v>174</v>
      </c>
      <c r="B38" s="1276" t="s">
        <v>391</v>
      </c>
      <c r="C38" s="1277"/>
      <c r="D38" s="108" t="s">
        <v>63</v>
      </c>
      <c r="E38" s="209" t="e">
        <f>#REF!</f>
        <v>#REF!</v>
      </c>
      <c r="F38" s="210" t="e">
        <f>#REF!</f>
        <v>#REF!</v>
      </c>
      <c r="G38" s="332" t="e">
        <f t="shared" si="3"/>
        <v>#REF!</v>
      </c>
      <c r="H38" s="1276" t="s">
        <v>360</v>
      </c>
      <c r="I38" s="1277"/>
      <c r="J38" s="112" t="s">
        <v>63</v>
      </c>
      <c r="K38" s="79" t="e">
        <f>E38*1.1</f>
        <v>#REF!</v>
      </c>
      <c r="L38" s="78" t="e">
        <f>#REF!</f>
        <v>#REF!</v>
      </c>
      <c r="M38" s="113" t="e">
        <f t="shared" si="1"/>
        <v>#REF!</v>
      </c>
    </row>
    <row r="39" spans="1:13">
      <c r="A39" s="366"/>
      <c r="B39" s="1276"/>
      <c r="C39" s="1277"/>
      <c r="D39" s="108"/>
      <c r="E39" s="209"/>
      <c r="F39" s="210"/>
      <c r="G39" s="332"/>
      <c r="H39" s="1276" t="s">
        <v>361</v>
      </c>
      <c r="I39" s="1277"/>
      <c r="J39" s="112" t="s">
        <v>85</v>
      </c>
      <c r="K39" s="79" t="e">
        <f>#REF!</f>
        <v>#REF!</v>
      </c>
      <c r="L39" s="78" t="e">
        <f>#REF!</f>
        <v>#REF!</v>
      </c>
      <c r="M39" s="113" t="e">
        <f t="shared" si="1"/>
        <v>#REF!</v>
      </c>
    </row>
    <row r="40" spans="1:13" ht="16">
      <c r="A40" s="366"/>
      <c r="B40" s="1276"/>
      <c r="C40" s="1277"/>
      <c r="D40" s="413"/>
      <c r="E40" s="209"/>
      <c r="F40" s="210"/>
      <c r="G40" s="332"/>
      <c r="H40" s="1354" t="s">
        <v>366</v>
      </c>
      <c r="I40" s="1355"/>
      <c r="J40" s="112"/>
      <c r="K40" s="79"/>
      <c r="L40" s="78"/>
      <c r="M40" s="113"/>
    </row>
    <row r="41" spans="1:13">
      <c r="A41" s="106"/>
      <c r="B41" s="1280"/>
      <c r="C41" s="1281"/>
      <c r="D41" s="108"/>
      <c r="E41" s="209"/>
      <c r="F41" s="210"/>
      <c r="G41" s="332"/>
      <c r="H41" s="1356" t="s">
        <v>367</v>
      </c>
      <c r="I41" s="1357"/>
      <c r="J41" s="112" t="s">
        <v>85</v>
      </c>
      <c r="K41" s="183" t="e">
        <f>ROUNDUP(#REF!,0)</f>
        <v>#REF!</v>
      </c>
      <c r="L41" s="78" t="e">
        <f>#REF!</f>
        <v>#REF!</v>
      </c>
      <c r="M41" s="113" t="e">
        <f t="shared" si="1"/>
        <v>#REF!</v>
      </c>
    </row>
    <row r="42" spans="1:13">
      <c r="A42" s="106"/>
      <c r="B42" s="1280"/>
      <c r="C42" s="1281"/>
      <c r="D42" s="108"/>
      <c r="E42" s="209"/>
      <c r="F42" s="210"/>
      <c r="G42" s="332"/>
      <c r="H42" s="1356" t="s">
        <v>368</v>
      </c>
      <c r="I42" s="1357"/>
      <c r="J42" s="112" t="s">
        <v>418</v>
      </c>
      <c r="K42" s="183" t="e">
        <f>#REF!</f>
        <v>#REF!</v>
      </c>
      <c r="L42" s="78" t="e">
        <f>#REF!</f>
        <v>#REF!</v>
      </c>
      <c r="M42" s="113" t="e">
        <f t="shared" si="1"/>
        <v>#REF!</v>
      </c>
    </row>
    <row r="43" spans="1:13">
      <c r="A43" s="106"/>
      <c r="B43" s="1280"/>
      <c r="C43" s="1281"/>
      <c r="D43" s="108"/>
      <c r="E43" s="209"/>
      <c r="F43" s="210"/>
      <c r="G43" s="332"/>
      <c r="H43" s="1356" t="s">
        <v>370</v>
      </c>
      <c r="I43" s="1357"/>
      <c r="J43" s="112" t="s">
        <v>419</v>
      </c>
      <c r="K43" s="183" t="e">
        <f>#REF!</f>
        <v>#REF!</v>
      </c>
      <c r="L43" s="78" t="e">
        <f>#REF!</f>
        <v>#REF!</v>
      </c>
      <c r="M43" s="113" t="e">
        <f t="shared" si="1"/>
        <v>#REF!</v>
      </c>
    </row>
    <row r="44" spans="1:13">
      <c r="A44" s="106" t="s">
        <v>194</v>
      </c>
      <c r="B44" s="1276" t="s">
        <v>392</v>
      </c>
      <c r="C44" s="1277"/>
      <c r="D44" s="108" t="s">
        <v>148</v>
      </c>
      <c r="E44" s="209" t="e">
        <f>#REF!+#REF!</f>
        <v>#REF!</v>
      </c>
      <c r="F44" s="210" t="e">
        <f>#REF!</f>
        <v>#REF!</v>
      </c>
      <c r="G44" s="332" t="e">
        <f>E44*F44</f>
        <v>#REF!</v>
      </c>
      <c r="H44" s="1308" t="s">
        <v>363</v>
      </c>
      <c r="I44" s="1309"/>
      <c r="J44" s="112" t="s">
        <v>170</v>
      </c>
      <c r="K44" s="183" t="e">
        <f>ROUNDUP(#REF!+#REF!,0)</f>
        <v>#REF!</v>
      </c>
      <c r="L44" s="78" t="e">
        <f>#REF!</f>
        <v>#REF!</v>
      </c>
      <c r="M44" s="113" t="e">
        <f>K44*L44</f>
        <v>#REF!</v>
      </c>
    </row>
    <row r="45" spans="1:13">
      <c r="A45" s="106"/>
      <c r="B45" s="1280"/>
      <c r="C45" s="1281"/>
      <c r="D45" s="108"/>
      <c r="E45" s="209"/>
      <c r="F45" s="210"/>
      <c r="G45" s="332"/>
      <c r="H45" s="1310" t="s">
        <v>364</v>
      </c>
      <c r="I45" s="1311"/>
      <c r="J45" s="112" t="s">
        <v>365</v>
      </c>
      <c r="K45" s="183" t="e">
        <f>#REF!</f>
        <v>#REF!</v>
      </c>
      <c r="L45" s="78" t="e">
        <f>#REF!</f>
        <v>#REF!</v>
      </c>
      <c r="M45" s="113" t="e">
        <f t="shared" si="1"/>
        <v>#REF!</v>
      </c>
    </row>
    <row r="46" spans="1:13" ht="14.5" customHeight="1">
      <c r="A46" s="83"/>
      <c r="B46" s="84"/>
      <c r="C46" s="85"/>
      <c r="D46" s="85"/>
      <c r="E46" s="1362" t="s">
        <v>145</v>
      </c>
      <c r="F46" s="1363"/>
      <c r="G46" s="86" t="e">
        <f>SUM(G21:G45)</f>
        <v>#REF!</v>
      </c>
      <c r="H46" s="87"/>
      <c r="I46" s="87"/>
      <c r="J46" s="88"/>
      <c r="K46" s="1362" t="s">
        <v>146</v>
      </c>
      <c r="L46" s="1363"/>
      <c r="M46" s="420" t="e">
        <f>SUM(M21:M45)</f>
        <v>#REF!</v>
      </c>
    </row>
    <row r="47" spans="1:13" ht="14.5" customHeight="1">
      <c r="A47" s="1300" t="s">
        <v>423</v>
      </c>
      <c r="B47" s="1300"/>
      <c r="C47" s="122"/>
      <c r="D47" s="120"/>
      <c r="E47" s="407"/>
      <c r="F47" s="407"/>
      <c r="G47" s="122"/>
      <c r="H47" s="380" t="s">
        <v>422</v>
      </c>
      <c r="I47" s="119"/>
      <c r="J47" s="120"/>
      <c r="K47" s="408"/>
      <c r="L47" s="408"/>
      <c r="M47" s="122"/>
    </row>
    <row r="48" spans="1:13">
      <c r="A48" s="124"/>
      <c r="B48" s="1282" t="s">
        <v>393</v>
      </c>
      <c r="C48" s="1283"/>
      <c r="D48" s="412" t="s">
        <v>154</v>
      </c>
      <c r="E48" s="82" t="e">
        <f>K50</f>
        <v>#REF!</v>
      </c>
      <c r="F48" s="367" t="e">
        <f>#REF!</f>
        <v>#REF!</v>
      </c>
      <c r="G48" s="124" t="e">
        <f>E48*F48</f>
        <v>#REF!</v>
      </c>
      <c r="H48" s="368"/>
      <c r="I48" s="368"/>
      <c r="J48" s="76"/>
      <c r="K48" s="183"/>
      <c r="L48" s="78"/>
      <c r="M48" s="124"/>
    </row>
    <row r="49" spans="1:13">
      <c r="A49" s="124"/>
      <c r="B49" s="1282"/>
      <c r="C49" s="1283"/>
      <c r="D49" s="412"/>
      <c r="E49" s="82"/>
      <c r="F49" s="367"/>
      <c r="G49" s="124"/>
      <c r="H49" s="127" t="s">
        <v>151</v>
      </c>
      <c r="I49" s="127"/>
      <c r="J49" s="124" t="s">
        <v>155</v>
      </c>
      <c r="K49" s="158" t="e">
        <f>#REF!</f>
        <v>#REF!</v>
      </c>
      <c r="L49" s="369" t="e">
        <f>#REF!+#REF!*#REF!</f>
        <v>#REF!</v>
      </c>
      <c r="M49" s="124" t="e">
        <f>K49*L49</f>
        <v>#REF!</v>
      </c>
    </row>
    <row r="50" spans="1:13">
      <c r="A50" s="124"/>
      <c r="B50" s="1282"/>
      <c r="C50" s="1283"/>
      <c r="D50" s="412"/>
      <c r="E50" s="370"/>
      <c r="F50" s="371"/>
      <c r="G50" s="132"/>
      <c r="H50" s="127" t="s">
        <v>372</v>
      </c>
      <c r="I50" s="127"/>
      <c r="J50" s="124" t="s">
        <v>155</v>
      </c>
      <c r="K50" s="158" t="e">
        <f>#REF!</f>
        <v>#REF!</v>
      </c>
      <c r="L50" s="369" t="e">
        <f>#REF!+#REF!*#REF!</f>
        <v>#REF!</v>
      </c>
      <c r="M50" s="124" t="e">
        <f>K50*L50</f>
        <v>#REF!</v>
      </c>
    </row>
    <row r="51" spans="1:13">
      <c r="A51" s="124"/>
      <c r="B51" s="1360"/>
      <c r="C51" s="1361"/>
      <c r="D51" s="412"/>
      <c r="E51" s="370"/>
      <c r="F51" s="371"/>
      <c r="G51" s="132"/>
      <c r="H51" s="127" t="s">
        <v>373</v>
      </c>
      <c r="I51" s="127"/>
      <c r="J51" s="124" t="s">
        <v>155</v>
      </c>
      <c r="K51" s="158" t="e">
        <f>#REF!*#REF!</f>
        <v>#REF!</v>
      </c>
      <c r="L51" s="369" t="e">
        <f>#REF!</f>
        <v>#REF!</v>
      </c>
      <c r="M51" s="124" t="e">
        <f t="shared" ref="M51:M52" si="4">K51*L51</f>
        <v>#REF!</v>
      </c>
    </row>
    <row r="52" spans="1:13">
      <c r="A52" s="124"/>
      <c r="B52" s="1282"/>
      <c r="C52" s="1283"/>
      <c r="D52" s="412"/>
      <c r="E52" s="370"/>
      <c r="F52" s="371"/>
      <c r="G52" s="132"/>
      <c r="H52" s="128" t="s">
        <v>374</v>
      </c>
      <c r="I52" s="128"/>
      <c r="J52" s="133" t="s">
        <v>155</v>
      </c>
      <c r="K52" s="158" t="e">
        <f>#REF!</f>
        <v>#REF!</v>
      </c>
      <c r="L52" s="82" t="e">
        <f>#REF!</f>
        <v>#REF!</v>
      </c>
      <c r="M52" s="124" t="e">
        <f t="shared" si="4"/>
        <v>#REF!</v>
      </c>
    </row>
    <row r="53" spans="1:13" ht="14.5" customHeight="1">
      <c r="A53" s="120"/>
      <c r="B53" s="119"/>
      <c r="C53" s="120"/>
      <c r="D53" s="120"/>
      <c r="E53" s="1240" t="s">
        <v>145</v>
      </c>
      <c r="F53" s="1241"/>
      <c r="G53" s="976" t="e">
        <f>SUM(G48:G52)</f>
        <v>#REF!</v>
      </c>
      <c r="H53" s="119"/>
      <c r="I53" s="119"/>
      <c r="J53" s="120"/>
      <c r="K53" s="1358" t="s">
        <v>20</v>
      </c>
      <c r="L53" s="1358"/>
      <c r="M53" s="976" t="e">
        <f>SUM(M48:M52)</f>
        <v>#REF!</v>
      </c>
    </row>
    <row r="54" spans="1:13">
      <c r="A54" s="120"/>
      <c r="B54" s="119"/>
      <c r="C54" s="120"/>
      <c r="D54" s="120"/>
      <c r="E54" s="407"/>
      <c r="F54" s="407"/>
      <c r="G54" s="122"/>
      <c r="H54" s="119"/>
      <c r="I54" s="119"/>
      <c r="J54" s="120"/>
      <c r="K54" s="408"/>
      <c r="L54" s="408"/>
      <c r="M54" s="122"/>
    </row>
    <row r="56" spans="1:13" ht="14.5" customHeight="1">
      <c r="D56" s="1266" t="s">
        <v>158</v>
      </c>
      <c r="E56" s="1266"/>
      <c r="F56" s="1266"/>
      <c r="G56" s="1266"/>
      <c r="H56" s="978" t="e">
        <f>G19+G46+G53</f>
        <v>#REF!</v>
      </c>
      <c r="I56" s="373"/>
    </row>
    <row r="57" spans="1:13" ht="16.75" customHeight="1">
      <c r="D57" s="1266" t="s">
        <v>159</v>
      </c>
      <c r="E57" s="1266"/>
      <c r="F57" s="1266"/>
      <c r="G57" s="1266"/>
      <c r="H57" s="278" t="e">
        <f>H56*0.03</f>
        <v>#REF!</v>
      </c>
      <c r="I57" s="373"/>
    </row>
    <row r="58" spans="1:13" ht="15.5" customHeight="1">
      <c r="D58" s="1266" t="s">
        <v>160</v>
      </c>
      <c r="E58" s="1266"/>
      <c r="F58" s="1266"/>
      <c r="G58" s="1266"/>
      <c r="H58" s="278" t="e">
        <f>H56*0.16</f>
        <v>#REF!</v>
      </c>
      <c r="I58" s="373"/>
    </row>
    <row r="59" spans="1:13">
      <c r="D59" s="1266" t="s">
        <v>20</v>
      </c>
      <c r="E59" s="1266"/>
      <c r="F59" s="1266"/>
      <c r="G59" s="1266"/>
      <c r="H59" s="278" t="e">
        <f>H56+H57+H58</f>
        <v>#REF!</v>
      </c>
      <c r="I59" s="373"/>
    </row>
    <row r="60" spans="1:13" ht="14.5" customHeight="1">
      <c r="D60" s="1266" t="s">
        <v>161</v>
      </c>
      <c r="E60" s="1266"/>
      <c r="F60" s="1266"/>
      <c r="G60" s="1266"/>
      <c r="H60" s="278" t="e">
        <f>M19+M46</f>
        <v>#REF!</v>
      </c>
      <c r="I60" s="373"/>
    </row>
    <row r="61" spans="1:13" ht="16.75" customHeight="1">
      <c r="D61" s="1266" t="s">
        <v>420</v>
      </c>
      <c r="E61" s="1266"/>
      <c r="F61" s="1266"/>
      <c r="G61" s="1266"/>
      <c r="H61" s="278" t="e">
        <f>H60*0.035</f>
        <v>#REF!</v>
      </c>
      <c r="I61" s="373"/>
    </row>
    <row r="62" spans="1:13" ht="14.5" customHeight="1">
      <c r="D62" s="1266" t="s">
        <v>162</v>
      </c>
      <c r="E62" s="1266"/>
      <c r="F62" s="1266"/>
      <c r="G62" s="1266"/>
      <c r="H62" s="278" t="e">
        <f>M53</f>
        <v>#REF!</v>
      </c>
      <c r="I62" s="373"/>
    </row>
    <row r="63" spans="1:13">
      <c r="D63" s="1266" t="s">
        <v>20</v>
      </c>
      <c r="E63" s="1266"/>
      <c r="F63" s="1266"/>
      <c r="G63" s="1266"/>
      <c r="H63" s="278" t="e">
        <f>H60+H61+H62</f>
        <v>#REF!</v>
      </c>
      <c r="I63" s="373"/>
    </row>
    <row r="64" spans="1:13">
      <c r="D64" s="1294" t="s">
        <v>163</v>
      </c>
      <c r="E64" s="1294"/>
      <c r="F64" s="1294"/>
      <c r="G64" s="1294"/>
      <c r="H64" s="279" t="e">
        <f>H59+H63</f>
        <v>#REF!</v>
      </c>
      <c r="I64" s="374"/>
    </row>
    <row r="65" spans="4:12" ht="16" thickBot="1">
      <c r="D65" s="1295" t="s">
        <v>164</v>
      </c>
      <c r="E65" s="1295"/>
      <c r="F65" s="1295"/>
      <c r="G65" s="1295"/>
      <c r="H65" s="280" t="e">
        <f>H56*0.03</f>
        <v>#REF!</v>
      </c>
      <c r="I65" s="375"/>
    </row>
    <row r="66" spans="4:12" ht="17" thickBot="1">
      <c r="D66" s="1296" t="s">
        <v>165</v>
      </c>
      <c r="E66" s="1296"/>
      <c r="F66" s="1296"/>
      <c r="G66" s="1296"/>
      <c r="H66" s="138" t="e">
        <f>H64+H65</f>
        <v>#REF!</v>
      </c>
      <c r="I66" s="375"/>
      <c r="K66" s="139"/>
      <c r="L66" s="376"/>
    </row>
  </sheetData>
  <mergeCells count="99">
    <mergeCell ref="D63:G63"/>
    <mergeCell ref="D64:G64"/>
    <mergeCell ref="D65:G65"/>
    <mergeCell ref="D66:G66"/>
    <mergeCell ref="D57:G57"/>
    <mergeCell ref="D58:G58"/>
    <mergeCell ref="D59:G59"/>
    <mergeCell ref="D60:G60"/>
    <mergeCell ref="D61:G61"/>
    <mergeCell ref="D62:G62"/>
    <mergeCell ref="B50:C50"/>
    <mergeCell ref="B51:C51"/>
    <mergeCell ref="K53:L53"/>
    <mergeCell ref="B52:C52"/>
    <mergeCell ref="E53:F53"/>
    <mergeCell ref="D56:G56"/>
    <mergeCell ref="K46:L46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E46:F46"/>
    <mergeCell ref="A47:B47"/>
    <mergeCell ref="B48:C48"/>
    <mergeCell ref="B49:C49"/>
    <mergeCell ref="B38:C38"/>
    <mergeCell ref="H38:I38"/>
    <mergeCell ref="B39:C39"/>
    <mergeCell ref="H39:I39"/>
    <mergeCell ref="B40:C40"/>
    <mergeCell ref="H40:I40"/>
    <mergeCell ref="B35:C35"/>
    <mergeCell ref="H35:I35"/>
    <mergeCell ref="B36:C36"/>
    <mergeCell ref="H36:I36"/>
    <mergeCell ref="B37:C37"/>
    <mergeCell ref="H37:I37"/>
    <mergeCell ref="B32:C32"/>
    <mergeCell ref="H32:I32"/>
    <mergeCell ref="B33:C33"/>
    <mergeCell ref="H33:I33"/>
    <mergeCell ref="B34:C34"/>
    <mergeCell ref="H34:I34"/>
    <mergeCell ref="B29:C29"/>
    <mergeCell ref="H29:I29"/>
    <mergeCell ref="B30:C30"/>
    <mergeCell ref="H30:I30"/>
    <mergeCell ref="B31:C31"/>
    <mergeCell ref="H31:I31"/>
    <mergeCell ref="B26:C26"/>
    <mergeCell ref="H26:I26"/>
    <mergeCell ref="B27:C27"/>
    <mergeCell ref="H27:I27"/>
    <mergeCell ref="B28:C28"/>
    <mergeCell ref="H28:I28"/>
    <mergeCell ref="H25:I25"/>
    <mergeCell ref="H16:I16"/>
    <mergeCell ref="B17:C17"/>
    <mergeCell ref="H18:I18"/>
    <mergeCell ref="E19:F19"/>
    <mergeCell ref="B21:C21"/>
    <mergeCell ref="H21:I21"/>
    <mergeCell ref="H22:I22"/>
    <mergeCell ref="H23:I23"/>
    <mergeCell ref="H24:I24"/>
    <mergeCell ref="K19:L19"/>
    <mergeCell ref="A20:E20"/>
    <mergeCell ref="A12:B12"/>
    <mergeCell ref="B13:C13"/>
    <mergeCell ref="H13:I13"/>
    <mergeCell ref="B14:C14"/>
    <mergeCell ref="H14:I14"/>
    <mergeCell ref="B15:C15"/>
    <mergeCell ref="H15:I15"/>
    <mergeCell ref="D8:I8"/>
    <mergeCell ref="B9:D9"/>
    <mergeCell ref="B10:C10"/>
    <mergeCell ref="H10:I10"/>
    <mergeCell ref="B11:C11"/>
    <mergeCell ref="H11:I11"/>
    <mergeCell ref="A7:M7"/>
    <mergeCell ref="H1:M1"/>
    <mergeCell ref="A2:B2"/>
    <mergeCell ref="D2:F2"/>
    <mergeCell ref="H2:M2"/>
    <mergeCell ref="A3:B3"/>
    <mergeCell ref="D3:F3"/>
    <mergeCell ref="H3:J3"/>
    <mergeCell ref="H4:M4"/>
    <mergeCell ref="A5:B5"/>
    <mergeCell ref="D5:F5"/>
    <mergeCell ref="I5:M5"/>
    <mergeCell ref="A6:M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C116-903C-4B96-852A-909589A18CD0}">
  <dimension ref="A1:M102"/>
  <sheetViews>
    <sheetView topLeftCell="A57" zoomScale="110" zoomScaleNormal="110" workbookViewId="0">
      <selection activeCell="G65" sqref="G65"/>
    </sheetView>
  </sheetViews>
  <sheetFormatPr baseColWidth="10" defaultColWidth="8.83203125" defaultRowHeight="13"/>
  <cols>
    <col min="1" max="1" width="6.6640625" style="295" bestFit="1" customWidth="1"/>
    <col min="2" max="2" width="43.83203125" style="295" customWidth="1"/>
    <col min="3" max="3" width="7.33203125" style="607" customWidth="1"/>
    <col min="4" max="4" width="5.83203125" style="295" customWidth="1"/>
    <col min="5" max="5" width="9.1640625" style="295" bestFit="1" customWidth="1"/>
    <col min="6" max="6" width="10.5" style="295" bestFit="1" customWidth="1"/>
    <col min="7" max="7" width="11.6640625" style="295" customWidth="1"/>
    <col min="8" max="8" width="35.83203125" style="295" customWidth="1"/>
    <col min="9" max="9" width="7.1640625" style="295" customWidth="1"/>
    <col min="10" max="10" width="7" style="295" customWidth="1"/>
    <col min="11" max="11" width="8.83203125" style="295" customWidth="1"/>
    <col min="12" max="12" width="14" style="295" customWidth="1"/>
    <col min="13" max="13" width="12.33203125" style="295" customWidth="1"/>
    <col min="14" max="16384" width="8.83203125" style="295"/>
  </cols>
  <sheetData>
    <row r="1" spans="1:13" ht="14">
      <c r="A1" s="1454" t="s">
        <v>112</v>
      </c>
      <c r="B1" s="1454"/>
      <c r="C1" s="1454"/>
      <c r="D1" s="1454"/>
      <c r="E1" s="1454"/>
      <c r="F1" s="1454"/>
      <c r="G1" s="1454"/>
      <c r="H1" s="1454"/>
      <c r="I1" s="1454"/>
      <c r="J1" s="1454"/>
      <c r="K1" s="1454"/>
      <c r="L1" s="1454"/>
      <c r="M1" s="1454"/>
    </row>
    <row r="2" spans="1:13" ht="14">
      <c r="A2" s="1454" t="s">
        <v>113</v>
      </c>
      <c r="B2" s="1454"/>
      <c r="C2" s="1454"/>
      <c r="D2" s="1454"/>
      <c r="E2" s="1454"/>
      <c r="F2" s="1454"/>
      <c r="G2" s="1454"/>
      <c r="H2" s="1454"/>
      <c r="I2" s="1454"/>
      <c r="J2" s="1454"/>
      <c r="K2" s="1454"/>
      <c r="L2" s="1454"/>
      <c r="M2" s="1454"/>
    </row>
    <row r="3" spans="1:13" s="810" customFormat="1" ht="14">
      <c r="A3" s="1455" t="s">
        <v>871</v>
      </c>
      <c r="B3" s="1455"/>
      <c r="C3" s="813"/>
      <c r="D3" s="813"/>
      <c r="E3" s="813"/>
      <c r="F3" s="813"/>
      <c r="G3" s="813"/>
      <c r="H3" s="813"/>
      <c r="I3" s="814"/>
      <c r="J3" s="1456" t="s">
        <v>115</v>
      </c>
      <c r="K3" s="1456"/>
      <c r="L3" s="1456"/>
      <c r="M3" s="814"/>
    </row>
    <row r="4" spans="1:13" ht="13.25" customHeight="1">
      <c r="A4" s="1465" t="s">
        <v>116</v>
      </c>
      <c r="B4" s="1465"/>
      <c r="C4" s="813"/>
      <c r="D4" s="813"/>
      <c r="E4" s="813"/>
      <c r="F4" s="813"/>
      <c r="G4" s="813"/>
      <c r="H4" s="813"/>
      <c r="I4" s="814"/>
      <c r="J4" s="1464" t="s">
        <v>117</v>
      </c>
      <c r="K4" s="1464"/>
      <c r="L4" s="1464"/>
      <c r="M4" s="1464"/>
    </row>
    <row r="5" spans="1:13" ht="13.25" customHeight="1">
      <c r="A5" s="815"/>
      <c r="B5" s="815" t="s">
        <v>872</v>
      </c>
      <c r="C5" s="813"/>
      <c r="D5" s="813"/>
      <c r="E5" s="813"/>
      <c r="F5" s="813"/>
      <c r="G5" s="813"/>
      <c r="H5" s="813"/>
      <c r="I5" s="814"/>
      <c r="J5" s="1471" t="s">
        <v>872</v>
      </c>
      <c r="K5" s="1471"/>
      <c r="L5" s="1471"/>
      <c r="M5" s="1471"/>
    </row>
    <row r="6" spans="1:13" ht="13.25" customHeight="1">
      <c r="A6" s="815"/>
      <c r="B6" s="816" t="s">
        <v>978</v>
      </c>
      <c r="C6" s="813"/>
      <c r="D6" s="813"/>
      <c r="E6" s="813"/>
      <c r="F6" s="813"/>
      <c r="G6" s="813"/>
      <c r="H6" s="813"/>
      <c r="I6" s="814"/>
      <c r="J6" s="1472" t="s">
        <v>873</v>
      </c>
      <c r="K6" s="1472"/>
      <c r="L6" s="1472"/>
      <c r="M6" s="1472"/>
    </row>
    <row r="7" spans="1:13" ht="13.25" customHeight="1">
      <c r="A7" s="815"/>
      <c r="B7" s="815"/>
      <c r="C7" s="813"/>
      <c r="D7" s="813"/>
      <c r="E7" s="813"/>
      <c r="F7" s="813"/>
      <c r="G7" s="813"/>
      <c r="H7" s="813"/>
      <c r="I7" s="814"/>
      <c r="J7" s="815"/>
      <c r="K7" s="815"/>
      <c r="L7" s="815"/>
      <c r="M7" s="815"/>
    </row>
    <row r="8" spans="1:13" ht="14">
      <c r="A8" s="1473" t="s">
        <v>123</v>
      </c>
      <c r="B8" s="1473"/>
      <c r="C8" s="1473"/>
      <c r="D8" s="1473"/>
      <c r="E8" s="1473"/>
      <c r="F8" s="1473"/>
      <c r="G8" s="1473"/>
      <c r="H8" s="1473"/>
      <c r="I8" s="1473"/>
      <c r="J8" s="1473"/>
      <c r="K8" s="1473"/>
      <c r="L8" s="1473"/>
      <c r="M8" s="1473"/>
    </row>
    <row r="9" spans="1:13" ht="14">
      <c r="A9" s="817"/>
      <c r="B9" s="1457" t="s">
        <v>874</v>
      </c>
      <c r="C9" s="1457"/>
      <c r="D9" s="1457"/>
      <c r="E9" s="1457"/>
      <c r="F9" s="1457"/>
      <c r="G9" s="1457"/>
      <c r="H9" s="1457"/>
      <c r="I9" s="818">
        <f>data!D87*1000</f>
        <v>350</v>
      </c>
      <c r="J9" s="818" t="s">
        <v>875</v>
      </c>
      <c r="K9" s="818" t="s">
        <v>1004</v>
      </c>
      <c r="L9" s="1109" t="e">
        <f>C15</f>
        <v>#REF!</v>
      </c>
      <c r="M9" s="1093" t="s">
        <v>61</v>
      </c>
    </row>
    <row r="10" spans="1:13" ht="14">
      <c r="A10" s="817"/>
      <c r="B10" s="817"/>
      <c r="C10" s="817"/>
      <c r="D10" s="817"/>
      <c r="E10" s="817"/>
      <c r="F10" s="817"/>
      <c r="G10" s="817"/>
      <c r="H10" s="817"/>
      <c r="I10" s="817"/>
      <c r="J10" s="817"/>
      <c r="K10" s="817"/>
      <c r="L10" s="817"/>
      <c r="M10" s="817"/>
    </row>
    <row r="11" spans="1:13" ht="14.5" customHeight="1">
      <c r="A11" s="1458" t="str">
        <f>'Смета ХВР 180'!A9</f>
        <v>Вид работ</v>
      </c>
      <c r="B11" s="1460" t="str">
        <f>'Смета ХВР 180'!B9</f>
        <v>Наименование работ</v>
      </c>
      <c r="C11" s="1460"/>
      <c r="D11" s="1458" t="str">
        <f>'Смета ХВР 180'!C9</f>
        <v>Ед. изм.</v>
      </c>
      <c r="E11" s="1459" t="str">
        <f>'Смета ХВР 180'!D9</f>
        <v>Кол-во</v>
      </c>
      <c r="F11" s="1463" t="str">
        <f>'Смета ХВР 180'!E9</f>
        <v>Цена работ, руб.</v>
      </c>
      <c r="G11" s="1463" t="str">
        <f>'Смета ХВР 180'!F9</f>
        <v>Итого работы, руб.</v>
      </c>
      <c r="H11" s="1460" t="str">
        <f>'Смета ХВР 180'!G9</f>
        <v>Наименование материалов</v>
      </c>
      <c r="I11" s="1460"/>
      <c r="J11" s="1458" t="str">
        <f>'Смета ХВР 180'!H9</f>
        <v>Ед. изм.</v>
      </c>
      <c r="K11" s="1459" t="str">
        <f>'Смета ХВР 180'!I9</f>
        <v>Кол-во</v>
      </c>
      <c r="L11" s="1461" t="str">
        <f>'Смета ХВР 180'!J9</f>
        <v>Цена материалы, руб.</v>
      </c>
      <c r="M11" s="1463" t="str">
        <f>'Смета ХВР 180'!K9</f>
        <v>Итого материалы, руб.</v>
      </c>
    </row>
    <row r="12" spans="1:13" ht="24.5" customHeight="1">
      <c r="A12" s="1458"/>
      <c r="B12" s="1460"/>
      <c r="C12" s="1460"/>
      <c r="D12" s="1458"/>
      <c r="E12" s="1460"/>
      <c r="F12" s="1458"/>
      <c r="G12" s="1458"/>
      <c r="H12" s="1460"/>
      <c r="I12" s="1460"/>
      <c r="J12" s="1458"/>
      <c r="K12" s="1460"/>
      <c r="L12" s="1462"/>
      <c r="M12" s="1458"/>
    </row>
    <row r="13" spans="1:13">
      <c r="A13" s="811">
        <f>'Смета ХВР 180'!A10</f>
        <v>1</v>
      </c>
      <c r="B13" s="1469">
        <f>'Смета ХВР 180'!B10</f>
        <v>2</v>
      </c>
      <c r="C13" s="1470"/>
      <c r="D13" s="1074">
        <f>'Смета ХВР 180'!C10</f>
        <v>3</v>
      </c>
      <c r="E13" s="812">
        <f>'Смета ХВР 180'!D10</f>
        <v>4</v>
      </c>
      <c r="F13" s="812">
        <f>'Смета ХВР 180'!E10</f>
        <v>5</v>
      </c>
      <c r="G13" s="812">
        <f>'Смета ХВР 180'!F10</f>
        <v>6</v>
      </c>
      <c r="H13" s="1474">
        <f>'Смета ХВР 180'!G10</f>
        <v>7</v>
      </c>
      <c r="I13" s="1469"/>
      <c r="J13" s="812">
        <f>'Смета ХВР 180'!H10</f>
        <v>8</v>
      </c>
      <c r="K13" s="812">
        <f>'Смета ХВР 180'!I10</f>
        <v>9</v>
      </c>
      <c r="L13" s="812">
        <f>'Смета ХВР 180'!J10</f>
        <v>10</v>
      </c>
      <c r="M13" s="812">
        <f>'Смета ХВР 180'!K10</f>
        <v>11</v>
      </c>
    </row>
    <row r="14" spans="1:13" ht="13.25" customHeight="1">
      <c r="A14" s="1441" t="s">
        <v>403</v>
      </c>
      <c r="B14" s="1441"/>
      <c r="C14" s="1446" t="s">
        <v>989</v>
      </c>
      <c r="D14" s="1446"/>
      <c r="E14" s="632"/>
      <c r="F14" s="632"/>
      <c r="K14" s="632"/>
      <c r="L14" s="644"/>
      <c r="M14" s="629"/>
    </row>
    <row r="15" spans="1:13" ht="27.5" customHeight="1">
      <c r="A15" s="711" t="s">
        <v>134</v>
      </c>
      <c r="B15" s="1068" t="s">
        <v>988</v>
      </c>
      <c r="C15" s="1075" t="e">
        <f>#REF!*1000</f>
        <v>#REF!</v>
      </c>
      <c r="D15" s="1076" t="s">
        <v>148</v>
      </c>
      <c r="E15" s="633" t="e">
        <f>#REF!</f>
        <v>#REF!</v>
      </c>
      <c r="F15" s="713">
        <f>data!P5</f>
        <v>50</v>
      </c>
      <c r="G15" s="714" t="e">
        <f t="shared" ref="G15:G21" si="0">E15*F15</f>
        <v>#REF!</v>
      </c>
      <c r="H15" s="1442" t="s">
        <v>734</v>
      </c>
      <c r="I15" s="1443"/>
      <c r="J15" s="595" t="s">
        <v>405</v>
      </c>
      <c r="K15" s="633" t="e">
        <f>#REF!</f>
        <v>#REF!</v>
      </c>
      <c r="L15" s="732">
        <f>data!P4</f>
        <v>1900</v>
      </c>
      <c r="M15" s="628" t="e">
        <f>K15*L15</f>
        <v>#REF!</v>
      </c>
    </row>
    <row r="16" spans="1:13" ht="29.5" customHeight="1" thickBot="1">
      <c r="A16" s="711" t="s">
        <v>152</v>
      </c>
      <c r="B16" s="1068" t="s">
        <v>977</v>
      </c>
      <c r="C16" s="1073" t="e">
        <f>#REF!*1000</f>
        <v>#REF!</v>
      </c>
      <c r="D16" s="712" t="s">
        <v>63</v>
      </c>
      <c r="E16" s="633" t="e">
        <f>#REF!</f>
        <v>#REF!</v>
      </c>
      <c r="F16" s="713">
        <f>data!P82</f>
        <v>350</v>
      </c>
      <c r="G16" s="714" t="e">
        <f t="shared" si="0"/>
        <v>#REF!</v>
      </c>
      <c r="H16" s="596"/>
      <c r="I16" s="597"/>
      <c r="J16" s="595"/>
      <c r="K16" s="633"/>
      <c r="L16" s="645"/>
      <c r="M16" s="594"/>
    </row>
    <row r="17" spans="1:13" ht="14">
      <c r="A17" s="711" t="s">
        <v>174</v>
      </c>
      <c r="B17" s="1444" t="s">
        <v>736</v>
      </c>
      <c r="C17" s="1445"/>
      <c r="D17" s="712" t="s">
        <v>148</v>
      </c>
      <c r="E17" s="633" t="e">
        <f>#REF!</f>
        <v>#REF!</v>
      </c>
      <c r="F17" s="713">
        <f>data!P7</f>
        <v>300</v>
      </c>
      <c r="G17" s="714" t="e">
        <f t="shared" si="0"/>
        <v>#REF!</v>
      </c>
      <c r="H17" s="596"/>
      <c r="I17" s="597"/>
      <c r="J17" s="595"/>
      <c r="K17" s="633"/>
      <c r="L17" s="645"/>
      <c r="M17" s="594"/>
    </row>
    <row r="18" spans="1:13" ht="14.5" customHeight="1">
      <c r="A18" s="715" t="s">
        <v>194</v>
      </c>
      <c r="B18" s="1432" t="s">
        <v>968</v>
      </c>
      <c r="C18" s="1475"/>
      <c r="D18" s="716" t="s">
        <v>63</v>
      </c>
      <c r="E18" s="636" t="e">
        <f>#REF!</f>
        <v>#REF!</v>
      </c>
      <c r="F18" s="637">
        <f>data!P83</f>
        <v>1250</v>
      </c>
      <c r="G18" s="717" t="e">
        <f t="shared" si="0"/>
        <v>#REF!</v>
      </c>
      <c r="H18" s="1476"/>
      <c r="I18" s="1477"/>
      <c r="J18" s="601"/>
      <c r="K18" s="601"/>
      <c r="L18" s="646"/>
      <c r="M18" s="594"/>
    </row>
    <row r="19" spans="1:13" ht="28.25" customHeight="1">
      <c r="A19" s="715" t="s">
        <v>193</v>
      </c>
      <c r="B19" s="1424" t="s">
        <v>808</v>
      </c>
      <c r="C19" s="1449"/>
      <c r="D19" s="716" t="s">
        <v>63</v>
      </c>
      <c r="E19" s="636" t="e">
        <f>#REF!</f>
        <v>#REF!</v>
      </c>
      <c r="F19" s="637">
        <f>data!P84</f>
        <v>650</v>
      </c>
      <c r="G19" s="717" t="e">
        <f t="shared" si="0"/>
        <v>#REF!</v>
      </c>
      <c r="H19" s="1432" t="s">
        <v>738</v>
      </c>
      <c r="I19" s="1475"/>
      <c r="J19" s="602" t="s">
        <v>63</v>
      </c>
      <c r="K19" s="602" t="e">
        <f>#REF!*1.1</f>
        <v>#REF!</v>
      </c>
      <c r="L19" s="646">
        <f>data!J3</f>
        <v>1300</v>
      </c>
      <c r="M19" s="594" t="e">
        <f t="shared" ref="M19:M44" si="1">K19*L19</f>
        <v>#REF!</v>
      </c>
    </row>
    <row r="20" spans="1:13" ht="18.5" customHeight="1">
      <c r="A20" s="715" t="s">
        <v>618</v>
      </c>
      <c r="B20" s="1424" t="s">
        <v>809</v>
      </c>
      <c r="C20" s="1449"/>
      <c r="D20" s="716" t="s">
        <v>136</v>
      </c>
      <c r="E20" s="636" t="e">
        <f>#REF!*1+#REF!*2+#REF!*1+#REF!*0.2</f>
        <v>#REF!</v>
      </c>
      <c r="F20" s="637">
        <f>data!P85</f>
        <v>450</v>
      </c>
      <c r="G20" s="717" t="e">
        <f t="shared" si="0"/>
        <v>#REF!</v>
      </c>
      <c r="H20" s="1394" t="s">
        <v>740</v>
      </c>
      <c r="I20" s="1450"/>
      <c r="J20" s="603" t="s">
        <v>136</v>
      </c>
      <c r="K20" s="636" t="e">
        <f>#REF!</f>
        <v>#REF!</v>
      </c>
      <c r="L20" s="647">
        <f>data!I94</f>
        <v>72</v>
      </c>
      <c r="M20" s="594" t="e">
        <f t="shared" si="1"/>
        <v>#REF!</v>
      </c>
    </row>
    <row r="21" spans="1:13" ht="34.25" customHeight="1">
      <c r="A21" s="715" t="s">
        <v>716</v>
      </c>
      <c r="B21" s="1432" t="s">
        <v>741</v>
      </c>
      <c r="C21" s="1433"/>
      <c r="D21" s="716" t="s">
        <v>63</v>
      </c>
      <c r="E21" s="636" t="e">
        <f>#REF!</f>
        <v>#REF!</v>
      </c>
      <c r="F21" s="637">
        <f>data!P86</f>
        <v>800</v>
      </c>
      <c r="G21" s="717" t="e">
        <f t="shared" si="0"/>
        <v>#REF!</v>
      </c>
      <c r="H21" s="1394" t="s">
        <v>742</v>
      </c>
      <c r="I21" s="1395"/>
      <c r="J21" s="603" t="s">
        <v>85</v>
      </c>
      <c r="K21" s="636" t="e">
        <f>#REF!</f>
        <v>#REF!</v>
      </c>
      <c r="L21" s="647">
        <f>data!I95</f>
        <v>96</v>
      </c>
      <c r="M21" s="594" t="e">
        <f t="shared" si="1"/>
        <v>#REF!</v>
      </c>
    </row>
    <row r="22" spans="1:13" ht="27" customHeight="1">
      <c r="A22" s="715"/>
      <c r="B22" s="1452"/>
      <c r="C22" s="1453"/>
      <c r="D22" s="716"/>
      <c r="E22" s="636"/>
      <c r="F22" s="637"/>
      <c r="G22" s="717"/>
      <c r="H22" s="938" t="s">
        <v>782</v>
      </c>
      <c r="I22" s="939"/>
      <c r="J22" s="603" t="s">
        <v>743</v>
      </c>
      <c r="K22" s="636" t="e">
        <f>#REF!</f>
        <v>#REF!</v>
      </c>
      <c r="L22" s="647">
        <f>data!I96</f>
        <v>350</v>
      </c>
      <c r="M22" s="594" t="e">
        <f t="shared" si="1"/>
        <v>#REF!</v>
      </c>
    </row>
    <row r="23" spans="1:13" ht="42">
      <c r="A23" s="715"/>
      <c r="B23" s="1452"/>
      <c r="C23" s="1453"/>
      <c r="D23" s="716"/>
      <c r="E23" s="636"/>
      <c r="F23" s="637"/>
      <c r="G23" s="717"/>
      <c r="H23" s="938" t="s">
        <v>744</v>
      </c>
      <c r="I23" s="939"/>
      <c r="J23" s="603" t="s">
        <v>85</v>
      </c>
      <c r="K23" s="636" t="e">
        <f>#REF!+#REF!</f>
        <v>#REF!</v>
      </c>
      <c r="L23" s="647">
        <f>data!I87</f>
        <v>290</v>
      </c>
      <c r="M23" s="594" t="e">
        <f t="shared" si="1"/>
        <v>#REF!</v>
      </c>
    </row>
    <row r="24" spans="1:13" ht="42">
      <c r="A24" s="715"/>
      <c r="B24" s="1452"/>
      <c r="C24" s="1453"/>
      <c r="D24" s="716"/>
      <c r="E24" s="636"/>
      <c r="F24" s="637"/>
      <c r="G24" s="717"/>
      <c r="H24" s="938" t="s">
        <v>745</v>
      </c>
      <c r="I24" s="939"/>
      <c r="J24" s="603" t="s">
        <v>85</v>
      </c>
      <c r="K24" s="636" t="e">
        <f>#REF!</f>
        <v>#REF!</v>
      </c>
      <c r="L24" s="647">
        <f>data!I86</f>
        <v>500</v>
      </c>
      <c r="M24" s="594" t="e">
        <f t="shared" si="1"/>
        <v>#REF!</v>
      </c>
    </row>
    <row r="25" spans="1:13">
      <c r="A25" s="715"/>
      <c r="B25" s="1452"/>
      <c r="C25" s="1453"/>
      <c r="D25" s="716"/>
      <c r="E25" s="636"/>
      <c r="F25" s="637"/>
      <c r="G25" s="717"/>
      <c r="H25" s="604" t="s">
        <v>746</v>
      </c>
      <c r="I25" s="605"/>
      <c r="J25" s="603" t="s">
        <v>85</v>
      </c>
      <c r="K25" s="636" t="e">
        <f>#REF!</f>
        <v>#REF!</v>
      </c>
      <c r="L25" s="647">
        <f>data!I89</f>
        <v>100</v>
      </c>
      <c r="M25" s="594" t="e">
        <f t="shared" si="1"/>
        <v>#REF!</v>
      </c>
    </row>
    <row r="26" spans="1:13" ht="14">
      <c r="A26" s="718" t="s">
        <v>754</v>
      </c>
      <c r="B26" s="1432" t="s">
        <v>969</v>
      </c>
      <c r="C26" s="1433"/>
      <c r="D26" s="602" t="s">
        <v>63</v>
      </c>
      <c r="E26" s="634" t="e">
        <f>#REF!</f>
        <v>#REF!</v>
      </c>
      <c r="F26" s="635">
        <f>data!P83</f>
        <v>1250</v>
      </c>
      <c r="G26" s="641" t="e">
        <f t="shared" ref="G26:G37" si="2">E26*F26</f>
        <v>#REF!</v>
      </c>
      <c r="H26" s="1451"/>
      <c r="I26" s="1451"/>
      <c r="J26" s="603"/>
      <c r="K26" s="636"/>
      <c r="L26" s="647"/>
      <c r="M26" s="594"/>
    </row>
    <row r="27" spans="1:13" ht="34.25" customHeight="1">
      <c r="A27" s="718" t="s">
        <v>820</v>
      </c>
      <c r="B27" s="1424" t="s">
        <v>737</v>
      </c>
      <c r="C27" s="1425"/>
      <c r="D27" s="602" t="s">
        <v>63</v>
      </c>
      <c r="E27" s="634" t="e">
        <f>#REF!</f>
        <v>#REF!</v>
      </c>
      <c r="F27" s="635">
        <f>data!P84</f>
        <v>650</v>
      </c>
      <c r="G27" s="641" t="e">
        <f t="shared" si="2"/>
        <v>#REF!</v>
      </c>
      <c r="H27" s="1394" t="s">
        <v>738</v>
      </c>
      <c r="I27" s="1395"/>
      <c r="J27" s="603" t="s">
        <v>63</v>
      </c>
      <c r="K27" s="636" t="e">
        <f>#REF!*1.1</f>
        <v>#REF!</v>
      </c>
      <c r="L27" s="647">
        <f>data!J3</f>
        <v>1300</v>
      </c>
      <c r="M27" s="594" t="e">
        <f t="shared" si="1"/>
        <v>#REF!</v>
      </c>
    </row>
    <row r="28" spans="1:13" ht="14">
      <c r="A28" s="718" t="s">
        <v>821</v>
      </c>
      <c r="B28" s="1432" t="s">
        <v>747</v>
      </c>
      <c r="C28" s="1433"/>
      <c r="D28" s="602" t="s">
        <v>136</v>
      </c>
      <c r="E28" s="634" t="e">
        <f>IF(#REF!=0,0,#REF!+#REF!*2)</f>
        <v>#REF!</v>
      </c>
      <c r="F28" s="635">
        <f>data!P87</f>
        <v>100</v>
      </c>
      <c r="G28" s="641" t="e">
        <f t="shared" si="2"/>
        <v>#REF!</v>
      </c>
      <c r="H28" s="1432" t="s">
        <v>748</v>
      </c>
      <c r="I28" s="1433"/>
      <c r="J28" s="603" t="s">
        <v>136</v>
      </c>
      <c r="K28" s="636" t="e">
        <f>#REF!</f>
        <v>#REF!</v>
      </c>
      <c r="L28" s="647">
        <f>data!I93</f>
        <v>120</v>
      </c>
      <c r="M28" s="594" t="e">
        <f t="shared" si="1"/>
        <v>#REF!</v>
      </c>
    </row>
    <row r="29" spans="1:13" ht="14">
      <c r="A29" s="718" t="s">
        <v>822</v>
      </c>
      <c r="B29" s="1432" t="s">
        <v>741</v>
      </c>
      <c r="C29" s="1433"/>
      <c r="D29" s="716" t="s">
        <v>63</v>
      </c>
      <c r="E29" s="634" t="e">
        <f>#REF!</f>
        <v>#REF!</v>
      </c>
      <c r="F29" s="635">
        <f>data!P86</f>
        <v>800</v>
      </c>
      <c r="G29" s="641" t="e">
        <f t="shared" si="2"/>
        <v>#REF!</v>
      </c>
      <c r="H29" s="936"/>
      <c r="I29" s="606"/>
      <c r="J29" s="603"/>
      <c r="K29" s="636"/>
      <c r="L29" s="647"/>
      <c r="M29" s="594"/>
    </row>
    <row r="30" spans="1:13" ht="14">
      <c r="A30" s="715" t="s">
        <v>823</v>
      </c>
      <c r="B30" s="1447" t="s">
        <v>970</v>
      </c>
      <c r="C30" s="1448"/>
      <c r="D30" s="716" t="s">
        <v>63</v>
      </c>
      <c r="E30" s="636" t="e">
        <f>#REF!</f>
        <v>#REF!</v>
      </c>
      <c r="F30" s="637">
        <f>data!P83</f>
        <v>1250</v>
      </c>
      <c r="G30" s="717" t="e">
        <f t="shared" si="2"/>
        <v>#REF!</v>
      </c>
      <c r="H30" s="936"/>
      <c r="I30" s="606"/>
      <c r="J30" s="603"/>
      <c r="K30" s="636"/>
      <c r="L30" s="647"/>
      <c r="M30" s="594"/>
    </row>
    <row r="31" spans="1:13" ht="30.5" customHeight="1">
      <c r="A31" s="718" t="s">
        <v>824</v>
      </c>
      <c r="B31" s="1424" t="s">
        <v>737</v>
      </c>
      <c r="C31" s="1425"/>
      <c r="D31" s="602" t="s">
        <v>63</v>
      </c>
      <c r="E31" s="634" t="e">
        <f>#REF!</f>
        <v>#REF!</v>
      </c>
      <c r="F31" s="635">
        <f>data!P84</f>
        <v>650</v>
      </c>
      <c r="G31" s="641" t="e">
        <f t="shared" si="2"/>
        <v>#REF!</v>
      </c>
      <c r="H31" s="1394" t="s">
        <v>738</v>
      </c>
      <c r="I31" s="1395"/>
      <c r="J31" s="603" t="s">
        <v>63</v>
      </c>
      <c r="K31" s="636" t="e">
        <f>#REF!*1.1</f>
        <v>#REF!</v>
      </c>
      <c r="L31" s="647">
        <f>data!J3</f>
        <v>1300</v>
      </c>
      <c r="M31" s="594" t="e">
        <f t="shared" si="1"/>
        <v>#REF!</v>
      </c>
    </row>
    <row r="32" spans="1:13" ht="14">
      <c r="A32" s="718" t="s">
        <v>825</v>
      </c>
      <c r="B32" s="1432" t="s">
        <v>749</v>
      </c>
      <c r="C32" s="1433"/>
      <c r="D32" s="602" t="s">
        <v>136</v>
      </c>
      <c r="E32" s="634" t="e">
        <f>IF(#REF!=0,0,#REF!+#REF!*2)</f>
        <v>#REF!</v>
      </c>
      <c r="F32" s="635">
        <f>data!P88</f>
        <v>100</v>
      </c>
      <c r="G32" s="641" t="e">
        <f t="shared" si="2"/>
        <v>#REF!</v>
      </c>
      <c r="H32" s="1432" t="s">
        <v>748</v>
      </c>
      <c r="I32" s="1433"/>
      <c r="J32" s="603" t="s">
        <v>136</v>
      </c>
      <c r="K32" s="636" t="e">
        <f>#REF!</f>
        <v>#REF!</v>
      </c>
      <c r="L32" s="647">
        <f>data!I93</f>
        <v>120</v>
      </c>
      <c r="M32" s="594" t="e">
        <f t="shared" si="1"/>
        <v>#REF!</v>
      </c>
    </row>
    <row r="33" spans="1:13" ht="14">
      <c r="A33" s="718" t="s">
        <v>826</v>
      </c>
      <c r="B33" s="1432" t="s">
        <v>741</v>
      </c>
      <c r="C33" s="1433"/>
      <c r="D33" s="716" t="s">
        <v>63</v>
      </c>
      <c r="E33" s="634" t="e">
        <f>#REF!</f>
        <v>#REF!</v>
      </c>
      <c r="F33" s="635">
        <f>data!P86</f>
        <v>800</v>
      </c>
      <c r="G33" s="641" t="e">
        <f t="shared" si="2"/>
        <v>#REF!</v>
      </c>
      <c r="H33" s="936"/>
      <c r="I33" s="606"/>
      <c r="J33" s="603"/>
      <c r="K33" s="636"/>
      <c r="L33" s="647"/>
      <c r="M33" s="594"/>
    </row>
    <row r="34" spans="1:13" ht="14">
      <c r="A34" s="718" t="s">
        <v>827</v>
      </c>
      <c r="B34" s="1432" t="s">
        <v>750</v>
      </c>
      <c r="C34" s="1433"/>
      <c r="D34" s="602" t="s">
        <v>63</v>
      </c>
      <c r="E34" s="634" t="e">
        <f>#REF!</f>
        <v>#REF!</v>
      </c>
      <c r="F34" s="635">
        <f>data!P83</f>
        <v>1250</v>
      </c>
      <c r="G34" s="641" t="e">
        <f t="shared" si="2"/>
        <v>#REF!</v>
      </c>
      <c r="H34" s="936"/>
      <c r="I34" s="606"/>
      <c r="J34" s="603"/>
      <c r="K34" s="636"/>
      <c r="L34" s="647"/>
      <c r="M34" s="594"/>
    </row>
    <row r="35" spans="1:13" ht="27.5" customHeight="1">
      <c r="A35" s="602" t="s">
        <v>828</v>
      </c>
      <c r="B35" s="1424" t="s">
        <v>737</v>
      </c>
      <c r="C35" s="1425"/>
      <c r="D35" s="602" t="s">
        <v>63</v>
      </c>
      <c r="E35" s="634" t="e">
        <f>#REF!</f>
        <v>#REF!</v>
      </c>
      <c r="F35" s="635">
        <f>data!P84</f>
        <v>650</v>
      </c>
      <c r="G35" s="641" t="e">
        <f t="shared" si="2"/>
        <v>#REF!</v>
      </c>
      <c r="H35" s="1394" t="s">
        <v>738</v>
      </c>
      <c r="I35" s="1395"/>
      <c r="J35" s="603" t="s">
        <v>63</v>
      </c>
      <c r="K35" s="634" t="e">
        <f>#REF!*1.1</f>
        <v>#REF!</v>
      </c>
      <c r="L35" s="646">
        <f>data!J3</f>
        <v>1300</v>
      </c>
      <c r="M35" s="594" t="e">
        <f t="shared" si="1"/>
        <v>#REF!</v>
      </c>
    </row>
    <row r="36" spans="1:13" s="607" customFormat="1" ht="31.25" customHeight="1">
      <c r="A36" s="602" t="s">
        <v>829</v>
      </c>
      <c r="B36" s="1432" t="s">
        <v>751</v>
      </c>
      <c r="C36" s="1433"/>
      <c r="D36" s="602" t="s">
        <v>136</v>
      </c>
      <c r="E36" s="634" t="e">
        <f>#REF!+#REF!*2+#REF!+#REF!+#REF!*2+#REF!+#REF!+#REF!*2+#REF!</f>
        <v>#REF!</v>
      </c>
      <c r="F36" s="635">
        <f>data!P89</f>
        <v>250</v>
      </c>
      <c r="G36" s="641" t="e">
        <f t="shared" si="2"/>
        <v>#REF!</v>
      </c>
      <c r="H36" s="1394" t="s">
        <v>745</v>
      </c>
      <c r="I36" s="1395"/>
      <c r="J36" s="600" t="s">
        <v>85</v>
      </c>
      <c r="K36" s="634" t="e">
        <f>#REF!+#REF!+#REF!</f>
        <v>#REF!</v>
      </c>
      <c r="L36" s="646">
        <f>data!I86</f>
        <v>500</v>
      </c>
      <c r="M36" s="594" t="e">
        <f t="shared" si="1"/>
        <v>#REF!</v>
      </c>
    </row>
    <row r="37" spans="1:13" ht="27.5" customHeight="1">
      <c r="A37" s="607" t="s">
        <v>830</v>
      </c>
      <c r="B37" s="1432" t="s">
        <v>741</v>
      </c>
      <c r="C37" s="1433"/>
      <c r="D37" s="602" t="s">
        <v>63</v>
      </c>
      <c r="E37" s="634" t="e">
        <f>#REF!</f>
        <v>#REF!</v>
      </c>
      <c r="F37" s="635">
        <f>data!P86</f>
        <v>800</v>
      </c>
      <c r="G37" s="1069" t="e">
        <f t="shared" si="2"/>
        <v>#REF!</v>
      </c>
      <c r="H37" s="1394" t="s">
        <v>744</v>
      </c>
      <c r="I37" s="1395"/>
      <c r="J37" s="600" t="s">
        <v>85</v>
      </c>
      <c r="K37" s="634" t="e">
        <f>#REF!+#REF!+#REF!+#REF!+#REF!+#REF!</f>
        <v>#REF!</v>
      </c>
      <c r="L37" s="646">
        <f>data!I87</f>
        <v>290</v>
      </c>
      <c r="M37" s="594" t="e">
        <f t="shared" si="1"/>
        <v>#REF!</v>
      </c>
    </row>
    <row r="38" spans="1:13">
      <c r="A38" s="718"/>
      <c r="B38" s="1389"/>
      <c r="C38" s="1390"/>
      <c r="D38" s="602"/>
      <c r="E38" s="634"/>
      <c r="F38" s="635"/>
      <c r="G38" s="641"/>
      <c r="H38" s="1394" t="s">
        <v>752</v>
      </c>
      <c r="I38" s="1395"/>
      <c r="J38" s="600" t="s">
        <v>85</v>
      </c>
      <c r="K38" s="634" t="e">
        <f>#REF!</f>
        <v>#REF!</v>
      </c>
      <c r="L38" s="646">
        <f>data!I91</f>
        <v>100</v>
      </c>
      <c r="M38" s="594" t="e">
        <f t="shared" si="1"/>
        <v>#REF!</v>
      </c>
    </row>
    <row r="39" spans="1:13" ht="14">
      <c r="A39" s="718" t="s">
        <v>831</v>
      </c>
      <c r="B39" s="1424" t="s">
        <v>813</v>
      </c>
      <c r="C39" s="1425"/>
      <c r="D39" s="602" t="s">
        <v>63</v>
      </c>
      <c r="E39" s="634" t="e">
        <f>#REF!+#REF!</f>
        <v>#REF!</v>
      </c>
      <c r="F39" s="635">
        <f>data!P90</f>
        <v>650</v>
      </c>
      <c r="G39" s="641" t="e">
        <f t="shared" ref="G39:G44" si="3">E39*F39</f>
        <v>#REF!</v>
      </c>
      <c r="H39" s="1436" t="s">
        <v>738</v>
      </c>
      <c r="I39" s="1437"/>
      <c r="J39" s="603" t="s">
        <v>63</v>
      </c>
      <c r="K39" s="634" t="e">
        <f>E39*1.1</f>
        <v>#REF!</v>
      </c>
      <c r="L39" s="646">
        <f>data!J3</f>
        <v>1300</v>
      </c>
      <c r="M39" s="594" t="e">
        <f t="shared" si="1"/>
        <v>#REF!</v>
      </c>
    </row>
    <row r="40" spans="1:13" ht="15" thickBot="1">
      <c r="A40" s="718" t="s">
        <v>832</v>
      </c>
      <c r="B40" s="1424" t="s">
        <v>814</v>
      </c>
      <c r="C40" s="1438"/>
      <c r="D40" s="602" t="s">
        <v>148</v>
      </c>
      <c r="E40" s="634" t="e">
        <f>#REF!+#REF!</f>
        <v>#REF!</v>
      </c>
      <c r="F40" s="635">
        <f>data!P9</f>
        <v>50</v>
      </c>
      <c r="G40" s="641" t="e">
        <f t="shared" si="3"/>
        <v>#REF!</v>
      </c>
      <c r="H40" s="1439" t="s">
        <v>755</v>
      </c>
      <c r="I40" s="1440"/>
      <c r="J40" s="600" t="s">
        <v>148</v>
      </c>
      <c r="K40" s="634" t="e">
        <f>ROUNDUP(E40,0)</f>
        <v>#REF!</v>
      </c>
      <c r="L40" s="646">
        <f>data!J5</f>
        <v>65</v>
      </c>
      <c r="M40" s="594" t="e">
        <f t="shared" si="1"/>
        <v>#REF!</v>
      </c>
    </row>
    <row r="41" spans="1:13" ht="28">
      <c r="A41" s="718" t="s">
        <v>833</v>
      </c>
      <c r="B41" s="937" t="s">
        <v>756</v>
      </c>
      <c r="C41" s="1078" t="e">
        <f>#REF!*1000</f>
        <v>#REF!</v>
      </c>
      <c r="D41" s="1077" t="s">
        <v>63</v>
      </c>
      <c r="E41" s="634" t="e">
        <f>#REF!+#REF!</f>
        <v>#REF!</v>
      </c>
      <c r="F41" s="635">
        <f>data!P8</f>
        <v>800</v>
      </c>
      <c r="G41" s="641" t="e">
        <f t="shared" si="3"/>
        <v>#REF!</v>
      </c>
      <c r="H41" s="1394" t="s">
        <v>738</v>
      </c>
      <c r="I41" s="1395"/>
      <c r="J41" s="603" t="s">
        <v>63</v>
      </c>
      <c r="K41" s="634" t="e">
        <f>#REF!*1.3</f>
        <v>#REF!</v>
      </c>
      <c r="L41" s="646">
        <f>data!J3</f>
        <v>1300</v>
      </c>
      <c r="M41" s="594" t="e">
        <f t="shared" si="1"/>
        <v>#REF!</v>
      </c>
    </row>
    <row r="42" spans="1:13" ht="28">
      <c r="A42" s="718" t="s">
        <v>834</v>
      </c>
      <c r="B42" s="937" t="s">
        <v>757</v>
      </c>
      <c r="C42" s="1079" t="e">
        <f>#REF!*1000</f>
        <v>#REF!</v>
      </c>
      <c r="D42" s="1077" t="s">
        <v>63</v>
      </c>
      <c r="E42" s="634" t="e">
        <f>#REF!+#REF!+#REF!+#REF!+#REF!</f>
        <v>#REF!</v>
      </c>
      <c r="F42" s="635">
        <f>data!P10</f>
        <v>800</v>
      </c>
      <c r="G42" s="641" t="e">
        <f t="shared" si="3"/>
        <v>#REF!</v>
      </c>
      <c r="H42" s="1394" t="s">
        <v>758</v>
      </c>
      <c r="I42" s="1395"/>
      <c r="J42" s="600" t="s">
        <v>63</v>
      </c>
      <c r="K42" s="634" t="e">
        <f>E42*1.3</f>
        <v>#REF!</v>
      </c>
      <c r="L42" s="646">
        <f>data!J6</f>
        <v>3150</v>
      </c>
      <c r="M42" s="594" t="e">
        <f t="shared" si="1"/>
        <v>#REF!</v>
      </c>
    </row>
    <row r="43" spans="1:13" ht="14">
      <c r="A43" s="718" t="s">
        <v>835</v>
      </c>
      <c r="B43" s="1123" t="s">
        <v>759</v>
      </c>
      <c r="C43" s="1080" t="e">
        <f>#REF!*1000</f>
        <v>#REF!</v>
      </c>
      <c r="D43" s="1077" t="s">
        <v>148</v>
      </c>
      <c r="E43" s="634" t="e">
        <f>#REF!</f>
        <v>#REF!</v>
      </c>
      <c r="F43" s="635">
        <f>data!P91</f>
        <v>120</v>
      </c>
      <c r="G43" s="641" t="e">
        <f t="shared" si="3"/>
        <v>#REF!</v>
      </c>
      <c r="H43" s="610" t="s">
        <v>760</v>
      </c>
      <c r="I43" s="598" t="e">
        <f>C43</f>
        <v>#REF!</v>
      </c>
      <c r="J43" s="600" t="s">
        <v>369</v>
      </c>
      <c r="K43" s="634" t="e">
        <f>ROUNDUP(IF(C43=50,E43*(C43/1000)/0.242,E43*(C43/1000)/0.277),0)</f>
        <v>#REF!</v>
      </c>
      <c r="L43" s="646" t="e">
        <f>IF(I43=50,#REF!,#REF!)</f>
        <v>#REF!</v>
      </c>
      <c r="M43" s="594" t="e">
        <f t="shared" si="1"/>
        <v>#REF!</v>
      </c>
    </row>
    <row r="44" spans="1:13" ht="24" customHeight="1">
      <c r="A44" s="1130" t="s">
        <v>836</v>
      </c>
      <c r="B44" s="1150" t="s">
        <v>1012</v>
      </c>
      <c r="C44" s="1131" t="e">
        <f>#REF!*1000</f>
        <v>#REF!</v>
      </c>
      <c r="D44" s="1132" t="s">
        <v>63</v>
      </c>
      <c r="E44" s="1133" t="e">
        <f>#REF!</f>
        <v>#REF!</v>
      </c>
      <c r="F44" s="1134">
        <f>data!P92</f>
        <v>6500</v>
      </c>
      <c r="G44" s="1135" t="e">
        <f t="shared" si="3"/>
        <v>#REF!</v>
      </c>
      <c r="H44" s="1434" t="s">
        <v>806</v>
      </c>
      <c r="I44" s="1435"/>
      <c r="J44" s="1136" t="s">
        <v>63</v>
      </c>
      <c r="K44" s="1133" t="e">
        <f>E44*1.1</f>
        <v>#REF!</v>
      </c>
      <c r="L44" s="1137">
        <f>data!I85</f>
        <v>6300</v>
      </c>
      <c r="M44" s="1138" t="e">
        <f t="shared" si="1"/>
        <v>#REF!</v>
      </c>
    </row>
    <row r="45" spans="1:13">
      <c r="A45" s="1139"/>
      <c r="B45" s="1143"/>
      <c r="C45" s="1140"/>
      <c r="D45" s="1141"/>
      <c r="E45" s="1126"/>
      <c r="F45" s="1127"/>
      <c r="G45" s="1128"/>
      <c r="H45" s="1427"/>
      <c r="I45" s="1427"/>
      <c r="J45" s="1144"/>
      <c r="K45" s="1126"/>
      <c r="L45" s="1129"/>
      <c r="M45" s="1142"/>
    </row>
    <row r="46" spans="1:13">
      <c r="A46" s="819"/>
      <c r="B46" s="820"/>
      <c r="C46" s="819"/>
      <c r="D46" s="819"/>
      <c r="E46" s="1420" t="s">
        <v>145</v>
      </c>
      <c r="F46" s="1420"/>
      <c r="G46" s="821" t="e">
        <f>SUM(G15:G45)</f>
        <v>#REF!</v>
      </c>
      <c r="H46" s="593"/>
      <c r="I46" s="593"/>
      <c r="J46" s="592"/>
      <c r="K46" s="1410" t="s">
        <v>146</v>
      </c>
      <c r="L46" s="1410"/>
      <c r="M46" s="611" t="e">
        <f>SUM(M15:M45)</f>
        <v>#REF!</v>
      </c>
    </row>
    <row r="47" spans="1:13">
      <c r="A47" s="1381" t="s">
        <v>411</v>
      </c>
      <c r="B47" s="1381"/>
      <c r="C47" s="1381"/>
      <c r="D47" s="1381"/>
      <c r="E47" s="1381"/>
      <c r="F47" s="632"/>
      <c r="G47" s="632"/>
      <c r="H47" s="593"/>
      <c r="I47" s="593"/>
      <c r="J47" s="592"/>
      <c r="K47" s="632"/>
      <c r="L47" s="632"/>
      <c r="M47" s="592"/>
    </row>
    <row r="48" spans="1:13" ht="16.25" customHeight="1">
      <c r="A48" s="638" t="s">
        <v>134</v>
      </c>
      <c r="B48" s="1411" t="s">
        <v>1013</v>
      </c>
      <c r="C48" s="1412"/>
      <c r="D48" s="638" t="s">
        <v>148</v>
      </c>
      <c r="E48" s="638" t="e">
        <f>#REF!</f>
        <v>#REF!</v>
      </c>
      <c r="F48" s="638">
        <f>data!P93</f>
        <v>450</v>
      </c>
      <c r="G48" s="638" t="e">
        <f>E48*F48</f>
        <v>#REF!</v>
      </c>
      <c r="H48" s="1413" t="s">
        <v>363</v>
      </c>
      <c r="I48" s="1414"/>
      <c r="J48" s="612" t="s">
        <v>170</v>
      </c>
      <c r="K48" s="638" t="e">
        <f>#REF!</f>
        <v>#REF!</v>
      </c>
      <c r="L48" s="638">
        <f>data!J22</f>
        <v>980</v>
      </c>
      <c r="M48" s="612" t="e">
        <f>K48*L48</f>
        <v>#REF!</v>
      </c>
    </row>
    <row r="49" spans="1:13" ht="14">
      <c r="A49" s="638"/>
      <c r="B49" s="1416"/>
      <c r="C49" s="1417"/>
      <c r="D49" s="943"/>
      <c r="E49" s="943"/>
      <c r="F49" s="638"/>
      <c r="G49" s="638"/>
      <c r="H49" s="1413" t="s">
        <v>764</v>
      </c>
      <c r="I49" s="1414"/>
      <c r="J49" s="612" t="s">
        <v>365</v>
      </c>
      <c r="K49" s="638" t="e">
        <f>#REF!</f>
        <v>#REF!</v>
      </c>
      <c r="L49" s="638">
        <f>data!J23</f>
        <v>3968</v>
      </c>
      <c r="M49" s="612" t="e">
        <f t="shared" ref="M49:M69" si="4">K49*L49</f>
        <v>#REF!</v>
      </c>
    </row>
    <row r="50" spans="1:13" ht="14">
      <c r="A50" s="638"/>
      <c r="B50" s="1416"/>
      <c r="C50" s="1417"/>
      <c r="D50" s="943"/>
      <c r="E50" s="943"/>
      <c r="F50" s="638"/>
      <c r="G50" s="638"/>
      <c r="H50" s="1413" t="s">
        <v>765</v>
      </c>
      <c r="I50" s="1414"/>
      <c r="J50" s="612" t="s">
        <v>85</v>
      </c>
      <c r="K50" s="638" t="e">
        <f>#REF!</f>
        <v>#REF!</v>
      </c>
      <c r="L50" s="638">
        <f>data!I99</f>
        <v>1350</v>
      </c>
      <c r="M50" s="612" t="e">
        <f t="shared" si="4"/>
        <v>#REF!</v>
      </c>
    </row>
    <row r="51" spans="1:13" ht="14">
      <c r="A51" s="638" t="s">
        <v>152</v>
      </c>
      <c r="B51" s="1392" t="s">
        <v>382</v>
      </c>
      <c r="C51" s="1392"/>
      <c r="D51" s="638" t="s">
        <v>148</v>
      </c>
      <c r="E51" s="638" t="e">
        <f>#REF!</f>
        <v>#REF!</v>
      </c>
      <c r="F51" s="638">
        <f>data!P11</f>
        <v>240</v>
      </c>
      <c r="G51" s="641" t="e">
        <f>E51*F51</f>
        <v>#REF!</v>
      </c>
      <c r="H51" s="1418" t="s">
        <v>711</v>
      </c>
      <c r="I51" s="1418"/>
      <c r="J51" s="612" t="s">
        <v>63</v>
      </c>
      <c r="K51" s="649" t="e">
        <f>#REF!</f>
        <v>#REF!</v>
      </c>
      <c r="L51" s="638">
        <f>data!J8</f>
        <v>16500</v>
      </c>
      <c r="M51" s="612" t="e">
        <f t="shared" si="4"/>
        <v>#REF!</v>
      </c>
    </row>
    <row r="52" spans="1:13" ht="14">
      <c r="A52" s="720"/>
      <c r="B52" s="1411"/>
      <c r="C52" s="1412"/>
      <c r="D52" s="942"/>
      <c r="E52" s="638"/>
      <c r="F52" s="638"/>
      <c r="G52" s="641"/>
      <c r="H52" s="1419" t="s">
        <v>354</v>
      </c>
      <c r="I52" s="1419"/>
      <c r="J52" s="612" t="s">
        <v>144</v>
      </c>
      <c r="K52" s="638" t="e">
        <f>#REF!</f>
        <v>#REF!</v>
      </c>
      <c r="L52" s="638">
        <f>data!J13</f>
        <v>160</v>
      </c>
      <c r="M52" s="612" t="e">
        <f t="shared" si="4"/>
        <v>#REF!</v>
      </c>
    </row>
    <row r="53" spans="1:13" ht="14">
      <c r="A53" s="721"/>
      <c r="B53" s="1428"/>
      <c r="C53" s="1429"/>
      <c r="D53" s="722"/>
      <c r="E53" s="639"/>
      <c r="F53" s="639"/>
      <c r="G53" s="723"/>
      <c r="H53" s="1430" t="s">
        <v>355</v>
      </c>
      <c r="I53" s="1431"/>
      <c r="J53" s="613" t="s">
        <v>144</v>
      </c>
      <c r="K53" s="648" t="e">
        <f>#REF!</f>
        <v>#REF!</v>
      </c>
      <c r="L53" s="648">
        <f>data!J14</f>
        <v>390</v>
      </c>
      <c r="M53" s="612" t="e">
        <f t="shared" si="4"/>
        <v>#REF!</v>
      </c>
    </row>
    <row r="54" spans="1:13" ht="14">
      <c r="A54" s="720" t="s">
        <v>174</v>
      </c>
      <c r="B54" s="1411" t="s">
        <v>1009</v>
      </c>
      <c r="C54" s="1412"/>
      <c r="D54" s="942" t="s">
        <v>148</v>
      </c>
      <c r="E54" s="638" t="e">
        <f>K54</f>
        <v>#REF!</v>
      </c>
      <c r="F54" s="638">
        <f>data!P101</f>
        <v>35</v>
      </c>
      <c r="G54" s="641" t="e">
        <f>E54*F54</f>
        <v>#REF!</v>
      </c>
      <c r="H54" s="1413" t="s">
        <v>356</v>
      </c>
      <c r="I54" s="1414"/>
      <c r="J54" s="612" t="s">
        <v>148</v>
      </c>
      <c r="K54" s="638" t="e">
        <f>#REF!*1.1</f>
        <v>#REF!</v>
      </c>
      <c r="L54" s="638">
        <f>data!J15</f>
        <v>100</v>
      </c>
      <c r="M54" s="612" t="e">
        <f t="shared" si="4"/>
        <v>#REF!</v>
      </c>
    </row>
    <row r="55" spans="1:13" ht="27.5" customHeight="1">
      <c r="A55" s="724" t="s">
        <v>194</v>
      </c>
      <c r="B55" s="1415" t="s">
        <v>817</v>
      </c>
      <c r="C55" s="1415"/>
      <c r="D55" s="725" t="s">
        <v>343</v>
      </c>
      <c r="E55" s="640" t="e">
        <f>#REF!+#REF!+#REF!+#REF!+#REF!</f>
        <v>#REF!</v>
      </c>
      <c r="F55" s="726">
        <f>data!P94</f>
        <v>17500</v>
      </c>
      <c r="G55" s="727" t="e">
        <f t="shared" ref="G55:G59" si="5">E55*F55</f>
        <v>#REF!</v>
      </c>
      <c r="H55" s="1468"/>
      <c r="I55" s="1468"/>
      <c r="J55" s="964"/>
      <c r="K55" s="964"/>
      <c r="L55" s="964"/>
      <c r="M55" s="964"/>
    </row>
    <row r="56" spans="1:13" ht="27.5" customHeight="1">
      <c r="A56" s="728"/>
      <c r="B56" s="1466"/>
      <c r="C56" s="1467"/>
      <c r="D56" s="602"/>
      <c r="E56" s="634"/>
      <c r="F56" s="641"/>
      <c r="G56" s="727"/>
      <c r="H56" s="710" t="s">
        <v>767</v>
      </c>
      <c r="I56" s="614">
        <v>12</v>
      </c>
      <c r="J56" s="615" t="s">
        <v>343</v>
      </c>
      <c r="K56" s="650" t="e">
        <f>#REF!+#REF!+#REF!+#REF!+#REF!+#REF!</f>
        <v>#REF!</v>
      </c>
      <c r="L56" s="733" t="e">
        <f>#REF!</f>
        <v>#REF!</v>
      </c>
      <c r="M56" s="612" t="e">
        <f t="shared" si="4"/>
        <v>#REF!</v>
      </c>
    </row>
    <row r="57" spans="1:13" ht="27.5" customHeight="1">
      <c r="A57" s="728"/>
      <c r="B57" s="1466"/>
      <c r="C57" s="1467"/>
      <c r="D57" s="602"/>
      <c r="E57" s="634"/>
      <c r="F57" s="641"/>
      <c r="G57" s="727"/>
      <c r="H57" s="710" t="s">
        <v>768</v>
      </c>
      <c r="I57" s="616" t="e">
        <f>IF(#REF!=1,12,14)</f>
        <v>#REF!</v>
      </c>
      <c r="J57" s="599" t="s">
        <v>343</v>
      </c>
      <c r="K57" s="651" t="e">
        <f>#REF!+#REF!+#REF!+#REF!+#REF!+#REF!+#REF!</f>
        <v>#REF!</v>
      </c>
      <c r="L57" s="652" t="e">
        <f>IF(I57=12,#REF!,#REF!)</f>
        <v>#REF!</v>
      </c>
      <c r="M57" s="612" t="e">
        <f t="shared" si="4"/>
        <v>#REF!</v>
      </c>
    </row>
    <row r="58" spans="1:13" ht="19.25" customHeight="1">
      <c r="A58" s="728" t="s">
        <v>193</v>
      </c>
      <c r="B58" s="1424" t="s">
        <v>998</v>
      </c>
      <c r="C58" s="1425"/>
      <c r="D58" s="602" t="s">
        <v>85</v>
      </c>
      <c r="E58" s="634" t="e">
        <f>#REF!+#REF!+#REF!+#REF!</f>
        <v>#REF!</v>
      </c>
      <c r="F58" s="641">
        <f>data!P95</f>
        <v>12</v>
      </c>
      <c r="G58" s="727" t="e">
        <f t="shared" si="5"/>
        <v>#REF!</v>
      </c>
      <c r="H58" s="1422" t="s">
        <v>358</v>
      </c>
      <c r="I58" s="1422"/>
      <c r="J58" s="599" t="s">
        <v>343</v>
      </c>
      <c r="K58" s="651" t="e">
        <f>#REF!+#REF!+#REF!+#REF!</f>
        <v>#REF!</v>
      </c>
      <c r="L58" s="652" t="e">
        <f>#REF!</f>
        <v>#REF!</v>
      </c>
      <c r="M58" s="612" t="e">
        <f t="shared" si="4"/>
        <v>#REF!</v>
      </c>
    </row>
    <row r="59" spans="1:13" ht="22.75" customHeight="1">
      <c r="A59" s="728" t="s">
        <v>618</v>
      </c>
      <c r="B59" s="1424" t="s">
        <v>997</v>
      </c>
      <c r="C59" s="1425"/>
      <c r="D59" s="602" t="s">
        <v>85</v>
      </c>
      <c r="E59" s="634" t="e">
        <f>#REF!+#REF!+#REF!+#REF!+#REF!+#REF!+#REF!</f>
        <v>#REF!</v>
      </c>
      <c r="F59" s="641">
        <f>data!P96</f>
        <v>12</v>
      </c>
      <c r="G59" s="727" t="e">
        <f t="shared" si="5"/>
        <v>#REF!</v>
      </c>
      <c r="H59" s="1422" t="s">
        <v>771</v>
      </c>
      <c r="I59" s="1422"/>
      <c r="J59" s="599" t="s">
        <v>343</v>
      </c>
      <c r="K59" s="651" t="e">
        <f>#REF!+#REF!+#REF!+#REF!+#REF!</f>
        <v>#REF!</v>
      </c>
      <c r="L59" s="652" t="e">
        <f>#REF!</f>
        <v>#REF!</v>
      </c>
      <c r="M59" s="612" t="e">
        <f t="shared" si="4"/>
        <v>#REF!</v>
      </c>
    </row>
    <row r="60" spans="1:13">
      <c r="A60" s="724"/>
      <c r="B60" s="1421"/>
      <c r="C60" s="1421"/>
      <c r="D60" s="602"/>
      <c r="E60" s="634"/>
      <c r="F60" s="641"/>
      <c r="G60" s="641"/>
      <c r="H60" s="1422" t="s">
        <v>359</v>
      </c>
      <c r="I60" s="1422"/>
      <c r="J60" s="599" t="s">
        <v>343</v>
      </c>
      <c r="K60" s="651" t="e">
        <f>(#REF!+#REF!+#REF!+#REF!+#REF!+#REF!+#REF!+#REF!+#REF!+#REF!+#REF!+#REF!+#REF!+#REF!+#REF!+#REF!+#REF!+#REF!+#REF!+#REF!+#REF!+#REF!+#REF!+#REF!+#REF!+#REF!+#REF!+#REF!+#REF!+#REF!+#REF!+#REF!+#REF!+#REF!+#REF!+#REF!+#REF!+#REF!)*0.025</f>
        <v>#REF!</v>
      </c>
      <c r="L60" s="652" t="e">
        <f>#REF!</f>
        <v>#REF!</v>
      </c>
      <c r="M60" s="612" t="e">
        <f t="shared" si="4"/>
        <v>#REF!</v>
      </c>
    </row>
    <row r="61" spans="1:13" ht="28.25" customHeight="1">
      <c r="A61" s="729" t="s">
        <v>716</v>
      </c>
      <c r="B61" s="1415" t="s">
        <v>772</v>
      </c>
      <c r="C61" s="1415"/>
      <c r="D61" s="719" t="s">
        <v>63</v>
      </c>
      <c r="E61" s="634" t="e">
        <f>#REF!+#REF!+#REF!+#REF!+#REF!+#REF!+#REF!</f>
        <v>#REF!</v>
      </c>
      <c r="F61" s="635">
        <f>data!P97</f>
        <v>5850</v>
      </c>
      <c r="G61" s="641" t="e">
        <f t="shared" ref="G61" si="6">E61*F61</f>
        <v>#REF!</v>
      </c>
      <c r="H61" s="1423" t="s">
        <v>360</v>
      </c>
      <c r="I61" s="1423"/>
      <c r="J61" s="608" t="s">
        <v>63</v>
      </c>
      <c r="K61" s="653" t="e">
        <f>E61*1.1</f>
        <v>#REF!</v>
      </c>
      <c r="L61" s="652">
        <f>data!J19</f>
        <v>7200</v>
      </c>
      <c r="M61" s="612" t="e">
        <f t="shared" si="4"/>
        <v>#REF!</v>
      </c>
    </row>
    <row r="62" spans="1:13" ht="14">
      <c r="A62" s="730"/>
      <c r="B62" s="1415"/>
      <c r="C62" s="1415"/>
      <c r="D62" s="719"/>
      <c r="E62" s="634"/>
      <c r="F62" s="635"/>
      <c r="G62" s="641"/>
      <c r="H62" s="1426" t="s">
        <v>361</v>
      </c>
      <c r="I62" s="1426"/>
      <c r="J62" s="608" t="s">
        <v>85</v>
      </c>
      <c r="K62" s="653" t="e">
        <f>#REF!</f>
        <v>#REF!</v>
      </c>
      <c r="L62" s="652">
        <f>data!J20</f>
        <v>11</v>
      </c>
      <c r="M62" s="612" t="e">
        <f t="shared" si="4"/>
        <v>#REF!</v>
      </c>
    </row>
    <row r="63" spans="1:13">
      <c r="A63" s="730"/>
      <c r="B63" s="1415"/>
      <c r="C63" s="1415"/>
      <c r="D63" s="940"/>
      <c r="E63" s="634"/>
      <c r="F63" s="635"/>
      <c r="G63" s="641"/>
      <c r="H63" s="609" t="s">
        <v>366</v>
      </c>
      <c r="I63" s="617"/>
      <c r="J63" s="617"/>
      <c r="K63" s="654"/>
      <c r="L63" s="654"/>
      <c r="M63" s="618"/>
    </row>
    <row r="64" spans="1:13" ht="14">
      <c r="A64" s="731"/>
      <c r="B64" s="1389"/>
      <c r="C64" s="1390"/>
      <c r="D64" s="719"/>
      <c r="E64" s="634"/>
      <c r="F64" s="635"/>
      <c r="G64" s="641"/>
      <c r="H64" s="1391" t="s">
        <v>367</v>
      </c>
      <c r="I64" s="1391"/>
      <c r="J64" s="608" t="s">
        <v>85</v>
      </c>
      <c r="K64" s="653" t="e">
        <f>#REF!</f>
        <v>#REF!</v>
      </c>
      <c r="L64" s="652">
        <f>data!J26</f>
        <v>45</v>
      </c>
      <c r="M64" s="612" t="e">
        <f t="shared" si="4"/>
        <v>#REF!</v>
      </c>
    </row>
    <row r="65" spans="1:13" ht="14">
      <c r="A65" s="731"/>
      <c r="B65" s="1389"/>
      <c r="C65" s="1390"/>
      <c r="D65" s="719"/>
      <c r="E65" s="634"/>
      <c r="F65" s="635"/>
      <c r="G65" s="641"/>
      <c r="H65" s="1391" t="s">
        <v>368</v>
      </c>
      <c r="I65" s="1391"/>
      <c r="J65" s="608" t="s">
        <v>418</v>
      </c>
      <c r="K65" s="653" t="e">
        <f>#REF!</f>
        <v>#REF!</v>
      </c>
      <c r="L65" s="652">
        <f>data!J27</f>
        <v>55</v>
      </c>
      <c r="M65" s="612" t="e">
        <f t="shared" si="4"/>
        <v>#REF!</v>
      </c>
    </row>
    <row r="66" spans="1:13" ht="14">
      <c r="A66" s="731"/>
      <c r="B66" s="1389"/>
      <c r="C66" s="1390"/>
      <c r="D66" s="719"/>
      <c r="E66" s="634"/>
      <c r="F66" s="635"/>
      <c r="G66" s="641"/>
      <c r="H66" s="1391" t="s">
        <v>370</v>
      </c>
      <c r="I66" s="1391"/>
      <c r="J66" s="608" t="s">
        <v>419</v>
      </c>
      <c r="K66" s="653" t="e">
        <f>#REF!</f>
        <v>#REF!</v>
      </c>
      <c r="L66" s="652">
        <f>data!J28</f>
        <v>170</v>
      </c>
      <c r="M66" s="612" t="e">
        <f t="shared" si="4"/>
        <v>#REF!</v>
      </c>
    </row>
    <row r="67" spans="1:13" ht="14">
      <c r="A67" s="1145" t="s">
        <v>754</v>
      </c>
      <c r="B67" s="1370" t="s">
        <v>1010</v>
      </c>
      <c r="C67" s="1371"/>
      <c r="D67" s="1140" t="s">
        <v>148</v>
      </c>
      <c r="E67" s="1126" t="e">
        <f>#REF!</f>
        <v>#REF!</v>
      </c>
      <c r="F67" s="1127">
        <f>data!P93</f>
        <v>450</v>
      </c>
      <c r="G67" s="1128" t="e">
        <f>E67*F67</f>
        <v>#REF!</v>
      </c>
      <c r="H67" s="1374" t="s">
        <v>363</v>
      </c>
      <c r="I67" s="1375"/>
      <c r="J67" s="1146" t="s">
        <v>170</v>
      </c>
      <c r="K67" s="1147" t="e">
        <f>#REF!</f>
        <v>#REF!</v>
      </c>
      <c r="L67" s="1148">
        <f>data!J22</f>
        <v>980</v>
      </c>
      <c r="M67" s="612" t="e">
        <f t="shared" si="4"/>
        <v>#REF!</v>
      </c>
    </row>
    <row r="68" spans="1:13" ht="14">
      <c r="A68" s="1145"/>
      <c r="B68" s="1372"/>
      <c r="C68" s="1373"/>
      <c r="D68" s="1140"/>
      <c r="E68" s="1126"/>
      <c r="F68" s="1127"/>
      <c r="G68" s="1128"/>
      <c r="H68" s="1374" t="s">
        <v>764</v>
      </c>
      <c r="I68" s="1375"/>
      <c r="J68" s="1146" t="s">
        <v>365</v>
      </c>
      <c r="K68" s="1147" t="e">
        <f>#REF!</f>
        <v>#REF!</v>
      </c>
      <c r="L68" s="1148">
        <f>data!J23</f>
        <v>3968</v>
      </c>
      <c r="M68" s="612" t="e">
        <f t="shared" si="4"/>
        <v>#REF!</v>
      </c>
    </row>
    <row r="69" spans="1:13" ht="14">
      <c r="A69" s="1145"/>
      <c r="B69" s="1372"/>
      <c r="C69" s="1373"/>
      <c r="D69" s="1140"/>
      <c r="E69" s="1126"/>
      <c r="F69" s="1127"/>
      <c r="G69" s="1128"/>
      <c r="H69" s="1374" t="s">
        <v>765</v>
      </c>
      <c r="I69" s="1375"/>
      <c r="J69" s="1146" t="s">
        <v>85</v>
      </c>
      <c r="K69" s="1147" t="e">
        <f>#REF!</f>
        <v>#REF!</v>
      </c>
      <c r="L69" s="1148">
        <f>data!I99</f>
        <v>1350</v>
      </c>
      <c r="M69" s="612" t="e">
        <f t="shared" si="4"/>
        <v>#REF!</v>
      </c>
    </row>
    <row r="70" spans="1:13">
      <c r="A70" s="1145"/>
      <c r="B70" s="1372"/>
      <c r="C70" s="1373"/>
      <c r="D70" s="1140"/>
      <c r="E70" s="1126"/>
      <c r="F70" s="1127"/>
      <c r="G70" s="1128"/>
      <c r="H70" s="1376"/>
      <c r="I70" s="1377"/>
      <c r="J70" s="1146"/>
      <c r="K70" s="1147"/>
      <c r="L70" s="1148"/>
      <c r="M70" s="1149"/>
    </row>
    <row r="71" spans="1:13">
      <c r="A71" s="1145"/>
      <c r="B71" s="1372"/>
      <c r="C71" s="1373"/>
      <c r="D71" s="1140"/>
      <c r="E71" s="1126"/>
      <c r="F71" s="1127"/>
      <c r="G71" s="1128"/>
      <c r="H71" s="1376"/>
      <c r="I71" s="1377"/>
      <c r="J71" s="1146"/>
      <c r="K71" s="1147"/>
      <c r="L71" s="1148"/>
      <c r="M71" s="1149"/>
    </row>
    <row r="72" spans="1:13" ht="14" thickBot="1">
      <c r="A72" s="822"/>
      <c r="B72" s="823"/>
      <c r="C72" s="824"/>
      <c r="D72" s="824"/>
      <c r="E72" s="1420" t="s">
        <v>145</v>
      </c>
      <c r="F72" s="1410"/>
      <c r="G72" s="825" t="e">
        <f>SUM(G48:G71)</f>
        <v>#REF!</v>
      </c>
      <c r="H72" s="593"/>
      <c r="I72" s="593"/>
      <c r="J72" s="592"/>
      <c r="K72" s="1410" t="s">
        <v>146</v>
      </c>
      <c r="L72" s="1410"/>
      <c r="M72" s="826" t="e">
        <f>SUM(M48:M71)</f>
        <v>#REF!</v>
      </c>
    </row>
    <row r="73" spans="1:13" ht="13.25" customHeight="1" thickBot="1">
      <c r="A73" s="1409" t="s">
        <v>971</v>
      </c>
      <c r="B73" s="1409"/>
      <c r="C73" s="1072" t="e">
        <f>#REF!*1000</f>
        <v>#REF!</v>
      </c>
      <c r="D73" s="1071" t="s">
        <v>875</v>
      </c>
      <c r="E73" s="956"/>
      <c r="F73" s="956"/>
      <c r="G73" s="946"/>
      <c r="H73" s="593"/>
      <c r="I73" s="593"/>
      <c r="J73" s="592"/>
      <c r="K73" s="956"/>
      <c r="L73" s="956"/>
      <c r="M73" s="947"/>
    </row>
    <row r="74" spans="1:13">
      <c r="A74" s="948">
        <v>1</v>
      </c>
      <c r="B74" s="1396" t="s">
        <v>973</v>
      </c>
      <c r="C74" s="1397"/>
      <c r="D74" s="1070" t="s">
        <v>148</v>
      </c>
      <c r="E74" s="950" t="e">
        <f>IF(#REF!=1,IF(#REF!=1,#REF!+#REF!,#REF!),0)</f>
        <v>#REF!</v>
      </c>
      <c r="F74" s="950">
        <f>data!P98</f>
        <v>450</v>
      </c>
      <c r="G74" s="935" t="e">
        <f t="shared" ref="G74" si="7">E74*F74</f>
        <v>#REF!</v>
      </c>
      <c r="H74" s="1398" t="s">
        <v>363</v>
      </c>
      <c r="I74" s="1398"/>
      <c r="J74" s="958" t="s">
        <v>170</v>
      </c>
      <c r="K74" s="950" t="e">
        <f>#REF!</f>
        <v>#REF!</v>
      </c>
      <c r="L74" s="950">
        <f>data!J22</f>
        <v>980</v>
      </c>
      <c r="M74" s="950" t="e">
        <f t="shared" ref="M74:M76" si="8">K74*L74</f>
        <v>#REF!</v>
      </c>
    </row>
    <row r="75" spans="1:13">
      <c r="A75" s="951"/>
      <c r="B75" s="1399"/>
      <c r="C75" s="1400"/>
      <c r="D75" s="949"/>
      <c r="E75" s="952"/>
      <c r="F75" s="952"/>
      <c r="G75" s="935"/>
      <c r="H75" s="1398" t="s">
        <v>764</v>
      </c>
      <c r="I75" s="1398"/>
      <c r="J75" s="958" t="s">
        <v>85</v>
      </c>
      <c r="K75" s="950" t="e">
        <f>#REF!</f>
        <v>#REF!</v>
      </c>
      <c r="L75" s="950">
        <f>data!J23</f>
        <v>3968</v>
      </c>
      <c r="M75" s="950" t="e">
        <f t="shared" si="8"/>
        <v>#REF!</v>
      </c>
    </row>
    <row r="76" spans="1:13">
      <c r="A76" s="1151"/>
      <c r="B76" s="1152"/>
      <c r="C76" s="1153"/>
      <c r="D76" s="1154"/>
      <c r="E76" s="1155"/>
      <c r="F76" s="1155"/>
      <c r="G76" s="1128"/>
      <c r="H76" s="1368" t="s">
        <v>765</v>
      </c>
      <c r="I76" s="1369"/>
      <c r="J76" s="1156" t="s">
        <v>85</v>
      </c>
      <c r="K76" s="1157" t="e">
        <f>#REF!</f>
        <v>#REF!</v>
      </c>
      <c r="L76" s="1157">
        <f>data!I99</f>
        <v>1350</v>
      </c>
      <c r="M76" s="950" t="e">
        <f t="shared" si="8"/>
        <v>#REF!</v>
      </c>
    </row>
    <row r="77" spans="1:13" ht="14">
      <c r="A77" s="948">
        <v>2</v>
      </c>
      <c r="B77" s="1401" t="s">
        <v>382</v>
      </c>
      <c r="C77" s="1401"/>
      <c r="D77" s="953" t="s">
        <v>148</v>
      </c>
      <c r="E77" s="950" t="e">
        <f>#REF!</f>
        <v>#REF!</v>
      </c>
      <c r="F77" s="950">
        <f>data!P11</f>
        <v>240</v>
      </c>
      <c r="G77" s="935" t="e">
        <f>E77*F77</f>
        <v>#REF!</v>
      </c>
      <c r="H77" s="1402" t="s">
        <v>349</v>
      </c>
      <c r="I77" s="1402"/>
      <c r="J77" s="953" t="s">
        <v>63</v>
      </c>
      <c r="K77" s="950" t="e">
        <f>#REF!</f>
        <v>#REF!</v>
      </c>
      <c r="L77" s="950">
        <f>data!J8</f>
        <v>16500</v>
      </c>
      <c r="M77" s="950" t="e">
        <f>K77*L77</f>
        <v>#REF!</v>
      </c>
    </row>
    <row r="78" spans="1:13" ht="14">
      <c r="A78" s="948"/>
      <c r="B78" s="1403"/>
      <c r="C78" s="1404"/>
      <c r="D78" s="949"/>
      <c r="E78" s="952"/>
      <c r="F78" s="952"/>
      <c r="G78" s="935"/>
      <c r="H78" s="1401" t="s">
        <v>354</v>
      </c>
      <c r="I78" s="1401"/>
      <c r="J78" s="953" t="s">
        <v>144</v>
      </c>
      <c r="K78" s="950" t="e">
        <f>#REF!</f>
        <v>#REF!</v>
      </c>
      <c r="L78" s="950">
        <f>data!J13</f>
        <v>160</v>
      </c>
      <c r="M78" s="950" t="e">
        <f t="shared" ref="M78:M81" si="9">K78*L78</f>
        <v>#REF!</v>
      </c>
    </row>
    <row r="79" spans="1:13" ht="14">
      <c r="A79" s="948">
        <v>3</v>
      </c>
      <c r="B79" s="1405" t="s">
        <v>972</v>
      </c>
      <c r="C79" s="1406"/>
      <c r="D79" s="949" t="s">
        <v>148</v>
      </c>
      <c r="E79" s="950" t="e">
        <f>#REF!</f>
        <v>#REF!</v>
      </c>
      <c r="F79" s="950">
        <f>data!P99</f>
        <v>2500</v>
      </c>
      <c r="G79" s="935" t="e">
        <f t="shared" ref="G79" si="10">E79*F79</f>
        <v>#REF!</v>
      </c>
      <c r="H79" s="1398" t="s">
        <v>905</v>
      </c>
      <c r="I79" s="1398"/>
      <c r="J79" s="953" t="s">
        <v>343</v>
      </c>
      <c r="K79" s="957" t="e">
        <f>#REF!</f>
        <v>#REF!</v>
      </c>
      <c r="L79" s="950" t="e">
        <f>#REF!</f>
        <v>#REF!</v>
      </c>
      <c r="M79" s="950" t="e">
        <f t="shared" si="9"/>
        <v>#REF!</v>
      </c>
    </row>
    <row r="80" spans="1:13" ht="14">
      <c r="A80" s="948"/>
      <c r="B80" s="1403"/>
      <c r="C80" s="1404"/>
      <c r="D80" s="949"/>
      <c r="E80" s="952"/>
      <c r="F80" s="952"/>
      <c r="G80" s="935"/>
      <c r="H80" s="1398" t="s">
        <v>359</v>
      </c>
      <c r="I80" s="1398"/>
      <c r="J80" s="953" t="s">
        <v>343</v>
      </c>
      <c r="K80" s="957" t="e">
        <f>#REF!</f>
        <v>#REF!</v>
      </c>
      <c r="L80" s="950" t="e">
        <f>#REF!</f>
        <v>#REF!</v>
      </c>
      <c r="M80" s="950" t="e">
        <f t="shared" si="9"/>
        <v>#REF!</v>
      </c>
    </row>
    <row r="81" spans="1:13" ht="14">
      <c r="A81" s="948"/>
      <c r="B81" s="1403"/>
      <c r="C81" s="1404"/>
      <c r="D81" s="949"/>
      <c r="E81" s="952"/>
      <c r="F81" s="952"/>
      <c r="G81" s="935"/>
      <c r="H81" s="1407" t="s">
        <v>360</v>
      </c>
      <c r="I81" s="1408"/>
      <c r="J81" s="953" t="s">
        <v>63</v>
      </c>
      <c r="K81" s="950" t="e">
        <f>#REF!</f>
        <v>#REF!</v>
      </c>
      <c r="L81" s="950">
        <f>data!J19</f>
        <v>7200</v>
      </c>
      <c r="M81" s="950" t="e">
        <f t="shared" si="9"/>
        <v>#REF!</v>
      </c>
    </row>
    <row r="82" spans="1:13">
      <c r="A82" s="954"/>
      <c r="B82" s="955"/>
      <c r="C82" s="945"/>
      <c r="D82" s="945"/>
      <c r="E82" s="1378" t="s">
        <v>145</v>
      </c>
      <c r="F82" s="1379"/>
      <c r="G82" s="969" t="e">
        <f>SUM(G74:G81)</f>
        <v>#REF!</v>
      </c>
      <c r="H82" s="593"/>
      <c r="I82" s="593"/>
      <c r="J82" s="592"/>
      <c r="K82" s="1379" t="s">
        <v>146</v>
      </c>
      <c r="L82" s="1379"/>
      <c r="M82" s="968" t="e">
        <f>SUM(M74:M81)</f>
        <v>#REF!</v>
      </c>
    </row>
    <row r="83" spans="1:13">
      <c r="A83" s="1380" t="s">
        <v>1011</v>
      </c>
      <c r="B83" s="1381"/>
      <c r="C83" s="947"/>
      <c r="D83" s="632"/>
      <c r="E83" s="959"/>
      <c r="F83" s="959"/>
      <c r="G83" s="947"/>
      <c r="H83" s="960"/>
      <c r="I83" s="960"/>
      <c r="J83" s="961"/>
      <c r="K83" s="962"/>
      <c r="L83" s="962"/>
      <c r="M83" s="963"/>
    </row>
    <row r="84" spans="1:13" ht="14">
      <c r="A84" s="638" t="s">
        <v>134</v>
      </c>
      <c r="B84" s="1382" t="s">
        <v>393</v>
      </c>
      <c r="C84" s="1382"/>
      <c r="D84" s="967" t="s">
        <v>343</v>
      </c>
      <c r="E84" s="967" t="e">
        <f>#REF!+#REF!</f>
        <v>#REF!</v>
      </c>
      <c r="F84" s="967">
        <f>data!P22</f>
        <v>3000</v>
      </c>
      <c r="G84" s="967" t="e">
        <f>E84*F84</f>
        <v>#REF!</v>
      </c>
      <c r="H84" s="1393" t="s">
        <v>151</v>
      </c>
      <c r="I84" s="1393"/>
      <c r="J84" s="965" t="s">
        <v>155</v>
      </c>
      <c r="K84" s="966" t="e">
        <f>#REF!</f>
        <v>#REF!</v>
      </c>
      <c r="L84" s="966" t="e">
        <f>#REF!+#REF!*#REF!</f>
        <v>#REF!</v>
      </c>
      <c r="M84" s="965" t="e">
        <f>K84*L84</f>
        <v>#REF!</v>
      </c>
    </row>
    <row r="85" spans="1:13" ht="14">
      <c r="A85" s="638"/>
      <c r="B85" s="1392"/>
      <c r="C85" s="1392"/>
      <c r="D85" s="942"/>
      <c r="E85" s="638"/>
      <c r="F85" s="941"/>
      <c r="G85" s="638"/>
      <c r="H85" s="1394" t="s">
        <v>773</v>
      </c>
      <c r="I85" s="1395"/>
      <c r="J85" s="619" t="s">
        <v>155</v>
      </c>
      <c r="K85" s="655" t="e">
        <f>#REF!</f>
        <v>#REF!</v>
      </c>
      <c r="L85" s="655" t="e">
        <f>#REF!+#REF!*#REF!</f>
        <v>#REF!</v>
      </c>
      <c r="M85" s="619" t="e">
        <f t="shared" ref="M85:M88" si="11">K85*L85</f>
        <v>#REF!</v>
      </c>
    </row>
    <row r="86" spans="1:13" ht="14">
      <c r="A86" s="638"/>
      <c r="B86" s="1387"/>
      <c r="C86" s="1388"/>
      <c r="D86" s="942"/>
      <c r="E86" s="638"/>
      <c r="F86" s="941"/>
      <c r="G86" s="638"/>
      <c r="H86" s="620" t="s">
        <v>372</v>
      </c>
      <c r="I86" s="620"/>
      <c r="J86" s="619" t="s">
        <v>155</v>
      </c>
      <c r="K86" s="655" t="e">
        <f>#REF!</f>
        <v>#REF!</v>
      </c>
      <c r="L86" s="655" t="e">
        <f>#REF!+#REF!*#REF!</f>
        <v>#REF!</v>
      </c>
      <c r="M86" s="619" t="e">
        <f t="shared" si="11"/>
        <v>#REF!</v>
      </c>
    </row>
    <row r="87" spans="1:13" ht="14">
      <c r="A87" s="638"/>
      <c r="B87" s="1392"/>
      <c r="C87" s="1392"/>
      <c r="D87" s="942"/>
      <c r="E87" s="642"/>
      <c r="F87" s="643"/>
      <c r="G87" s="720"/>
      <c r="H87" s="620" t="s">
        <v>975</v>
      </c>
      <c r="I87" s="620"/>
      <c r="J87" s="619" t="s">
        <v>155</v>
      </c>
      <c r="K87" s="655" t="e">
        <f>#REF!*#REF!</f>
        <v>#REF!</v>
      </c>
      <c r="L87" s="655" t="e">
        <f>#REF!</f>
        <v>#REF!</v>
      </c>
      <c r="M87" s="619" t="e">
        <f t="shared" si="11"/>
        <v>#REF!</v>
      </c>
    </row>
    <row r="88" spans="1:13" ht="14">
      <c r="A88" s="638"/>
      <c r="B88" s="1392"/>
      <c r="C88" s="1392"/>
      <c r="D88" s="942"/>
      <c r="E88" s="642"/>
      <c r="F88" s="643"/>
      <c r="G88" s="720"/>
      <c r="H88" s="621" t="s">
        <v>374</v>
      </c>
      <c r="I88" s="621"/>
      <c r="J88" s="622" t="s">
        <v>155</v>
      </c>
      <c r="K88" s="638" t="e">
        <f>#REF!</f>
        <v>#REF!</v>
      </c>
      <c r="L88" s="638" t="e">
        <f>#REF!</f>
        <v>#REF!</v>
      </c>
      <c r="M88" s="619" t="e">
        <f t="shared" si="11"/>
        <v>#REF!</v>
      </c>
    </row>
    <row r="89" spans="1:13">
      <c r="A89" s="819"/>
      <c r="B89" s="820"/>
      <c r="C89" s="819"/>
      <c r="D89" s="819"/>
      <c r="E89" s="1385" t="s">
        <v>145</v>
      </c>
      <c r="F89" s="1386"/>
      <c r="G89" s="827" t="e">
        <f>SUM(G84:G88)</f>
        <v>#REF!</v>
      </c>
      <c r="H89" s="828"/>
      <c r="I89" s="828"/>
      <c r="J89" s="592"/>
      <c r="K89" s="1383" t="s">
        <v>157</v>
      </c>
      <c r="L89" s="1384"/>
      <c r="M89" s="829" t="e">
        <f>SUM(M84:M88)</f>
        <v>#REF!</v>
      </c>
    </row>
    <row r="90" spans="1:13">
      <c r="A90" s="819"/>
      <c r="B90" s="820"/>
      <c r="C90" s="819"/>
      <c r="D90" s="819"/>
      <c r="E90" s="831"/>
      <c r="F90" s="831"/>
      <c r="G90" s="832"/>
      <c r="H90" s="828"/>
      <c r="I90" s="828"/>
      <c r="J90" s="592"/>
      <c r="K90" s="833"/>
      <c r="L90" s="833"/>
      <c r="M90" s="591"/>
    </row>
    <row r="91" spans="1:13">
      <c r="A91" s="815"/>
      <c r="B91" s="815"/>
      <c r="C91" s="824"/>
      <c r="D91" s="815"/>
      <c r="E91" s="815"/>
      <c r="F91" s="815"/>
      <c r="G91" s="815"/>
      <c r="H91" s="815"/>
      <c r="I91" s="815"/>
      <c r="J91" s="815"/>
      <c r="K91" s="815"/>
      <c r="L91" s="815"/>
      <c r="M91" s="815"/>
    </row>
    <row r="92" spans="1:13" ht="13.25" customHeight="1">
      <c r="D92" s="1301" t="s">
        <v>158</v>
      </c>
      <c r="E92" s="1301"/>
      <c r="F92" s="1301"/>
      <c r="G92" s="1301"/>
      <c r="H92" s="970" t="e">
        <f>G46+G72+G89+G82</f>
        <v>#REF!</v>
      </c>
      <c r="I92" s="623"/>
    </row>
    <row r="93" spans="1:13" ht="12" customHeight="1">
      <c r="D93" s="1301" t="s">
        <v>159</v>
      </c>
      <c r="E93" s="1301"/>
      <c r="F93" s="1301"/>
      <c r="G93" s="1301"/>
      <c r="H93" s="970" t="e">
        <f>H92*0.03</f>
        <v>#REF!</v>
      </c>
      <c r="I93" s="623"/>
    </row>
    <row r="94" spans="1:13" ht="12.5" customHeight="1">
      <c r="D94" s="1301" t="s">
        <v>160</v>
      </c>
      <c r="E94" s="1301"/>
      <c r="F94" s="1301"/>
      <c r="G94" s="1301"/>
      <c r="H94" s="970" t="e">
        <f>H92*0.16</f>
        <v>#REF!</v>
      </c>
      <c r="I94" s="623"/>
    </row>
    <row r="95" spans="1:13" ht="11.5" customHeight="1">
      <c r="D95" s="1301" t="s">
        <v>20</v>
      </c>
      <c r="E95" s="1301"/>
      <c r="F95" s="1301"/>
      <c r="G95" s="1301"/>
      <c r="H95" s="970" t="e">
        <f>H92+H93+H94</f>
        <v>#REF!</v>
      </c>
      <c r="I95" s="623"/>
    </row>
    <row r="96" spans="1:13" ht="13.25" customHeight="1">
      <c r="D96" s="1301" t="s">
        <v>161</v>
      </c>
      <c r="E96" s="1301"/>
      <c r="F96" s="1301"/>
      <c r="G96" s="1301"/>
      <c r="H96" s="970" t="e">
        <f>M46+M72+M82</f>
        <v>#REF!</v>
      </c>
      <c r="I96" s="623"/>
    </row>
    <row r="97" spans="4:12" ht="13.25" customHeight="1">
      <c r="D97" s="1301" t="s">
        <v>863</v>
      </c>
      <c r="E97" s="1301"/>
      <c r="F97" s="1301"/>
      <c r="G97" s="1301"/>
      <c r="H97" s="970" t="e">
        <f>H96*0.035</f>
        <v>#REF!</v>
      </c>
      <c r="I97" s="623"/>
    </row>
    <row r="98" spans="4:12" ht="14.5" customHeight="1">
      <c r="D98" s="1301" t="s">
        <v>162</v>
      </c>
      <c r="E98" s="1301"/>
      <c r="F98" s="1301"/>
      <c r="G98" s="1301"/>
      <c r="H98" s="970" t="e">
        <f>M89</f>
        <v>#REF!</v>
      </c>
      <c r="I98" s="623"/>
    </row>
    <row r="99" spans="4:12" ht="12.5" customHeight="1">
      <c r="D99" s="1301" t="s">
        <v>20</v>
      </c>
      <c r="E99" s="1301"/>
      <c r="F99" s="1301"/>
      <c r="G99" s="1301"/>
      <c r="H99" s="970" t="e">
        <f>H96+H97+H98</f>
        <v>#REF!</v>
      </c>
      <c r="I99" s="623"/>
    </row>
    <row r="100" spans="4:12" ht="12.5" customHeight="1">
      <c r="D100" s="1303" t="s">
        <v>163</v>
      </c>
      <c r="E100" s="1303"/>
      <c r="F100" s="1303"/>
      <c r="G100" s="1303"/>
      <c r="H100" s="971" t="e">
        <f>H95+H99</f>
        <v>#REF!</v>
      </c>
      <c r="I100" s="624"/>
    </row>
    <row r="101" spans="4:12" ht="12.5" customHeight="1" thickBot="1">
      <c r="D101" s="1304" t="s">
        <v>164</v>
      </c>
      <c r="E101" s="1304"/>
      <c r="F101" s="1304"/>
      <c r="G101" s="1304"/>
      <c r="H101" s="972" t="e">
        <f>H92*0.03</f>
        <v>#REF!</v>
      </c>
      <c r="I101" s="625"/>
    </row>
    <row r="102" spans="4:12" ht="12" customHeight="1" thickBot="1">
      <c r="D102" s="1302" t="s">
        <v>165</v>
      </c>
      <c r="E102" s="1302"/>
      <c r="F102" s="1302"/>
      <c r="G102" s="1302"/>
      <c r="H102" s="631" t="e">
        <f>H100+H101</f>
        <v>#REF!</v>
      </c>
      <c r="I102" s="625"/>
      <c r="K102" s="656"/>
      <c r="L102" s="657"/>
    </row>
  </sheetData>
  <mergeCells count="158">
    <mergeCell ref="D102:G102"/>
    <mergeCell ref="J4:M4"/>
    <mergeCell ref="A4:B4"/>
    <mergeCell ref="B56:C56"/>
    <mergeCell ref="B57:C57"/>
    <mergeCell ref="H55:I55"/>
    <mergeCell ref="D92:G92"/>
    <mergeCell ref="D93:G93"/>
    <mergeCell ref="D94:G94"/>
    <mergeCell ref="D95:G95"/>
    <mergeCell ref="D96:G96"/>
    <mergeCell ref="D97:G97"/>
    <mergeCell ref="A11:A12"/>
    <mergeCell ref="B11:C12"/>
    <mergeCell ref="B13:C13"/>
    <mergeCell ref="D11:D12"/>
    <mergeCell ref="J5:M5"/>
    <mergeCell ref="J6:M6"/>
    <mergeCell ref="A8:M8"/>
    <mergeCell ref="H13:I13"/>
    <mergeCell ref="B18:C18"/>
    <mergeCell ref="H18:I18"/>
    <mergeCell ref="B19:C19"/>
    <mergeCell ref="H19:I19"/>
    <mergeCell ref="A1:M1"/>
    <mergeCell ref="A2:M2"/>
    <mergeCell ref="A3:B3"/>
    <mergeCell ref="J3:L3"/>
    <mergeCell ref="B9:H9"/>
    <mergeCell ref="J11:J12"/>
    <mergeCell ref="K11:K12"/>
    <mergeCell ref="L11:L12"/>
    <mergeCell ref="M11:M12"/>
    <mergeCell ref="E11:E12"/>
    <mergeCell ref="F11:F12"/>
    <mergeCell ref="G11:G12"/>
    <mergeCell ref="H11:I12"/>
    <mergeCell ref="A14:B14"/>
    <mergeCell ref="H15:I15"/>
    <mergeCell ref="B17:C17"/>
    <mergeCell ref="C14:D14"/>
    <mergeCell ref="B30:C30"/>
    <mergeCell ref="B20:C20"/>
    <mergeCell ref="H20:I20"/>
    <mergeCell ref="B21:C21"/>
    <mergeCell ref="H21:I21"/>
    <mergeCell ref="B26:C26"/>
    <mergeCell ref="H26:I26"/>
    <mergeCell ref="B27:C27"/>
    <mergeCell ref="H27:I27"/>
    <mergeCell ref="B28:C28"/>
    <mergeCell ref="H28:I28"/>
    <mergeCell ref="B29:C29"/>
    <mergeCell ref="B22:C22"/>
    <mergeCell ref="B23:C23"/>
    <mergeCell ref="B24:C24"/>
    <mergeCell ref="B25:C25"/>
    <mergeCell ref="B31:C31"/>
    <mergeCell ref="H31:I31"/>
    <mergeCell ref="B32:C32"/>
    <mergeCell ref="H32:I32"/>
    <mergeCell ref="B33:C33"/>
    <mergeCell ref="B34:C34"/>
    <mergeCell ref="H41:I41"/>
    <mergeCell ref="H42:I42"/>
    <mergeCell ref="H44:I44"/>
    <mergeCell ref="B38:C38"/>
    <mergeCell ref="H38:I38"/>
    <mergeCell ref="B39:C39"/>
    <mergeCell ref="H39:I39"/>
    <mergeCell ref="B40:C40"/>
    <mergeCell ref="H40:I40"/>
    <mergeCell ref="B35:C35"/>
    <mergeCell ref="H35:I35"/>
    <mergeCell ref="B36:C36"/>
    <mergeCell ref="H36:I36"/>
    <mergeCell ref="B37:C37"/>
    <mergeCell ref="H37:I37"/>
    <mergeCell ref="K46:L46"/>
    <mergeCell ref="A47:E47"/>
    <mergeCell ref="B48:C48"/>
    <mergeCell ref="H48:I48"/>
    <mergeCell ref="B49:C49"/>
    <mergeCell ref="H49:I49"/>
    <mergeCell ref="H45:I45"/>
    <mergeCell ref="E46:F46"/>
    <mergeCell ref="B53:C53"/>
    <mergeCell ref="H53:I53"/>
    <mergeCell ref="K72:L72"/>
    <mergeCell ref="B54:C54"/>
    <mergeCell ref="H54:I54"/>
    <mergeCell ref="B55:C55"/>
    <mergeCell ref="B50:C50"/>
    <mergeCell ref="H50:I50"/>
    <mergeCell ref="B51:C51"/>
    <mergeCell ref="H51:I51"/>
    <mergeCell ref="B52:C52"/>
    <mergeCell ref="H52:I52"/>
    <mergeCell ref="E72:F72"/>
    <mergeCell ref="B60:C60"/>
    <mergeCell ref="H60:I60"/>
    <mergeCell ref="B61:C61"/>
    <mergeCell ref="H61:I61"/>
    <mergeCell ref="B58:C58"/>
    <mergeCell ref="H58:I58"/>
    <mergeCell ref="B59:C59"/>
    <mergeCell ref="H59:I59"/>
    <mergeCell ref="B62:C62"/>
    <mergeCell ref="H62:I62"/>
    <mergeCell ref="B63:C63"/>
    <mergeCell ref="B64:C64"/>
    <mergeCell ref="H64:I64"/>
    <mergeCell ref="B65:C65"/>
    <mergeCell ref="H65:I65"/>
    <mergeCell ref="B66:C66"/>
    <mergeCell ref="H66:I66"/>
    <mergeCell ref="B85:C85"/>
    <mergeCell ref="H84:I84"/>
    <mergeCell ref="H85:I85"/>
    <mergeCell ref="B87:C87"/>
    <mergeCell ref="B88:C88"/>
    <mergeCell ref="B74:C74"/>
    <mergeCell ref="H74:I74"/>
    <mergeCell ref="B75:C75"/>
    <mergeCell ref="H75:I75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A73:B73"/>
    <mergeCell ref="D100:G100"/>
    <mergeCell ref="D101:G101"/>
    <mergeCell ref="E82:F82"/>
    <mergeCell ref="K82:L82"/>
    <mergeCell ref="A83:B83"/>
    <mergeCell ref="B84:C84"/>
    <mergeCell ref="K89:L89"/>
    <mergeCell ref="E89:F89"/>
    <mergeCell ref="B86:C86"/>
    <mergeCell ref="D98:G98"/>
    <mergeCell ref="D99:G99"/>
    <mergeCell ref="H76:I76"/>
    <mergeCell ref="B67:C67"/>
    <mergeCell ref="B68:C68"/>
    <mergeCell ref="B69:C69"/>
    <mergeCell ref="B70:C70"/>
    <mergeCell ref="B71:C71"/>
    <mergeCell ref="H67:I67"/>
    <mergeCell ref="H68:I68"/>
    <mergeCell ref="H69:I69"/>
    <mergeCell ref="H70:I70"/>
    <mergeCell ref="H71:I7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BD83-6E0C-4C5A-B194-3B318B91B45D}">
  <dimension ref="A1:XFD85"/>
  <sheetViews>
    <sheetView topLeftCell="A49" zoomScale="90" zoomScaleNormal="90" workbookViewId="0">
      <selection activeCell="B21" sqref="B2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980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483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19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КС и ПБКЛ'!D29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КС и ПБКЛ'!I29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КС и ПБКЛ'!I30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КС и ПБКЛ'!I31</f>
        <v>256</v>
      </c>
      <c r="J26" s="46">
        <f>'Балки - КС и ПБКЛ'!J31</f>
        <v>13</v>
      </c>
      <c r="K26" s="46">
        <f t="shared" ref="K26:K27" si="1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КС и ПБКЛ'!I32</f>
        <v>3.240506329113924</v>
      </c>
      <c r="J27" s="396">
        <f>'Балки - КС и ПБКЛ'!J32</f>
        <v>380</v>
      </c>
      <c r="K27" s="46">
        <f t="shared" si="1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КС и ПБКЛ'!D37</f>
        <v>55</v>
      </c>
      <c r="E30" s="39">
        <f>E24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КС и ПБКЛ'!I37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КС и ПБКЛ'!I38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КС и ПБКЛ'!I39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КС и ПБКЛ'!I40</f>
        <v>2.7341772151898733</v>
      </c>
      <c r="J33" s="348">
        <f>'Балки - КС и ПБКЛ'!J40</f>
        <v>380</v>
      </c>
      <c r="K33" s="869">
        <f t="shared" ref="K33" si="2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КС и ПБКЛ'!D43</f>
        <v>80</v>
      </c>
      <c r="E36" s="39">
        <f>E30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КС и ПБКЛ'!I43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КС и ПБКЛ'!I44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КС и ПБКЛ'!I45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КС и ПБКЛ'!I46</f>
        <v>0</v>
      </c>
      <c r="J39" s="157">
        <f>'Балки - КС и ПБКЛ'!J46</f>
        <v>380</v>
      </c>
      <c r="K39" s="157">
        <f t="shared" ref="K39" si="3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КС и ПБКЛ'!D49</f>
        <v>19.88</v>
      </c>
      <c r="E42" s="39">
        <f>E36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КС и ПБКЛ'!I49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КС и ПБКЛ'!I50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КС и ПБКЛ'!I51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КС и ПБКЛ'!I52</f>
        <v>0</v>
      </c>
      <c r="J45" s="157">
        <f>'Балки - КС и ПБКЛ'!J52</f>
        <v>380</v>
      </c>
      <c r="K45" s="157">
        <f t="shared" ref="K45" si="4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5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5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5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>
        <v>0</v>
      </c>
      <c r="J53" s="133" t="e">
        <f>#REF!</f>
        <v>#REF!</v>
      </c>
      <c r="K53" s="124" t="e">
        <f t="shared" si="5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427F-BB77-490D-A93C-C678918401D2}">
  <sheetPr codeName="Лист13"/>
  <dimension ref="A1:XFD85"/>
  <sheetViews>
    <sheetView topLeftCell="A43" zoomScaleNormal="100" workbookViewId="0">
      <selection activeCell="I65" sqref="I65"/>
    </sheetView>
  </sheetViews>
  <sheetFormatPr baseColWidth="10" defaultColWidth="8.83203125" defaultRowHeight="15"/>
  <cols>
    <col min="2" max="2" width="45.33203125" bestFit="1" customWidth="1"/>
    <col min="4" max="4" width="9.33203125" bestFit="1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7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7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7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7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7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7">
      <c r="A6" s="1217" t="s">
        <v>981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7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7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7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7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7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7">
      <c r="A12" s="1233" t="s">
        <v>182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7" s="151" customFormat="1">
      <c r="A13" s="181" t="s">
        <v>134</v>
      </c>
      <c r="B13" s="155" t="s">
        <v>857</v>
      </c>
      <c r="C13" s="182" t="s">
        <v>63</v>
      </c>
      <c r="D13" s="216" t="e">
        <f>#REF!</f>
        <v>#REF!</v>
      </c>
      <c r="E13" s="157" t="e">
        <f>#REF!</f>
        <v>#REF!</v>
      </c>
      <c r="F13" s="40" t="e">
        <f>D13*E13</f>
        <v>#REF!</v>
      </c>
      <c r="G13" s="155" t="s">
        <v>177</v>
      </c>
      <c r="H13" s="182" t="s">
        <v>63</v>
      </c>
      <c r="I13" s="1049" t="e">
        <f>#REF!</f>
        <v>#REF!</v>
      </c>
      <c r="J13" s="210" t="e">
        <f>#REF!</f>
        <v>#REF!</v>
      </c>
      <c r="K13" s="157" t="e">
        <f t="shared" ref="K13:K16" si="0">I13*J13</f>
        <v>#REF!</v>
      </c>
      <c r="L13"/>
      <c r="M13"/>
      <c r="N13"/>
      <c r="O13"/>
      <c r="P13"/>
      <c r="Q13"/>
    </row>
    <row r="14" spans="1:17" s="151" customFormat="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882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  <c r="L14"/>
      <c r="M14"/>
      <c r="N14"/>
      <c r="O14"/>
      <c r="P14"/>
      <c r="Q14"/>
    </row>
    <row r="15" spans="1:17" s="151" customFormat="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63</v>
      </c>
      <c r="I15" s="198" t="e">
        <f>D15</f>
        <v>#REF!</v>
      </c>
      <c r="J15" s="210" t="e">
        <f>#REF!</f>
        <v>#REF!</v>
      </c>
      <c r="K15" s="157" t="e">
        <f t="shared" si="0"/>
        <v>#REF!</v>
      </c>
      <c r="L15"/>
      <c r="M15"/>
      <c r="N15"/>
      <c r="O15"/>
      <c r="P15"/>
      <c r="Q15"/>
    </row>
    <row r="16" spans="1:17" s="151" customFormat="1">
      <c r="A16" s="181"/>
      <c r="B16" s="155"/>
      <c r="C16" s="182"/>
      <c r="D16" s="157"/>
      <c r="E16" s="157"/>
      <c r="F16" s="40"/>
      <c r="G16" s="191" t="s">
        <v>166</v>
      </c>
      <c r="H16" s="425" t="s">
        <v>167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  <c r="L16"/>
      <c r="M16"/>
      <c r="N16"/>
      <c r="O16"/>
      <c r="P16"/>
      <c r="Q16"/>
    </row>
    <row r="17" spans="1:17" s="151" customFormat="1">
      <c r="A17" s="181" t="s">
        <v>174</v>
      </c>
      <c r="B17" s="155" t="s">
        <v>192</v>
      </c>
      <c r="C17" s="182" t="s">
        <v>86</v>
      </c>
      <c r="D17" s="157" t="e">
        <f>#REF!*2</f>
        <v>#REF!</v>
      </c>
      <c r="E17" s="157" t="e">
        <f>#REF!</f>
        <v>#REF!</v>
      </c>
      <c r="F17" s="40" t="e">
        <f t="shared" ref="F17:F24" si="1">D17*E17</f>
        <v>#REF!</v>
      </c>
      <c r="G17" s="185" t="s">
        <v>175</v>
      </c>
      <c r="H17" s="186" t="s">
        <v>85</v>
      </c>
      <c r="I17" s="195" t="e">
        <f>#REF!</f>
        <v>#REF!</v>
      </c>
      <c r="J17" s="186" t="e">
        <f>#REF!</f>
        <v>#REF!</v>
      </c>
      <c r="K17" s="869" t="e">
        <f t="shared" ref="K17:K22" si="2">I17*J17</f>
        <v>#REF!</v>
      </c>
      <c r="L17"/>
      <c r="M17"/>
      <c r="N17"/>
      <c r="O17"/>
      <c r="P17"/>
      <c r="Q17"/>
    </row>
    <row r="18" spans="1:17" s="151" customFormat="1">
      <c r="A18" s="181"/>
      <c r="B18" s="155"/>
      <c r="C18" s="182"/>
      <c r="D18" s="157"/>
      <c r="E18" s="157"/>
      <c r="F18" s="40"/>
      <c r="G18" s="196" t="s">
        <v>171</v>
      </c>
      <c r="H18" s="40" t="s">
        <v>85</v>
      </c>
      <c r="I18" s="197" t="e">
        <f>#REF!</f>
        <v>#REF!</v>
      </c>
      <c r="J18" s="40" t="e">
        <f>#REF!</f>
        <v>#REF!</v>
      </c>
      <c r="K18" s="157" t="e">
        <f t="shared" si="2"/>
        <v>#REF!</v>
      </c>
      <c r="L18"/>
      <c r="M18"/>
      <c r="N18"/>
      <c r="O18"/>
      <c r="P18"/>
      <c r="Q18"/>
    </row>
    <row r="19" spans="1:17" s="151" customFormat="1">
      <c r="A19" s="181"/>
      <c r="B19" s="155"/>
      <c r="C19" s="182"/>
      <c r="D19" s="157"/>
      <c r="E19" s="157"/>
      <c r="F19" s="40"/>
      <c r="G19" s="196" t="s">
        <v>176</v>
      </c>
      <c r="H19" s="40" t="s">
        <v>85</v>
      </c>
      <c r="I19" s="197" t="e">
        <f>#REF!</f>
        <v>#REF!</v>
      </c>
      <c r="J19" s="40" t="e">
        <f>#REF!</f>
        <v>#REF!</v>
      </c>
      <c r="K19" s="157" t="e">
        <f t="shared" si="2"/>
        <v>#REF!</v>
      </c>
      <c r="L19"/>
      <c r="M19"/>
      <c r="N19"/>
      <c r="O19"/>
      <c r="P19"/>
      <c r="Q19"/>
    </row>
    <row r="20" spans="1:17" s="151" customFormat="1">
      <c r="A20" s="181"/>
      <c r="B20" s="155"/>
      <c r="C20" s="182"/>
      <c r="D20" s="157"/>
      <c r="E20" s="157"/>
      <c r="F20" s="40"/>
      <c r="G20" s="185" t="s">
        <v>172</v>
      </c>
      <c r="H20" s="40" t="s">
        <v>85</v>
      </c>
      <c r="I20" s="187" t="e">
        <f>#REF!</f>
        <v>#REF!</v>
      </c>
      <c r="J20" s="40" t="e">
        <f>#REF!</f>
        <v>#REF!</v>
      </c>
      <c r="K20" s="157" t="e">
        <f t="shared" si="2"/>
        <v>#REF!</v>
      </c>
      <c r="L20"/>
      <c r="M20"/>
      <c r="N20"/>
      <c r="O20"/>
      <c r="P20"/>
      <c r="Q20"/>
    </row>
    <row r="21" spans="1:17" s="151" customFormat="1">
      <c r="A21" s="181" t="s">
        <v>194</v>
      </c>
      <c r="B21" s="155" t="s">
        <v>139</v>
      </c>
      <c r="C21" s="182" t="s">
        <v>85</v>
      </c>
      <c r="D21" s="198" t="e">
        <f>#REF!</f>
        <v>#REF!</v>
      </c>
      <c r="E21" s="157" t="e">
        <f>#REF!</f>
        <v>#REF!</v>
      </c>
      <c r="F21" s="40" t="e">
        <f t="shared" si="1"/>
        <v>#REF!</v>
      </c>
      <c r="G21" s="185" t="s">
        <v>181</v>
      </c>
      <c r="H21" s="40" t="s">
        <v>85</v>
      </c>
      <c r="I21" s="187" t="e">
        <f>#REF!</f>
        <v>#REF!</v>
      </c>
      <c r="J21" s="40" t="e">
        <f>#REF!</f>
        <v>#REF!</v>
      </c>
      <c r="K21" s="157" t="e">
        <f t="shared" si="2"/>
        <v>#REF!</v>
      </c>
      <c r="L21"/>
      <c r="M21"/>
      <c r="N21"/>
      <c r="O21"/>
      <c r="P21"/>
      <c r="Q21"/>
    </row>
    <row r="22" spans="1:17" s="151" customFormat="1">
      <c r="A22" s="181"/>
      <c r="B22" s="155"/>
      <c r="C22" s="182"/>
      <c r="D22" s="157"/>
      <c r="E22" s="157"/>
      <c r="F22" s="40"/>
      <c r="G22" s="81" t="s">
        <v>199</v>
      </c>
      <c r="H22" s="40" t="s">
        <v>85</v>
      </c>
      <c r="I22" s="187" t="e">
        <f>#REF!</f>
        <v>#REF!</v>
      </c>
      <c r="J22" s="40" t="e">
        <f>#REF!</f>
        <v>#REF!</v>
      </c>
      <c r="K22" s="157" t="e">
        <f t="shared" si="2"/>
        <v>#REF!</v>
      </c>
      <c r="L22"/>
      <c r="M22"/>
      <c r="N22"/>
      <c r="O22"/>
      <c r="P22"/>
      <c r="Q22"/>
    </row>
    <row r="23" spans="1:17" s="151" customFormat="1">
      <c r="A23" s="181"/>
      <c r="B23" s="155"/>
      <c r="C23" s="182"/>
      <c r="D23" s="157"/>
      <c r="E23" s="157"/>
      <c r="F23" s="40"/>
      <c r="G23" s="185"/>
      <c r="H23" s="40"/>
      <c r="I23" s="187"/>
      <c r="J23" s="40"/>
      <c r="K23" s="157"/>
      <c r="L23"/>
      <c r="M23"/>
      <c r="N23"/>
      <c r="O23"/>
      <c r="P23"/>
      <c r="Q23"/>
    </row>
    <row r="24" spans="1:17" s="151" customFormat="1">
      <c r="A24" s="181" t="s">
        <v>193</v>
      </c>
      <c r="B24" s="155" t="s">
        <v>142</v>
      </c>
      <c r="C24" s="182" t="s">
        <v>138</v>
      </c>
      <c r="D24" s="198" t="e">
        <f>#REF!</f>
        <v>#REF!</v>
      </c>
      <c r="E24" s="157" t="e">
        <f>#REF!</f>
        <v>#REF!</v>
      </c>
      <c r="F24" s="40" t="e">
        <f t="shared" si="1"/>
        <v>#REF!</v>
      </c>
      <c r="G24" s="185" t="s">
        <v>143</v>
      </c>
      <c r="H24" s="40" t="s">
        <v>63</v>
      </c>
      <c r="I24" s="744" t="e">
        <f>#REF!</f>
        <v>#REF!</v>
      </c>
      <c r="J24" s="40" t="e">
        <f>#REF!</f>
        <v>#REF!</v>
      </c>
      <c r="K24" s="157" t="e">
        <f>I24*J24</f>
        <v>#REF!</v>
      </c>
      <c r="L24"/>
      <c r="M24"/>
      <c r="N24"/>
      <c r="O24"/>
      <c r="P24"/>
      <c r="Q24"/>
    </row>
    <row r="25" spans="1:17" s="151" customFormat="1">
      <c r="A25" s="181"/>
      <c r="B25" s="155"/>
      <c r="C25" s="182"/>
      <c r="D25" s="157"/>
      <c r="E25" s="157"/>
      <c r="F25" s="40"/>
      <c r="G25" s="185" t="s">
        <v>173</v>
      </c>
      <c r="H25" s="40" t="s">
        <v>144</v>
      </c>
      <c r="I25" s="187" t="e">
        <f>#REF!</f>
        <v>#REF!</v>
      </c>
      <c r="J25" s="40" t="e">
        <f>#REF!</f>
        <v>#REF!</v>
      </c>
      <c r="K25" s="157" t="e">
        <f>I25*J25</f>
        <v>#REF!</v>
      </c>
      <c r="L25"/>
      <c r="M25"/>
      <c r="N25"/>
      <c r="O25"/>
      <c r="P25"/>
      <c r="Q25"/>
    </row>
    <row r="26" spans="1:17" s="151" customFormat="1">
      <c r="A26" s="181"/>
      <c r="B26" s="155"/>
      <c r="C26" s="182"/>
      <c r="D26" s="157"/>
      <c r="E26" s="157"/>
      <c r="F26" s="40"/>
      <c r="G26" s="185"/>
      <c r="H26" s="40"/>
      <c r="I26" s="187"/>
      <c r="J26" s="40"/>
      <c r="K26" s="157"/>
      <c r="L26"/>
      <c r="M26"/>
      <c r="N26"/>
      <c r="O26"/>
      <c r="P26"/>
      <c r="Q26"/>
    </row>
    <row r="27" spans="1:17" s="151" customFormat="1">
      <c r="A27" s="199"/>
      <c r="B27" s="69"/>
      <c r="C27" s="200"/>
      <c r="D27" s="1485" t="s">
        <v>145</v>
      </c>
      <c r="E27" s="1486"/>
      <c r="F27" s="86" t="e">
        <f>SUM(F13:F26)</f>
        <v>#REF!</v>
      </c>
      <c r="G27" s="201"/>
      <c r="H27" s="202"/>
      <c r="I27" s="1486" t="s">
        <v>146</v>
      </c>
      <c r="J27" s="1486"/>
      <c r="K27" s="134" t="e">
        <f>SUM(K13:K26)</f>
        <v>#REF!</v>
      </c>
      <c r="L27"/>
      <c r="M27"/>
      <c r="N27"/>
      <c r="O27"/>
      <c r="P27"/>
      <c r="Q27"/>
    </row>
    <row r="28" spans="1:17">
      <c r="A28" s="1484" t="s">
        <v>317</v>
      </c>
      <c r="B28" s="1484"/>
      <c r="C28" s="1484"/>
      <c r="D28" s="1484"/>
      <c r="E28" s="202"/>
      <c r="F28" s="202"/>
      <c r="G28" s="201"/>
      <c r="H28" s="202"/>
      <c r="I28" s="202"/>
      <c r="J28" s="202"/>
      <c r="K28" s="202"/>
    </row>
    <row r="29" spans="1:17">
      <c r="A29" s="181">
        <v>1</v>
      </c>
      <c r="B29" s="155" t="s">
        <v>147</v>
      </c>
      <c r="C29" s="182" t="s">
        <v>148</v>
      </c>
      <c r="D29" s="421">
        <f>'Балки - Этажи 45 и 95мм'!D28</f>
        <v>85.3</v>
      </c>
      <c r="E29" s="157">
        <f>'Балки - Этажи 45 и 95мм'!E28</f>
        <v>600</v>
      </c>
      <c r="F29" s="157">
        <f>D29*E29</f>
        <v>51180</v>
      </c>
      <c r="G29" s="90" t="s">
        <v>179</v>
      </c>
      <c r="H29" s="184" t="s">
        <v>63</v>
      </c>
      <c r="I29" s="491">
        <f>'Балки - Этажи 45 и 95мм'!I28</f>
        <v>1.92</v>
      </c>
      <c r="J29" s="308">
        <f>data!D132</f>
        <v>24000</v>
      </c>
      <c r="K29" s="46">
        <f>I29*J29</f>
        <v>46080</v>
      </c>
    </row>
    <row r="30" spans="1:17">
      <c r="A30" s="203"/>
      <c r="B30" s="90"/>
      <c r="C30" s="184"/>
      <c r="D30" s="491"/>
      <c r="E30" s="46"/>
      <c r="F30" s="46"/>
      <c r="G30" s="94" t="s">
        <v>87</v>
      </c>
      <c r="H30" s="95" t="s">
        <v>85</v>
      </c>
      <c r="I30" s="845">
        <f>'Балки - Этажи 45 и 95мм'!I29</f>
        <v>64</v>
      </c>
      <c r="J30" s="308">
        <f>'Балки - Этажи 45 и 95мм'!J29</f>
        <v>55</v>
      </c>
      <c r="K30" s="46">
        <f>I30*J30</f>
        <v>3520</v>
      </c>
    </row>
    <row r="31" spans="1:17">
      <c r="A31" s="203"/>
      <c r="B31" s="96"/>
      <c r="C31" s="97"/>
      <c r="D31" s="98"/>
      <c r="E31" s="98"/>
      <c r="F31" s="99"/>
      <c r="G31" s="224" t="s">
        <v>198</v>
      </c>
      <c r="H31" s="184" t="s">
        <v>85</v>
      </c>
      <c r="I31" s="491">
        <f>'Балки - Этажи 45 и 95мм'!I30</f>
        <v>256</v>
      </c>
      <c r="J31" s="46">
        <f>'Балки - Этажи 45 и 95мм'!J30</f>
        <v>8</v>
      </c>
      <c r="K31" s="46">
        <f t="shared" ref="K31:K32" si="3">I31*J31</f>
        <v>2048</v>
      </c>
    </row>
    <row r="32" spans="1:17">
      <c r="A32" s="203"/>
      <c r="B32" s="101"/>
      <c r="C32" s="97"/>
      <c r="D32" s="98"/>
      <c r="E32" s="102"/>
      <c r="F32" s="103"/>
      <c r="G32" s="390" t="s">
        <v>149</v>
      </c>
      <c r="H32" s="184" t="s">
        <v>144</v>
      </c>
      <c r="I32" s="870">
        <f>'Балки - Этажи 45 и 95мм'!I31</f>
        <v>2.7004219409282699</v>
      </c>
      <c r="J32" s="396">
        <f>'Балки - Этажи 45 и 95мм'!J31</f>
        <v>380</v>
      </c>
      <c r="K32" s="46">
        <f t="shared" si="3"/>
        <v>1026.1603375527425</v>
      </c>
    </row>
    <row r="33" spans="1:11">
      <c r="A33" s="80" t="s">
        <v>152</v>
      </c>
      <c r="B33" s="101" t="s">
        <v>878</v>
      </c>
      <c r="C33" s="97" t="s">
        <v>148</v>
      </c>
      <c r="D33" s="98">
        <f>I29/0.06*3</f>
        <v>96</v>
      </c>
      <c r="E33" s="102">
        <f>data!J129</f>
        <v>45</v>
      </c>
      <c r="F33" s="103">
        <f>D33*E33</f>
        <v>4320</v>
      </c>
      <c r="G33" s="207"/>
      <c r="H33" s="208"/>
      <c r="I33" s="157"/>
      <c r="J33" s="210"/>
      <c r="K33" s="1056"/>
    </row>
    <row r="34" spans="1:11">
      <c r="A34" s="199"/>
      <c r="B34" s="69"/>
      <c r="C34" s="200"/>
      <c r="D34" s="1485" t="s">
        <v>145</v>
      </c>
      <c r="E34" s="1486"/>
      <c r="F34" s="211">
        <f>SUM(F29:F33)</f>
        <v>55500</v>
      </c>
      <c r="G34" s="201"/>
      <c r="H34" s="202"/>
      <c r="I34" s="1486" t="s">
        <v>146</v>
      </c>
      <c r="J34" s="1486"/>
      <c r="K34" s="134">
        <f>SUM(K29:K33)</f>
        <v>52674.160337552741</v>
      </c>
    </row>
    <row r="35" spans="1:11">
      <c r="A35" s="1233" t="str">
        <f>IF('Балки - Этажи 45 и 95мм'!F35&gt;0,"2. Монтаж перекрытия второго этажа","")</f>
        <v>2. Монтаж перекрытия второго этажа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181">
        <v>1</v>
      </c>
      <c r="B36" s="155" t="s">
        <v>147</v>
      </c>
      <c r="C36" s="182" t="s">
        <v>148</v>
      </c>
      <c r="D36" s="421">
        <f>'Балки - Этажи 45 и 95мм'!D35</f>
        <v>55</v>
      </c>
      <c r="E36" s="157">
        <f>'Балки - Этажи 45 и 95мм'!E35</f>
        <v>600</v>
      </c>
      <c r="F36" s="157">
        <f>D36*E36</f>
        <v>33000</v>
      </c>
      <c r="G36" s="155" t="s">
        <v>179</v>
      </c>
      <c r="H36" s="182" t="s">
        <v>63</v>
      </c>
      <c r="I36" s="421">
        <f>'Балки - Этажи 45 и 95мм'!I35</f>
        <v>0.77999999999999992</v>
      </c>
      <c r="J36" s="210">
        <f>data!D132</f>
        <v>24000</v>
      </c>
      <c r="K36" s="157">
        <f>I36*J36</f>
        <v>18719.999999999996</v>
      </c>
    </row>
    <row r="37" spans="1:11">
      <c r="A37" s="181"/>
      <c r="B37" s="155"/>
      <c r="C37" s="182"/>
      <c r="D37" s="421"/>
      <c r="E37" s="157"/>
      <c r="F37" s="157"/>
      <c r="G37" s="175" t="s">
        <v>87</v>
      </c>
      <c r="H37" s="176" t="s">
        <v>85</v>
      </c>
      <c r="I37" s="421">
        <f>'Балки - Этажи 45 и 95мм'!I36</f>
        <v>54</v>
      </c>
      <c r="J37" s="210">
        <f>'Балки - Этажи 45 и 95мм'!J36</f>
        <v>55</v>
      </c>
      <c r="K37" s="157">
        <f>I37*J37</f>
        <v>2970</v>
      </c>
    </row>
    <row r="38" spans="1:11">
      <c r="A38" s="181"/>
      <c r="B38" s="163"/>
      <c r="C38" s="164"/>
      <c r="D38" s="103"/>
      <c r="E38" s="103"/>
      <c r="F38" s="103"/>
      <c r="G38" s="223" t="s">
        <v>198</v>
      </c>
      <c r="H38" s="182" t="s">
        <v>85</v>
      </c>
      <c r="I38" s="421">
        <f>'Балки - Этажи 45 и 95мм'!I37</f>
        <v>216</v>
      </c>
      <c r="J38" s="157">
        <f>'Балки - Этажи 45 и 95мм'!J37</f>
        <v>8</v>
      </c>
      <c r="K38" s="157">
        <f>I38*J38</f>
        <v>1728</v>
      </c>
    </row>
    <row r="39" spans="1:11">
      <c r="A39" s="212"/>
      <c r="B39" s="173"/>
      <c r="C39" s="174"/>
      <c r="D39" s="161"/>
      <c r="E39" s="161"/>
      <c r="F39" s="161"/>
      <c r="G39" s="391" t="s">
        <v>149</v>
      </c>
      <c r="H39" s="392" t="s">
        <v>144</v>
      </c>
      <c r="I39" s="871">
        <f>'Балки - Этажи 45 и 95мм'!I38</f>
        <v>2.278481012658228</v>
      </c>
      <c r="J39" s="348">
        <f>'Балки - Этажи 45 и 95мм'!J38</f>
        <v>380</v>
      </c>
      <c r="K39" s="869">
        <f t="shared" ref="K39" si="4">I39*J39</f>
        <v>865.82278481012668</v>
      </c>
    </row>
    <row r="40" spans="1:11">
      <c r="A40" s="214">
        <v>2</v>
      </c>
      <c r="B40" s="403" t="s">
        <v>878</v>
      </c>
      <c r="C40" s="164" t="s">
        <v>148</v>
      </c>
      <c r="D40" s="40">
        <f>I36/0.06*3</f>
        <v>38.999999999999993</v>
      </c>
      <c r="E40" s="40">
        <f>data!J129</f>
        <v>45</v>
      </c>
      <c r="F40" s="40">
        <f>D40*E40</f>
        <v>1754.9999999999998</v>
      </c>
      <c r="G40" s="391"/>
      <c r="H40" s="184"/>
      <c r="I40" s="870"/>
      <c r="J40" s="348"/>
      <c r="K40" s="869"/>
    </row>
    <row r="41" spans="1:11">
      <c r="A41" s="199"/>
      <c r="B41" s="69"/>
      <c r="C41" s="200"/>
      <c r="D41" s="1486" t="str">
        <f>IF('Балки - Этажи 45 и 95мм'!F35&gt;0,"Итого работы","")</f>
        <v>Итого работы</v>
      </c>
      <c r="E41" s="1486"/>
      <c r="F41" s="420">
        <f>SUM(F36:F40)</f>
        <v>34755</v>
      </c>
      <c r="G41" s="215"/>
      <c r="H41" s="202"/>
      <c r="I41" s="1487" t="str">
        <f>IF('Балки - Этажи 45 и 95мм'!F35&gt;0,"Итого материалы","")</f>
        <v>Итого материалы</v>
      </c>
      <c r="J41" s="1487"/>
      <c r="K41" s="420">
        <f>SUM(K36:K40)</f>
        <v>24283.822784810123</v>
      </c>
    </row>
    <row r="42" spans="1:11">
      <c r="A42" s="1233" t="s">
        <v>321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Этажи 45 и 95мм'!D42</f>
        <v>19.88</v>
      </c>
      <c r="E43" s="39">
        <f>'Балки - Этажи 45 и 95мм'!E42</f>
        <v>600</v>
      </c>
      <c r="F43" s="39">
        <f>D43*E43</f>
        <v>11928</v>
      </c>
      <c r="G43" s="155" t="s">
        <v>326</v>
      </c>
      <c r="H43" s="182" t="s">
        <v>63</v>
      </c>
      <c r="I43" s="421" t="e">
        <f>'Балки - Этажи 45 и 95мм'!I42</f>
        <v>#REF!</v>
      </c>
      <c r="J43" s="210">
        <f>data!D133</f>
        <v>24000</v>
      </c>
      <c r="K43" s="157" t="e">
        <f>I43*J43</f>
        <v>#REF!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Этажи 45 и 95мм'!I43</f>
        <v>0</v>
      </c>
      <c r="J44" s="210">
        <f>'Балки - Этажи 45 и 95мм'!J43</f>
        <v>55</v>
      </c>
      <c r="K44" s="157">
        <f>I44*J44</f>
        <v>0</v>
      </c>
    </row>
    <row r="45" spans="1:11">
      <c r="A45" s="74"/>
      <c r="B45" s="163"/>
      <c r="C45" s="164"/>
      <c r="D45" s="103"/>
      <c r="E45" s="103"/>
      <c r="F45" s="103"/>
      <c r="G45" s="223" t="s">
        <v>198</v>
      </c>
      <c r="H45" s="182" t="s">
        <v>85</v>
      </c>
      <c r="I45" s="421">
        <f>'Балки - Этажи 45 и 95мм'!I44</f>
        <v>0</v>
      </c>
      <c r="J45" s="157">
        <f>'Балки - Этажи 45 и 95мм'!J44</f>
        <v>8</v>
      </c>
      <c r="K45" s="157">
        <f>I45*J45</f>
        <v>0</v>
      </c>
    </row>
    <row r="46" spans="1:11">
      <c r="A46" s="172"/>
      <c r="B46" s="173"/>
      <c r="C46" s="174"/>
      <c r="D46" s="161"/>
      <c r="E46" s="161"/>
      <c r="F46" s="161"/>
      <c r="G46" s="391" t="s">
        <v>149</v>
      </c>
      <c r="H46" s="392" t="s">
        <v>144</v>
      </c>
      <c r="I46" s="871">
        <f>'Балки - Этажи 45 и 95мм'!I45</f>
        <v>0</v>
      </c>
      <c r="J46" s="348">
        <f>'Балки - Этажи 45 и 95мм'!J45</f>
        <v>380</v>
      </c>
      <c r="K46" s="869">
        <f t="shared" ref="K46" si="5">I46*J46</f>
        <v>0</v>
      </c>
    </row>
    <row r="47" spans="1:11">
      <c r="A47" s="162">
        <v>2</v>
      </c>
      <c r="B47" s="403" t="s">
        <v>878</v>
      </c>
      <c r="C47" s="164" t="s">
        <v>148</v>
      </c>
      <c r="D47" s="40" t="e">
        <f>I43/0.045*2.4</f>
        <v>#REF!</v>
      </c>
      <c r="E47" s="40">
        <f>data!J129</f>
        <v>45</v>
      </c>
      <c r="F47" s="40" t="e">
        <f>D47*E47</f>
        <v>#REF!</v>
      </c>
      <c r="G47" s="391"/>
      <c r="H47" s="184"/>
      <c r="I47" s="870"/>
      <c r="J47" s="348"/>
      <c r="K47" s="869"/>
    </row>
    <row r="48" spans="1:11" ht="14.5" customHeight="1">
      <c r="A48" s="116"/>
      <c r="B48" s="117"/>
      <c r="C48" s="66"/>
      <c r="D48" s="1253" t="s">
        <v>145</v>
      </c>
      <c r="E48" s="1253"/>
      <c r="F48" s="118" t="e">
        <f>SUM(F43:F47)</f>
        <v>#REF!</v>
      </c>
      <c r="G48" s="119"/>
      <c r="H48" s="120"/>
      <c r="I48" s="1254" t="s">
        <v>146</v>
      </c>
      <c r="J48" s="1254"/>
      <c r="K48" s="118" t="e">
        <f>SUM(K43:K47)</f>
        <v>#REF!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27.5" customHeight="1">
      <c r="A50" s="124" t="s">
        <v>134</v>
      </c>
      <c r="B50" s="188" t="s">
        <v>189</v>
      </c>
      <c r="C50" s="124" t="s">
        <v>63</v>
      </c>
      <c r="D50" s="124" t="e">
        <f>D13+I24+I29+I36+I43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6">I50*J50</f>
        <v>#REF!</v>
      </c>
    </row>
    <row r="51" spans="1:11" ht="15.5" customHeight="1">
      <c r="A51" s="124"/>
      <c r="B51" s="188"/>
      <c r="C51" s="124"/>
      <c r="D51" s="124"/>
      <c r="E51" s="126"/>
      <c r="F51" s="124"/>
      <c r="G51" s="127"/>
      <c r="H51" s="182"/>
      <c r="I51" s="421"/>
      <c r="J51" s="109"/>
      <c r="K51" s="124"/>
    </row>
    <row r="52" spans="1:11">
      <c r="A52" s="124" t="s">
        <v>152</v>
      </c>
      <c r="B52" s="750" t="s">
        <v>861</v>
      </c>
      <c r="C52" s="124" t="s">
        <v>154</v>
      </c>
      <c r="D52" s="124">
        <f>data!I127</f>
        <v>1</v>
      </c>
      <c r="E52" s="126">
        <f>data!J127</f>
        <v>2000</v>
      </c>
      <c r="F52" s="124">
        <f>D52*E52</f>
        <v>2000</v>
      </c>
      <c r="G52" s="128" t="s">
        <v>322</v>
      </c>
      <c r="H52" s="124" t="s">
        <v>155</v>
      </c>
      <c r="I52" s="129" t="e">
        <f>#REF!</f>
        <v>#REF!</v>
      </c>
      <c r="J52" s="124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24"/>
      <c r="E53" s="126"/>
      <c r="F53" s="124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33"/>
      <c r="B57" s="33"/>
      <c r="C57" s="1481"/>
      <c r="D57" s="1481"/>
      <c r="E57" s="1481"/>
      <c r="F57" s="1481"/>
      <c r="G57" s="33"/>
      <c r="H57" s="33"/>
      <c r="I57" s="33"/>
      <c r="J57" s="33"/>
      <c r="K57" s="33"/>
    </row>
    <row r="58" spans="1:11">
      <c r="A58" s="1057"/>
      <c r="B58" s="1057"/>
      <c r="C58" s="1482" t="s">
        <v>158</v>
      </c>
      <c r="D58" s="1483"/>
      <c r="E58" s="1483"/>
      <c r="F58" s="1483"/>
      <c r="G58" s="749" t="e">
        <f>F27+F34+F41+F48+F55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K27+K34+K41+K48</f>
        <v>#REF!</v>
      </c>
    </row>
    <row r="63" spans="1:11">
      <c r="C63" s="1478" t="s">
        <v>420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G62+G63+G64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G76" s="149"/>
    </row>
    <row r="77" spans="1:11 16384:16384">
      <c r="G77" s="147"/>
    </row>
    <row r="78" spans="1:11 16384:16384">
      <c r="G78" s="149"/>
    </row>
    <row r="79" spans="1:11 16384:16384">
      <c r="G79" s="147"/>
    </row>
    <row r="80" spans="1:11 16384:16384">
      <c r="G80" s="149"/>
    </row>
    <row r="81" spans="1:11">
      <c r="G81" s="147"/>
    </row>
    <row r="82" spans="1:11" s="141" customFormat="1">
      <c r="A82"/>
      <c r="B82"/>
      <c r="C82"/>
      <c r="D82"/>
      <c r="E82"/>
      <c r="F82"/>
      <c r="G82" s="149"/>
      <c r="H82"/>
      <c r="I82"/>
      <c r="J82"/>
      <c r="K82"/>
    </row>
    <row r="83" spans="1:11" s="141" customFormat="1">
      <c r="A83"/>
      <c r="B83"/>
      <c r="C83"/>
      <c r="D83"/>
      <c r="E83"/>
      <c r="F83"/>
      <c r="G83" s="147"/>
      <c r="H83"/>
      <c r="I83"/>
      <c r="J83"/>
      <c r="K83"/>
    </row>
    <row r="84" spans="1:11" s="141" customFormat="1">
      <c r="A84"/>
      <c r="B84"/>
      <c r="C84"/>
      <c r="D84"/>
      <c r="E84"/>
      <c r="F84"/>
      <c r="G84" s="36"/>
      <c r="H84"/>
      <c r="I84"/>
      <c r="J84"/>
      <c r="K84"/>
    </row>
    <row r="85" spans="1:11" s="141" customFormat="1">
      <c r="A85"/>
      <c r="B85"/>
      <c r="C85"/>
      <c r="D85"/>
      <c r="E85"/>
      <c r="F85"/>
      <c r="G85"/>
      <c r="H85"/>
      <c r="I85"/>
      <c r="J85"/>
      <c r="K85"/>
    </row>
  </sheetData>
  <mergeCells count="41"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  <mergeCell ref="D55:E55"/>
    <mergeCell ref="I55:J55"/>
    <mergeCell ref="A12:B12"/>
    <mergeCell ref="A28:D28"/>
    <mergeCell ref="D34:E34"/>
    <mergeCell ref="I34:J34"/>
    <mergeCell ref="D27:E27"/>
    <mergeCell ref="I27:J27"/>
    <mergeCell ref="A35:E35"/>
    <mergeCell ref="D41:E41"/>
    <mergeCell ref="I41:J41"/>
    <mergeCell ref="A49:B49"/>
    <mergeCell ref="A42:E42"/>
    <mergeCell ref="D48:E48"/>
    <mergeCell ref="I48:J48"/>
    <mergeCell ref="C57:F57"/>
    <mergeCell ref="C65:F65"/>
    <mergeCell ref="C66:F66"/>
    <mergeCell ref="C67:F67"/>
    <mergeCell ref="C68:F68"/>
    <mergeCell ref="C58:F58"/>
    <mergeCell ref="C59:F59"/>
    <mergeCell ref="C60:F60"/>
    <mergeCell ref="C61:F61"/>
    <mergeCell ref="C62:F62"/>
    <mergeCell ref="C64:F64"/>
    <mergeCell ref="C63:F6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8092-1D68-4213-9A30-56A53C394CFE}">
  <sheetPr codeName="Лист14"/>
  <dimension ref="A1:XFD81"/>
  <sheetViews>
    <sheetView topLeftCell="A28" workbookViewId="0">
      <selection activeCell="J57" sqref="J57"/>
    </sheetView>
  </sheetViews>
  <sheetFormatPr baseColWidth="10" defaultColWidth="8.83203125" defaultRowHeight="15"/>
  <cols>
    <col min="2" max="2" width="45.33203125" bestFit="1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7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7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7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7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7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7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7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7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7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7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7" s="151" customFormat="1">
      <c r="A11" s="1236" t="s">
        <v>183</v>
      </c>
      <c r="B11" s="1236"/>
      <c r="C11" s="1236"/>
      <c r="D11" s="1236"/>
      <c r="E11" s="88"/>
      <c r="F11" s="88"/>
      <c r="G11" s="87"/>
      <c r="H11" s="88"/>
      <c r="I11" s="88"/>
      <c r="J11" s="88"/>
      <c r="K11" s="88"/>
      <c r="L11"/>
      <c r="M11"/>
      <c r="N11"/>
      <c r="O11"/>
      <c r="P11"/>
      <c r="Q11"/>
    </row>
    <row r="12" spans="1:17" s="1058" customFormat="1">
      <c r="A12" s="181" t="s">
        <v>134</v>
      </c>
      <c r="B12" s="155" t="s">
        <v>857</v>
      </c>
      <c r="C12" s="182" t="s">
        <v>63</v>
      </c>
      <c r="D12" s="157" t="e">
        <f>#REF!</f>
        <v>#REF!</v>
      </c>
      <c r="E12" s="157" t="e">
        <f>#REF!</f>
        <v>#REF!</v>
      </c>
      <c r="F12" s="40" t="e">
        <f>D12*E12</f>
        <v>#REF!</v>
      </c>
      <c r="G12" s="155" t="s">
        <v>180</v>
      </c>
      <c r="H12" s="182" t="s">
        <v>63</v>
      </c>
      <c r="I12" s="421" t="e">
        <f>#REF!</f>
        <v>#REF!</v>
      </c>
      <c r="J12" s="210" t="e">
        <f>#REF!</f>
        <v>#REF!</v>
      </c>
      <c r="K12" s="157" t="e">
        <f>I12*J12</f>
        <v>#REF!</v>
      </c>
      <c r="L12"/>
      <c r="M12"/>
      <c r="N12"/>
      <c r="O12"/>
      <c r="P12"/>
      <c r="Q12"/>
    </row>
    <row r="13" spans="1:17" s="1058" customFormat="1" ht="30">
      <c r="A13" s="861" t="s">
        <v>877</v>
      </c>
      <c r="B13" s="866" t="s">
        <v>880</v>
      </c>
      <c r="C13" s="847" t="s">
        <v>148</v>
      </c>
      <c r="D13" s="748" t="e">
        <f>#REF!</f>
        <v>#REF!</v>
      </c>
      <c r="E13" s="748">
        <f>data!J129</f>
        <v>45</v>
      </c>
      <c r="F13" s="157" t="e">
        <f>D13*E13</f>
        <v>#REF!</v>
      </c>
      <c r="G13" s="846" t="s">
        <v>882</v>
      </c>
      <c r="H13" s="847" t="s">
        <v>85</v>
      </c>
      <c r="I13" s="848" t="e">
        <f>#REF!</f>
        <v>#REF!</v>
      </c>
      <c r="J13" s="849">
        <f>data!D145</f>
        <v>3500</v>
      </c>
      <c r="K13" s="157" t="e">
        <f t="shared" ref="K13" si="0">I13*J13</f>
        <v>#REF!</v>
      </c>
      <c r="L13"/>
      <c r="M13"/>
      <c r="N13"/>
      <c r="O13"/>
      <c r="P13"/>
      <c r="Q13"/>
    </row>
    <row r="14" spans="1:17" s="1058" customFormat="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8" t="e">
        <f>D14</f>
        <v>#REF!</v>
      </c>
      <c r="J14" s="210" t="e">
        <f>#REF!</f>
        <v>#REF!</v>
      </c>
      <c r="K14" s="157" t="e">
        <f t="shared" ref="K14:K23" si="1">I14*J14</f>
        <v>#REF!</v>
      </c>
      <c r="L14"/>
      <c r="M14"/>
      <c r="N14"/>
      <c r="O14"/>
      <c r="P14"/>
      <c r="Q14"/>
    </row>
    <row r="15" spans="1:17" s="1058" customFormat="1">
      <c r="A15" s="181"/>
      <c r="B15" s="155"/>
      <c r="C15" s="182"/>
      <c r="D15" s="157"/>
      <c r="E15" s="157"/>
      <c r="F15" s="40"/>
      <c r="G15" s="191" t="s">
        <v>166</v>
      </c>
      <c r="H15" s="425" t="s">
        <v>167</v>
      </c>
      <c r="I15" s="867" t="e">
        <f>#REF!</f>
        <v>#REF!</v>
      </c>
      <c r="J15" s="868" t="e">
        <f>#REF!</f>
        <v>#REF!</v>
      </c>
      <c r="K15" s="157" t="e">
        <f t="shared" si="1"/>
        <v>#REF!</v>
      </c>
      <c r="L15"/>
      <c r="M15"/>
      <c r="N15"/>
      <c r="O15"/>
      <c r="P15"/>
      <c r="Q15"/>
    </row>
    <row r="16" spans="1:17" s="151" customFormat="1">
      <c r="A16" s="181" t="s">
        <v>174</v>
      </c>
      <c r="B16" s="155" t="s">
        <v>192</v>
      </c>
      <c r="C16" s="182" t="s">
        <v>86</v>
      </c>
      <c r="D16" s="157" t="e">
        <f>#REF!*2</f>
        <v>#REF!</v>
      </c>
      <c r="E16" s="157" t="e">
        <f>#REF!</f>
        <v>#REF!</v>
      </c>
      <c r="F16" s="40" t="e">
        <f t="shared" ref="F16:F22" si="2">D16*E16</f>
        <v>#REF!</v>
      </c>
      <c r="G16" s="185" t="s">
        <v>175</v>
      </c>
      <c r="H16" s="186" t="s">
        <v>85</v>
      </c>
      <c r="I16" s="195" t="e">
        <f>#REF!</f>
        <v>#REF!</v>
      </c>
      <c r="J16" s="186" t="e">
        <f>#REF!</f>
        <v>#REF!</v>
      </c>
      <c r="K16" s="869" t="e">
        <f t="shared" si="1"/>
        <v>#REF!</v>
      </c>
      <c r="L16"/>
      <c r="M16"/>
      <c r="N16"/>
      <c r="O16"/>
      <c r="P16"/>
      <c r="Q16"/>
    </row>
    <row r="17" spans="1:17" s="151" customFormat="1">
      <c r="A17" s="181"/>
      <c r="B17" s="155"/>
      <c r="C17" s="182"/>
      <c r="D17" s="157"/>
      <c r="E17" s="157"/>
      <c r="F17" s="40"/>
      <c r="G17" s="196" t="s">
        <v>171</v>
      </c>
      <c r="H17" s="40" t="s">
        <v>85</v>
      </c>
      <c r="I17" s="197" t="e">
        <f>#REF!</f>
        <v>#REF!</v>
      </c>
      <c r="J17" s="40" t="e">
        <f>#REF!</f>
        <v>#REF!</v>
      </c>
      <c r="K17" s="157" t="e">
        <f t="shared" si="1"/>
        <v>#REF!</v>
      </c>
      <c r="L17"/>
      <c r="M17"/>
      <c r="N17"/>
      <c r="O17"/>
      <c r="P17"/>
      <c r="Q17"/>
    </row>
    <row r="18" spans="1:17" s="151" customFormat="1">
      <c r="A18" s="181"/>
      <c r="B18" s="155"/>
      <c r="C18" s="182"/>
      <c r="D18" s="157"/>
      <c r="E18" s="157"/>
      <c r="F18" s="40"/>
      <c r="G18" s="196" t="s">
        <v>176</v>
      </c>
      <c r="H18" s="40" t="s">
        <v>85</v>
      </c>
      <c r="I18" s="197" t="e">
        <f>#REF!</f>
        <v>#REF!</v>
      </c>
      <c r="J18" s="40" t="e">
        <f>#REF!</f>
        <v>#REF!</v>
      </c>
      <c r="K18" s="157" t="e">
        <f t="shared" si="1"/>
        <v>#REF!</v>
      </c>
      <c r="L18"/>
      <c r="M18"/>
      <c r="N18"/>
      <c r="O18"/>
      <c r="P18"/>
      <c r="Q18"/>
    </row>
    <row r="19" spans="1:17" s="151" customFormat="1">
      <c r="A19" s="181"/>
      <c r="B19" s="155"/>
      <c r="C19" s="182"/>
      <c r="D19" s="157"/>
      <c r="E19" s="157"/>
      <c r="F19" s="40"/>
      <c r="G19" s="185" t="s">
        <v>172</v>
      </c>
      <c r="H19" s="40" t="s">
        <v>85</v>
      </c>
      <c r="I19" s="187" t="e">
        <f>#REF!</f>
        <v>#REF!</v>
      </c>
      <c r="J19" s="40" t="e">
        <f>#REF!</f>
        <v>#REF!</v>
      </c>
      <c r="K19" s="157" t="e">
        <f t="shared" si="1"/>
        <v>#REF!</v>
      </c>
      <c r="L19"/>
      <c r="M19"/>
      <c r="N19"/>
      <c r="O19"/>
      <c r="P19"/>
      <c r="Q19"/>
    </row>
    <row r="20" spans="1:17" s="151" customFormat="1">
      <c r="A20" s="181" t="s">
        <v>194</v>
      </c>
      <c r="B20" s="155" t="s">
        <v>139</v>
      </c>
      <c r="C20" s="182" t="s">
        <v>85</v>
      </c>
      <c r="D20" s="190" t="e">
        <f>#REF!</f>
        <v>#REF!</v>
      </c>
      <c r="E20" s="157" t="e">
        <f>#REF!</f>
        <v>#REF!</v>
      </c>
      <c r="F20" s="40" t="e">
        <f t="shared" si="2"/>
        <v>#REF!</v>
      </c>
      <c r="G20" s="185" t="s">
        <v>181</v>
      </c>
      <c r="H20" s="40" t="s">
        <v>85</v>
      </c>
      <c r="I20" s="187" t="e">
        <f>#REF!</f>
        <v>#REF!</v>
      </c>
      <c r="J20" s="40" t="e">
        <f>#REF!</f>
        <v>#REF!</v>
      </c>
      <c r="K20" s="157" t="e">
        <f t="shared" si="1"/>
        <v>#REF!</v>
      </c>
      <c r="L20"/>
      <c r="M20"/>
      <c r="N20"/>
      <c r="O20"/>
      <c r="P20"/>
      <c r="Q20"/>
    </row>
    <row r="21" spans="1:17" s="151" customFormat="1">
      <c r="A21" s="181"/>
      <c r="B21" s="155"/>
      <c r="C21" s="182"/>
      <c r="D21" s="157"/>
      <c r="E21" s="157"/>
      <c r="F21" s="40"/>
      <c r="G21" s="81" t="s">
        <v>199</v>
      </c>
      <c r="H21" s="40" t="s">
        <v>85</v>
      </c>
      <c r="I21" s="187" t="e">
        <f>#REF!</f>
        <v>#REF!</v>
      </c>
      <c r="J21" s="40" t="e">
        <f>#REF!</f>
        <v>#REF!</v>
      </c>
      <c r="K21" s="157" t="e">
        <f t="shared" si="1"/>
        <v>#REF!</v>
      </c>
      <c r="L21"/>
      <c r="M21"/>
      <c r="N21"/>
      <c r="O21"/>
      <c r="P21"/>
      <c r="Q21"/>
    </row>
    <row r="22" spans="1:17" s="151" customFormat="1">
      <c r="A22" s="181" t="s">
        <v>193</v>
      </c>
      <c r="B22" s="155" t="s">
        <v>142</v>
      </c>
      <c r="C22" s="182" t="s">
        <v>138</v>
      </c>
      <c r="D22" s="190" t="e">
        <f>#REF!</f>
        <v>#REF!</v>
      </c>
      <c r="E22" s="157" t="e">
        <f>#REF!</f>
        <v>#REF!</v>
      </c>
      <c r="F22" s="40" t="e">
        <f t="shared" si="2"/>
        <v>#REF!</v>
      </c>
      <c r="G22" s="185" t="s">
        <v>143</v>
      </c>
      <c r="H22" s="40" t="s">
        <v>63</v>
      </c>
      <c r="I22" s="744" t="e">
        <f>#REF!</f>
        <v>#REF!</v>
      </c>
      <c r="J22" s="40" t="e">
        <f>#REF!</f>
        <v>#REF!</v>
      </c>
      <c r="K22" s="157" t="e">
        <f t="shared" si="1"/>
        <v>#REF!</v>
      </c>
      <c r="L22"/>
      <c r="M22"/>
      <c r="N22"/>
      <c r="O22"/>
      <c r="P22"/>
      <c r="Q22"/>
    </row>
    <row r="23" spans="1:17" s="151" customFormat="1">
      <c r="A23" s="181"/>
      <c r="B23" s="155"/>
      <c r="C23" s="182"/>
      <c r="D23" s="157"/>
      <c r="E23" s="157"/>
      <c r="F23" s="40"/>
      <c r="G23" s="185" t="s">
        <v>173</v>
      </c>
      <c r="H23" s="40" t="s">
        <v>144</v>
      </c>
      <c r="I23" s="187" t="e">
        <f>#REF!</f>
        <v>#REF!</v>
      </c>
      <c r="J23" s="40" t="e">
        <f>#REF!</f>
        <v>#REF!</v>
      </c>
      <c r="K23" s="157" t="e">
        <f t="shared" si="1"/>
        <v>#REF!</v>
      </c>
      <c r="L23"/>
      <c r="M23"/>
      <c r="N23"/>
      <c r="O23"/>
      <c r="P23"/>
      <c r="Q23"/>
    </row>
    <row r="24" spans="1:17" s="151" customFormat="1">
      <c r="A24" s="181"/>
      <c r="B24" s="155"/>
      <c r="C24" s="182"/>
      <c r="D24" s="157"/>
      <c r="E24" s="157"/>
      <c r="F24" s="40"/>
      <c r="G24" s="185"/>
      <c r="H24" s="40"/>
      <c r="I24" s="187"/>
      <c r="J24" s="40"/>
      <c r="K24" s="157"/>
      <c r="L24"/>
      <c r="M24"/>
      <c r="N24"/>
      <c r="O24"/>
      <c r="P24"/>
      <c r="Q24"/>
    </row>
    <row r="25" spans="1:17" s="151" customFormat="1">
      <c r="A25" s="199"/>
      <c r="B25" s="69"/>
      <c r="C25" s="200"/>
      <c r="D25" s="1485" t="s">
        <v>145</v>
      </c>
      <c r="E25" s="1486"/>
      <c r="F25" s="86" t="e">
        <f>SUM(F12:F24)</f>
        <v>#REF!</v>
      </c>
      <c r="G25" s="201"/>
      <c r="H25" s="202"/>
      <c r="I25" s="1486" t="s">
        <v>146</v>
      </c>
      <c r="J25" s="1486"/>
      <c r="K25" s="134" t="e">
        <f>SUM(K12:K24)</f>
        <v>#REF!</v>
      </c>
      <c r="L25"/>
      <c r="M25"/>
      <c r="N25"/>
      <c r="O25"/>
      <c r="P25"/>
      <c r="Q25"/>
    </row>
    <row r="26" spans="1:17">
      <c r="A26" s="1236" t="s">
        <v>317</v>
      </c>
      <c r="B26" s="1236"/>
      <c r="C26" s="1236"/>
      <c r="D26" s="1236"/>
      <c r="E26" s="88"/>
      <c r="F26" s="88"/>
      <c r="G26" s="87"/>
      <c r="H26" s="88"/>
      <c r="I26" s="88"/>
      <c r="J26" s="88"/>
      <c r="K26" s="88"/>
    </row>
    <row r="27" spans="1:17">
      <c r="A27" s="203" t="s">
        <v>134</v>
      </c>
      <c r="B27" s="90" t="s">
        <v>147</v>
      </c>
      <c r="C27" s="184" t="s">
        <v>148</v>
      </c>
      <c r="D27" s="491">
        <f>'Балки - Этажи 45 и 95мм'!D28</f>
        <v>85.3</v>
      </c>
      <c r="E27" s="46">
        <f>'Балки - Этажи 45 и 95мм'!E28</f>
        <v>600</v>
      </c>
      <c r="F27" s="46">
        <f>D27*E27</f>
        <v>51180</v>
      </c>
      <c r="G27" s="90" t="s">
        <v>179</v>
      </c>
      <c r="H27" s="184" t="s">
        <v>63</v>
      </c>
      <c r="I27" s="491">
        <f>балки!K6</f>
        <v>1.92</v>
      </c>
      <c r="J27" s="308">
        <f>'Балки - Этажи 45 и 95мм'!J28</f>
        <v>24000</v>
      </c>
      <c r="K27" s="46">
        <f>I27*J27</f>
        <v>46080</v>
      </c>
    </row>
    <row r="28" spans="1:17">
      <c r="A28" s="203"/>
      <c r="B28" s="90"/>
      <c r="C28" s="184"/>
      <c r="D28" s="491"/>
      <c r="E28" s="46"/>
      <c r="F28" s="46"/>
      <c r="G28" s="94" t="s">
        <v>87</v>
      </c>
      <c r="H28" s="95" t="s">
        <v>85</v>
      </c>
      <c r="I28" s="845">
        <f>балки!I6*2</f>
        <v>64</v>
      </c>
      <c r="J28" s="308">
        <f>'Балки - Этажи 45 и 95мм'!J29</f>
        <v>55</v>
      </c>
      <c r="K28" s="46">
        <f>I28*J28</f>
        <v>3520</v>
      </c>
    </row>
    <row r="29" spans="1:17">
      <c r="A29" s="203"/>
      <c r="B29" s="96"/>
      <c r="C29" s="97"/>
      <c r="D29" s="98"/>
      <c r="E29" s="98"/>
      <c r="F29" s="99"/>
      <c r="G29" s="224" t="s">
        <v>198</v>
      </c>
      <c r="H29" s="184" t="s">
        <v>85</v>
      </c>
      <c r="I29" s="491">
        <f>'Балки - Этажи 45 и 95мм'!I30</f>
        <v>256</v>
      </c>
      <c r="J29" s="46">
        <f>'Балки - Этажи 45 и 95мм'!J30</f>
        <v>8</v>
      </c>
      <c r="K29" s="46">
        <f t="shared" ref="K29:K30" si="3">I29*J29</f>
        <v>2048</v>
      </c>
    </row>
    <row r="30" spans="1:17">
      <c r="A30" s="203" t="s">
        <v>152</v>
      </c>
      <c r="B30" s="101" t="s">
        <v>878</v>
      </c>
      <c r="C30" s="873" t="s">
        <v>148</v>
      </c>
      <c r="D30" s="45">
        <f>I27/0.06*3</f>
        <v>96</v>
      </c>
      <c r="E30" s="102">
        <f>data!J129</f>
        <v>45</v>
      </c>
      <c r="F30" s="103">
        <f>D30*E30</f>
        <v>4320</v>
      </c>
      <c r="G30" s="390" t="s">
        <v>149</v>
      </c>
      <c r="H30" s="184" t="s">
        <v>144</v>
      </c>
      <c r="I30" s="870">
        <f>'Балки - Этажи 45 и 95мм'!I31</f>
        <v>2.7004219409282699</v>
      </c>
      <c r="J30" s="396">
        <f>'Балки - Этажи 45 и 95мм'!J31</f>
        <v>380</v>
      </c>
      <c r="K30" s="46">
        <f t="shared" si="3"/>
        <v>1026.1603375527425</v>
      </c>
    </row>
    <row r="31" spans="1:17">
      <c r="A31" s="199"/>
      <c r="B31" s="69"/>
      <c r="C31" s="200"/>
      <c r="D31" s="1485" t="s">
        <v>145</v>
      </c>
      <c r="E31" s="1486"/>
      <c r="F31" s="211">
        <f>SUM(F27:F30)</f>
        <v>55500</v>
      </c>
      <c r="G31" s="201"/>
      <c r="H31" s="202"/>
      <c r="I31" s="1486" t="s">
        <v>146</v>
      </c>
      <c r="J31" s="1486"/>
      <c r="K31" s="134">
        <f>SUM(K27:K30)</f>
        <v>52674.160337552741</v>
      </c>
    </row>
    <row r="32" spans="1:17">
      <c r="A32" s="1233" t="s">
        <v>318</v>
      </c>
      <c r="B32" s="1233"/>
      <c r="C32" s="1233"/>
      <c r="D32" s="1233"/>
      <c r="E32" s="1233"/>
      <c r="F32" s="160"/>
      <c r="G32" s="1029"/>
      <c r="H32" s="120"/>
      <c r="I32" s="1052"/>
      <c r="J32" s="1048"/>
      <c r="K32" s="67"/>
    </row>
    <row r="33" spans="1:11">
      <c r="A33" s="74" t="s">
        <v>134</v>
      </c>
      <c r="B33" s="75" t="s">
        <v>147</v>
      </c>
      <c r="C33" s="38" t="s">
        <v>148</v>
      </c>
      <c r="D33" s="189">
        <f>'Балки - Этажи 45 и 95мм'!D35</f>
        <v>55</v>
      </c>
      <c r="E33" s="39">
        <f>'Балки - Этажи 45 и 95мм'!E35</f>
        <v>600</v>
      </c>
      <c r="F33" s="39">
        <f>D33*E33</f>
        <v>33000</v>
      </c>
      <c r="G33" s="155" t="s">
        <v>179</v>
      </c>
      <c r="H33" s="182" t="s">
        <v>63</v>
      </c>
      <c r="I33" s="421">
        <f>'Балки - Этажи 45 и 95мм'!I35</f>
        <v>0.77999999999999992</v>
      </c>
      <c r="J33" s="210">
        <f>'Балки - Этажи 45 и 95мм'!J35</f>
        <v>24000</v>
      </c>
      <c r="K33" s="157">
        <f>I33*J33</f>
        <v>18719.999999999996</v>
      </c>
    </row>
    <row r="34" spans="1:11">
      <c r="A34" s="74"/>
      <c r="B34" s="75"/>
      <c r="C34" s="38"/>
      <c r="D34" s="189"/>
      <c r="E34" s="39"/>
      <c r="F34" s="39"/>
      <c r="G34" s="175" t="s">
        <v>87</v>
      </c>
      <c r="H34" s="176" t="s">
        <v>85</v>
      </c>
      <c r="I34" s="421">
        <f>'Балки - Этажи 45 и 95мм'!I36</f>
        <v>54</v>
      </c>
      <c r="J34" s="210">
        <f>'Балки - Этажи 45 и 95мм'!J36</f>
        <v>55</v>
      </c>
      <c r="K34" s="157">
        <f>I34*J34</f>
        <v>2970</v>
      </c>
    </row>
    <row r="35" spans="1:11">
      <c r="A35" s="74"/>
      <c r="B35" s="163"/>
      <c r="C35" s="164"/>
      <c r="D35" s="103"/>
      <c r="E35" s="103"/>
      <c r="F35" s="103"/>
      <c r="G35" s="223" t="s">
        <v>198</v>
      </c>
      <c r="H35" s="182" t="s">
        <v>85</v>
      </c>
      <c r="I35" s="421">
        <f>'Балки - Этажи 45 и 95мм'!I37</f>
        <v>216</v>
      </c>
      <c r="J35" s="157">
        <f>'Балки - Этажи 45 и 95мм'!J37</f>
        <v>8</v>
      </c>
      <c r="K35" s="157">
        <f>I35*J35</f>
        <v>1728</v>
      </c>
    </row>
    <row r="36" spans="1:11">
      <c r="A36" s="214">
        <v>2</v>
      </c>
      <c r="B36" s="403" t="s">
        <v>878</v>
      </c>
      <c r="C36" s="164" t="s">
        <v>148</v>
      </c>
      <c r="D36" s="40">
        <f>I33/0.06*3</f>
        <v>38.999999999999993</v>
      </c>
      <c r="E36" s="40">
        <f>data!J129</f>
        <v>45</v>
      </c>
      <c r="F36" s="40">
        <f>D36*E36</f>
        <v>1754.9999999999998</v>
      </c>
      <c r="G36" s="391" t="s">
        <v>149</v>
      </c>
      <c r="H36" s="392" t="s">
        <v>144</v>
      </c>
      <c r="I36" s="871">
        <f>'Балки - Этажи 45 и 95мм'!I38</f>
        <v>2.278481012658228</v>
      </c>
      <c r="J36" s="348">
        <f>'Балки - Этажи 45 и 95мм'!J38</f>
        <v>380</v>
      </c>
      <c r="K36" s="869">
        <f t="shared" ref="K36" si="4">I36*J36</f>
        <v>865.82278481012668</v>
      </c>
    </row>
    <row r="37" spans="1:11" ht="14.5" customHeight="1">
      <c r="A37" s="116"/>
      <c r="B37" s="117"/>
      <c r="C37" s="66"/>
      <c r="D37" s="1253" t="s">
        <v>145</v>
      </c>
      <c r="E37" s="1253"/>
      <c r="F37" s="132">
        <f>SUM(F33:F36)</f>
        <v>34755</v>
      </c>
      <c r="G37" s="119"/>
      <c r="H37" s="120"/>
      <c r="I37" s="1254" t="s">
        <v>146</v>
      </c>
      <c r="J37" s="1254"/>
      <c r="K37" s="132">
        <f>SUM(K33:K36)</f>
        <v>24283.822784810123</v>
      </c>
    </row>
    <row r="38" spans="1:11" ht="14.5" customHeight="1">
      <c r="A38" s="1488" t="s">
        <v>321</v>
      </c>
      <c r="B38" s="1233"/>
      <c r="C38" s="66"/>
      <c r="D38" s="121"/>
      <c r="E38" s="121"/>
      <c r="F38" s="122"/>
      <c r="G38" s="119"/>
      <c r="H38" s="120"/>
      <c r="I38" s="123"/>
      <c r="J38" s="123"/>
      <c r="K38" s="122"/>
    </row>
    <row r="39" spans="1:11">
      <c r="A39" s="74" t="s">
        <v>134</v>
      </c>
      <c r="B39" s="75" t="s">
        <v>147</v>
      </c>
      <c r="C39" s="38" t="s">
        <v>148</v>
      </c>
      <c r="D39" s="189">
        <f>'Балки - Этажи 45 и 95мм'!D42</f>
        <v>19.88</v>
      </c>
      <c r="E39" s="39">
        <f>'Балки - Этажи 45 и 95мм'!E42</f>
        <v>600</v>
      </c>
      <c r="F39" s="387">
        <f>D39*E39</f>
        <v>11928</v>
      </c>
      <c r="G39" s="155" t="s">
        <v>326</v>
      </c>
      <c r="H39" s="182" t="s">
        <v>63</v>
      </c>
      <c r="I39" s="421" t="e">
        <f>'Балки - Этажи 45 и 95мм'!I42</f>
        <v>#REF!</v>
      </c>
      <c r="J39" s="210">
        <f>'Балки - Этажи 45 и 95мм'!J42</f>
        <v>24000</v>
      </c>
      <c r="K39" s="157" t="e">
        <f>I39*J39</f>
        <v>#REF!</v>
      </c>
    </row>
    <row r="40" spans="1:11">
      <c r="A40" s="74"/>
      <c r="B40" s="75"/>
      <c r="C40" s="38"/>
      <c r="D40" s="189"/>
      <c r="E40" s="39"/>
      <c r="F40" s="387"/>
      <c r="G40" s="175" t="s">
        <v>87</v>
      </c>
      <c r="H40" s="176" t="s">
        <v>85</v>
      </c>
      <c r="I40" s="421">
        <f>'Балки - Этажи 45 и 95мм'!I43</f>
        <v>0</v>
      </c>
      <c r="J40" s="210">
        <f>'Балки - Этажи 45 и 95мм'!J43</f>
        <v>55</v>
      </c>
      <c r="K40" s="157">
        <f>I40*J40</f>
        <v>0</v>
      </c>
    </row>
    <row r="41" spans="1:11">
      <c r="A41" s="167"/>
      <c r="B41" s="177"/>
      <c r="C41" s="178"/>
      <c r="D41" s="179"/>
      <c r="E41" s="179"/>
      <c r="F41" s="388"/>
      <c r="G41" s="223" t="s">
        <v>198</v>
      </c>
      <c r="H41" s="182" t="s">
        <v>85</v>
      </c>
      <c r="I41" s="421">
        <f>'Балки - Этажи 45 и 95мм'!I44</f>
        <v>0</v>
      </c>
      <c r="J41" s="157">
        <f>'Балки - Этажи 45 и 95мм'!J44</f>
        <v>8</v>
      </c>
      <c r="K41" s="157">
        <f>I41*J41</f>
        <v>0</v>
      </c>
    </row>
    <row r="42" spans="1:11">
      <c r="A42" s="162" t="s">
        <v>152</v>
      </c>
      <c r="B42" s="403" t="s">
        <v>878</v>
      </c>
      <c r="C42" s="164" t="s">
        <v>148</v>
      </c>
      <c r="D42" s="40" t="e">
        <f>I39/0.045*2.4</f>
        <v>#REF!</v>
      </c>
      <c r="E42" s="40">
        <f>data!J129</f>
        <v>45</v>
      </c>
      <c r="F42" s="40" t="e">
        <f>D42*E42</f>
        <v>#REF!</v>
      </c>
      <c r="G42" s="223" t="s">
        <v>149</v>
      </c>
      <c r="H42" s="182" t="s">
        <v>144</v>
      </c>
      <c r="I42" s="584">
        <f>'Балки - Этажи 45 и 95мм'!I45</f>
        <v>0</v>
      </c>
      <c r="J42" s="157">
        <f>'Балки - Этажи 45 и 95мм'!J45</f>
        <v>380</v>
      </c>
      <c r="K42" s="157">
        <f t="shared" ref="K42" si="5">I42*J42</f>
        <v>0</v>
      </c>
    </row>
    <row r="43" spans="1:11">
      <c r="A43" s="116"/>
      <c r="B43" s="117"/>
      <c r="C43" s="66"/>
      <c r="D43" s="1253" t="s">
        <v>145</v>
      </c>
      <c r="E43" s="1253"/>
      <c r="F43" s="118" t="e">
        <f>SUM(F39:F42)</f>
        <v>#REF!</v>
      </c>
      <c r="G43" s="119"/>
      <c r="H43" s="120"/>
      <c r="I43" s="1254" t="s">
        <v>146</v>
      </c>
      <c r="J43" s="1254"/>
      <c r="K43" s="118" t="e">
        <f>SUM(K39:K42)</f>
        <v>#REF!</v>
      </c>
    </row>
    <row r="44" spans="1:11">
      <c r="A44" s="1239" t="s">
        <v>195</v>
      </c>
      <c r="B44" s="1239"/>
      <c r="C44" s="120"/>
      <c r="D44" s="121"/>
      <c r="E44" s="121"/>
      <c r="F44" s="122"/>
      <c r="G44" s="119"/>
      <c r="H44" s="120"/>
      <c r="I44" s="123"/>
      <c r="J44" s="123"/>
      <c r="K44" s="122"/>
    </row>
    <row r="45" spans="1:11" ht="27.5" customHeight="1">
      <c r="A45" s="124" t="s">
        <v>134</v>
      </c>
      <c r="B45" s="188" t="s">
        <v>189</v>
      </c>
      <c r="C45" s="124" t="s">
        <v>63</v>
      </c>
      <c r="D45" s="124" t="e">
        <f>D12+I22+I27+I33+I39</f>
        <v>#REF!</v>
      </c>
      <c r="E45" s="126" t="e">
        <f>#REF!</f>
        <v>#REF!</v>
      </c>
      <c r="F45" s="124" t="e">
        <f>D45*E45</f>
        <v>#REF!</v>
      </c>
      <c r="G45" s="127" t="s">
        <v>151</v>
      </c>
      <c r="H45" s="182" t="s">
        <v>155</v>
      </c>
      <c r="I45" s="421" t="e">
        <f>#REF!</f>
        <v>#REF!</v>
      </c>
      <c r="J45" s="109" t="e">
        <f>#REF!</f>
        <v>#REF!</v>
      </c>
      <c r="K45" s="124" t="e">
        <f t="shared" ref="K45:K49" si="6">I45*J45</f>
        <v>#REF!</v>
      </c>
    </row>
    <row r="46" spans="1:11" ht="14.5" customHeight="1">
      <c r="A46" s="124"/>
      <c r="B46" s="188"/>
      <c r="C46" s="124"/>
      <c r="D46" s="124"/>
      <c r="E46" s="126"/>
      <c r="F46" s="124"/>
      <c r="G46" s="127"/>
      <c r="H46" s="182"/>
      <c r="I46" s="421"/>
      <c r="J46" s="109"/>
      <c r="K46" s="124"/>
    </row>
    <row r="47" spans="1:11">
      <c r="A47" s="124" t="s">
        <v>152</v>
      </c>
      <c r="B47" s="750" t="s">
        <v>861</v>
      </c>
      <c r="C47" s="124" t="s">
        <v>154</v>
      </c>
      <c r="D47" s="124">
        <f>data!I127</f>
        <v>1</v>
      </c>
      <c r="E47" s="126">
        <f>data!J127</f>
        <v>2000</v>
      </c>
      <c r="F47" s="124">
        <f>D47*E47</f>
        <v>2000</v>
      </c>
      <c r="G47" s="128" t="s">
        <v>322</v>
      </c>
      <c r="H47" s="124" t="s">
        <v>155</v>
      </c>
      <c r="I47" s="129" t="e">
        <f>#REF!</f>
        <v>#REF!</v>
      </c>
      <c r="J47" s="124" t="e">
        <f>#REF!</f>
        <v>#REF!</v>
      </c>
      <c r="K47" s="124" t="e">
        <f t="shared" si="6"/>
        <v>#REF!</v>
      </c>
    </row>
    <row r="48" spans="1:11">
      <c r="A48" s="124"/>
      <c r="B48" s="125"/>
      <c r="C48" s="124"/>
      <c r="D48" s="130"/>
      <c r="E48" s="131"/>
      <c r="F48" s="132"/>
      <c r="G48" s="127" t="s">
        <v>197</v>
      </c>
      <c r="H48" s="124" t="s">
        <v>156</v>
      </c>
      <c r="I48" s="129" t="e">
        <f>#REF!</f>
        <v>#REF!</v>
      </c>
      <c r="J48" s="124" t="e">
        <f>#REF!</f>
        <v>#REF!</v>
      </c>
      <c r="K48" s="124" t="e">
        <f t="shared" si="6"/>
        <v>#REF!</v>
      </c>
    </row>
    <row r="49" spans="1:11 16384:16384">
      <c r="A49" s="124"/>
      <c r="B49" s="125"/>
      <c r="C49" s="124"/>
      <c r="D49" s="130"/>
      <c r="E49" s="131"/>
      <c r="F49" s="132"/>
      <c r="G49" s="125" t="s">
        <v>196</v>
      </c>
      <c r="H49" s="124" t="s">
        <v>156</v>
      </c>
      <c r="I49" s="133" t="e">
        <f>#REF!</f>
        <v>#REF!</v>
      </c>
      <c r="J49" s="133" t="e">
        <f>#REF!</f>
        <v>#REF!</v>
      </c>
      <c r="K49" s="124" t="e">
        <f t="shared" si="6"/>
        <v>#REF!</v>
      </c>
    </row>
    <row r="50" spans="1:11 16384:16384">
      <c r="A50" s="120"/>
      <c r="B50" s="119"/>
      <c r="C50" s="120"/>
      <c r="D50" s="1256" t="s">
        <v>145</v>
      </c>
      <c r="E50" s="1257"/>
      <c r="F50" s="132" t="e">
        <f>SUM(F45:F49)</f>
        <v>#REF!</v>
      </c>
      <c r="G50" s="119"/>
      <c r="H50" s="120"/>
      <c r="I50" s="1254" t="s">
        <v>157</v>
      </c>
      <c r="J50" s="1243"/>
      <c r="K50" s="132" t="e">
        <f>SUM(K45:K49)</f>
        <v>#REF!</v>
      </c>
    </row>
    <row r="51" spans="1:11 16384:16384">
      <c r="A51" s="120"/>
      <c r="B51" s="119"/>
      <c r="C51" s="120"/>
      <c r="D51" s="121"/>
      <c r="E51" s="121"/>
      <c r="F51" s="122"/>
      <c r="G51" s="119"/>
      <c r="H51" s="120"/>
      <c r="I51" s="123"/>
      <c r="J51" s="123"/>
      <c r="K51" s="122"/>
    </row>
    <row r="53" spans="1:11 16384:16384">
      <c r="C53" s="1204" t="s">
        <v>158</v>
      </c>
      <c r="D53" s="1204"/>
      <c r="E53" s="1204"/>
      <c r="F53" s="1204"/>
      <c r="G53" s="423" t="e">
        <f>F25+F31+F37+F43+F50</f>
        <v>#REF!</v>
      </c>
    </row>
    <row r="54" spans="1:11 16384:16384">
      <c r="C54" s="1204" t="s">
        <v>159</v>
      </c>
      <c r="D54" s="1204"/>
      <c r="E54" s="1204"/>
      <c r="F54" s="1204"/>
      <c r="G54" s="423" t="e">
        <f>G53*0.03</f>
        <v>#REF!</v>
      </c>
    </row>
    <row r="55" spans="1:11 16384:16384">
      <c r="C55" s="1204" t="s">
        <v>160</v>
      </c>
      <c r="D55" s="1204"/>
      <c r="E55" s="1204"/>
      <c r="F55" s="1204"/>
      <c r="G55" s="423" t="e">
        <f>G53*0.16</f>
        <v>#REF!</v>
      </c>
    </row>
    <row r="56" spans="1:11 16384:16384">
      <c r="C56" s="1204" t="s">
        <v>20</v>
      </c>
      <c r="D56" s="1204"/>
      <c r="E56" s="1204"/>
      <c r="F56" s="1204"/>
      <c r="G56" s="423" t="e">
        <f>G53+G54+G55</f>
        <v>#REF!</v>
      </c>
    </row>
    <row r="57" spans="1:11 16384:16384">
      <c r="C57" s="1204" t="s">
        <v>161</v>
      </c>
      <c r="D57" s="1204"/>
      <c r="E57" s="1204"/>
      <c r="F57" s="1204"/>
      <c r="G57" s="423" t="e">
        <f>K25+K31+K37+K43</f>
        <v>#REF!</v>
      </c>
    </row>
    <row r="58" spans="1:11 16384:16384">
      <c r="C58" s="1478" t="s">
        <v>863</v>
      </c>
      <c r="D58" s="1479"/>
      <c r="E58" s="1479"/>
      <c r="F58" s="1480"/>
      <c r="G58" s="751" t="e">
        <f>G57*0.035</f>
        <v>#REF!</v>
      </c>
    </row>
    <row r="59" spans="1:11 16384:16384">
      <c r="C59" s="1204" t="s">
        <v>162</v>
      </c>
      <c r="D59" s="1204"/>
      <c r="E59" s="1204"/>
      <c r="F59" s="1204"/>
      <c r="G59" s="423" t="e">
        <f>K50</f>
        <v>#REF!</v>
      </c>
    </row>
    <row r="60" spans="1:11 16384:16384">
      <c r="C60" s="1204" t="s">
        <v>20</v>
      </c>
      <c r="D60" s="1204"/>
      <c r="E60" s="1204"/>
      <c r="F60" s="1204"/>
      <c r="G60" s="423" t="e">
        <f>G57+G58+G59</f>
        <v>#REF!</v>
      </c>
    </row>
    <row r="61" spans="1:11 16384:16384">
      <c r="C61" s="1244" t="s">
        <v>163</v>
      </c>
      <c r="D61" s="1244"/>
      <c r="E61" s="1244"/>
      <c r="F61" s="1244"/>
      <c r="G61" s="424" t="e">
        <f>G56+G60</f>
        <v>#REF!</v>
      </c>
    </row>
    <row r="62" spans="1:11 16384:16384" ht="17" thickBot="1">
      <c r="C62" s="1245" t="s">
        <v>164</v>
      </c>
      <c r="D62" s="1245"/>
      <c r="E62" s="1245"/>
      <c r="F62" s="1245"/>
      <c r="G62" s="431" t="e">
        <f>G53*0.03</f>
        <v>#REF!</v>
      </c>
      <c r="I62" s="139"/>
      <c r="J62" s="140"/>
    </row>
    <row r="63" spans="1:11 16384:16384" ht="16" thickBot="1">
      <c r="C63" s="1246" t="s">
        <v>165</v>
      </c>
      <c r="D63" s="1247"/>
      <c r="E63" s="1247"/>
      <c r="F63" s="1248"/>
      <c r="G63" s="432" t="e">
        <f>G61+G62</f>
        <v>#REF!</v>
      </c>
      <c r="XFD63" s="36" t="e">
        <f>SUM(A63:XFC63)</f>
        <v>#REF!</v>
      </c>
    </row>
    <row r="64" spans="1:11 16384:16384">
      <c r="A64" s="141"/>
      <c r="B64" s="141"/>
      <c r="H64" s="141"/>
      <c r="I64" s="141"/>
      <c r="J64" s="141"/>
      <c r="K64" s="141"/>
    </row>
    <row r="65" spans="1:11">
      <c r="A65" s="141"/>
      <c r="B65" s="141"/>
      <c r="C65" s="141"/>
      <c r="D65" s="141"/>
      <c r="E65" s="141"/>
      <c r="F65" s="142"/>
      <c r="G65" s="143"/>
      <c r="H65" s="141"/>
      <c r="I65" s="141"/>
      <c r="J65" s="141"/>
      <c r="K65" s="141"/>
    </row>
    <row r="66" spans="1:11">
      <c r="A66" s="141"/>
      <c r="B66" s="141"/>
      <c r="C66" s="141"/>
      <c r="D66" s="141"/>
      <c r="E66" s="141"/>
      <c r="F66" s="142"/>
      <c r="G66" s="144"/>
      <c r="H66" s="141"/>
      <c r="I66" s="141"/>
      <c r="J66" s="141"/>
      <c r="K66" s="141"/>
    </row>
    <row r="67" spans="1:11" ht="14" customHeight="1">
      <c r="A67" s="141"/>
      <c r="B67" s="141"/>
      <c r="C67" s="141"/>
      <c r="D67" s="141"/>
      <c r="E67" s="141"/>
      <c r="F67" s="142"/>
      <c r="G67" s="145"/>
      <c r="H67" s="141"/>
      <c r="I67" s="141"/>
      <c r="J67" s="141"/>
      <c r="K67" s="141"/>
    </row>
    <row r="68" spans="1:11">
      <c r="C68" s="141"/>
      <c r="D68" s="141"/>
      <c r="E68" s="141"/>
      <c r="F68" s="142"/>
      <c r="G68" s="144"/>
    </row>
    <row r="69" spans="1:11">
      <c r="F69" s="146"/>
      <c r="G69" s="147"/>
    </row>
    <row r="70" spans="1:11">
      <c r="G70" s="148"/>
    </row>
    <row r="71" spans="1:11" ht="14" customHeight="1">
      <c r="G71" s="147"/>
    </row>
    <row r="72" spans="1:11">
      <c r="G72" s="149"/>
    </row>
    <row r="73" spans="1:11">
      <c r="G73" s="147"/>
    </row>
    <row r="74" spans="1:11">
      <c r="G74" s="149"/>
    </row>
    <row r="75" spans="1:11">
      <c r="G75" s="147"/>
    </row>
    <row r="76" spans="1:11">
      <c r="G76" s="149"/>
    </row>
    <row r="77" spans="1:11">
      <c r="G77" s="147"/>
    </row>
    <row r="78" spans="1:11" s="141" customFormat="1">
      <c r="A78"/>
      <c r="B78"/>
      <c r="C78"/>
      <c r="D78"/>
      <c r="E78"/>
      <c r="F78"/>
      <c r="G78" s="149"/>
      <c r="H78"/>
      <c r="I78"/>
      <c r="J78"/>
      <c r="K78"/>
    </row>
    <row r="79" spans="1:11" s="141" customFormat="1">
      <c r="A79"/>
      <c r="B79"/>
      <c r="C79"/>
      <c r="D79"/>
      <c r="E79"/>
      <c r="F79"/>
      <c r="G79" s="147"/>
      <c r="H79"/>
      <c r="I79"/>
      <c r="J79"/>
      <c r="K79"/>
    </row>
    <row r="80" spans="1:11" s="141" customFormat="1">
      <c r="A80"/>
      <c r="B80"/>
      <c r="C80"/>
      <c r="D80"/>
      <c r="E80"/>
      <c r="F80"/>
      <c r="G80" s="36"/>
      <c r="H80"/>
      <c r="I80"/>
      <c r="J80"/>
      <c r="K80"/>
    </row>
    <row r="81" spans="1:11" s="141" customFormat="1">
      <c r="A81"/>
      <c r="B81"/>
      <c r="C81"/>
      <c r="D81"/>
      <c r="E81"/>
      <c r="F81"/>
      <c r="G81"/>
      <c r="H81"/>
      <c r="I81"/>
      <c r="J81"/>
      <c r="K81"/>
    </row>
  </sheetData>
  <mergeCells count="40">
    <mergeCell ref="C61:F61"/>
    <mergeCell ref="C62:F62"/>
    <mergeCell ref="C63:F63"/>
    <mergeCell ref="A38:B38"/>
    <mergeCell ref="C54:F54"/>
    <mergeCell ref="C55:F55"/>
    <mergeCell ref="C56:F56"/>
    <mergeCell ref="C57:F57"/>
    <mergeCell ref="C59:F59"/>
    <mergeCell ref="C60:F60"/>
    <mergeCell ref="D43:E43"/>
    <mergeCell ref="C58:F58"/>
    <mergeCell ref="I43:J43"/>
    <mergeCell ref="A44:B44"/>
    <mergeCell ref="D50:E50"/>
    <mergeCell ref="I50:J50"/>
    <mergeCell ref="C53:F53"/>
    <mergeCell ref="A32:E32"/>
    <mergeCell ref="D37:E37"/>
    <mergeCell ref="I37:J37"/>
    <mergeCell ref="A26:D26"/>
    <mergeCell ref="D31:E31"/>
    <mergeCell ref="I31:J31"/>
    <mergeCell ref="A11:D11"/>
    <mergeCell ref="D25:E25"/>
    <mergeCell ref="I25:J25"/>
    <mergeCell ref="D5:F5"/>
    <mergeCell ref="A6:B6"/>
    <mergeCell ref="D6:F6"/>
    <mergeCell ref="I6:K6"/>
    <mergeCell ref="A7:K7"/>
    <mergeCell ref="A8:G8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9600-9CC5-4B60-BC39-B2440FFCD9CE}">
  <sheetPr codeName="Лист15"/>
  <dimension ref="A1:XFD88"/>
  <sheetViews>
    <sheetView topLeftCell="A46" zoomScale="90" zoomScaleNormal="90" workbookViewId="0">
      <selection activeCell="G74" sqref="G7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312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882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8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446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179</v>
      </c>
      <c r="H26" s="184" t="s">
        <v>63</v>
      </c>
      <c r="I26" s="491">
        <f>'Балки - КС и ПБКЛ'!I29</f>
        <v>1.92</v>
      </c>
      <c r="J26" s="308">
        <f>'Балки - КС и ПБКЛ'!J29</f>
        <v>24000</v>
      </c>
      <c r="K26" s="46">
        <f>I26*J26</f>
        <v>46080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99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203" t="s">
        <v>152</v>
      </c>
      <c r="B29" s="101" t="s">
        <v>878</v>
      </c>
      <c r="C29" s="873" t="s">
        <v>148</v>
      </c>
      <c r="D29" s="45">
        <f>I26/0.06*3</f>
        <v>96</v>
      </c>
      <c r="E29" s="102">
        <f>data!J129</f>
        <v>45</v>
      </c>
      <c r="F29" s="103">
        <f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54799.392405063292</v>
      </c>
    </row>
    <row r="31" spans="1:11">
      <c r="A31" s="1237"/>
      <c r="B31" s="1237"/>
      <c r="C31" s="1237"/>
      <c r="D31" s="1237"/>
      <c r="E31" s="1237"/>
      <c r="F31" s="1237"/>
      <c r="G31" s="1237"/>
      <c r="H31" s="1237"/>
      <c r="I31" s="1237"/>
      <c r="J31" s="1237"/>
      <c r="K31" s="1238"/>
    </row>
    <row r="32" spans="1:11">
      <c r="A32" s="1233" t="s">
        <v>318</v>
      </c>
      <c r="B32" s="1233"/>
      <c r="C32" s="1233"/>
      <c r="D32" s="1233"/>
      <c r="E32" s="1233"/>
      <c r="F32" s="160"/>
      <c r="G32" s="1029"/>
      <c r="H32" s="120"/>
      <c r="I32" s="1052"/>
      <c r="J32" s="1048"/>
      <c r="K32" s="67"/>
    </row>
    <row r="33" spans="1:11">
      <c r="A33" s="74" t="s">
        <v>134</v>
      </c>
      <c r="B33" s="75" t="s">
        <v>147</v>
      </c>
      <c r="C33" s="38" t="s">
        <v>148</v>
      </c>
      <c r="D33" s="189">
        <f>'Балки - КС и ПБКЛ'!D37</f>
        <v>55</v>
      </c>
      <c r="E33" s="39">
        <f>'Балки - КС и ПБКЛ'!E37</f>
        <v>600</v>
      </c>
      <c r="F33" s="39">
        <f>D33*E33</f>
        <v>33000</v>
      </c>
      <c r="G33" s="155" t="s">
        <v>179</v>
      </c>
      <c r="H33" s="182" t="s">
        <v>63</v>
      </c>
      <c r="I33" s="421">
        <f>'Балки - КС и ПБКЛ'!I37</f>
        <v>0.77999999999999992</v>
      </c>
      <c r="J33" s="210">
        <f>'Балки - КС и ПБКЛ'!J37</f>
        <v>24000</v>
      </c>
      <c r="K33" s="157">
        <f>I33*J33</f>
        <v>18719.999999999996</v>
      </c>
    </row>
    <row r="34" spans="1:11">
      <c r="A34" s="74"/>
      <c r="B34" s="75"/>
      <c r="C34" s="38"/>
      <c r="D34" s="189"/>
      <c r="E34" s="39"/>
      <c r="F34" s="39"/>
      <c r="G34" s="175" t="s">
        <v>87</v>
      </c>
      <c r="H34" s="176" t="s">
        <v>85</v>
      </c>
      <c r="I34" s="421">
        <f>'Балки - КС и ПБКЛ'!I38</f>
        <v>54</v>
      </c>
      <c r="J34" s="210">
        <f>'Балки - КС и ПБКЛ'!J38</f>
        <v>65</v>
      </c>
      <c r="K34" s="157">
        <f>I34*J34</f>
        <v>3510</v>
      </c>
    </row>
    <row r="35" spans="1:11">
      <c r="A35" s="74"/>
      <c r="B35" s="163"/>
      <c r="C35" s="164"/>
      <c r="D35" s="103"/>
      <c r="E35" s="103"/>
      <c r="F35" s="103"/>
      <c r="G35" s="223" t="s">
        <v>141</v>
      </c>
      <c r="H35" s="182" t="s">
        <v>85</v>
      </c>
      <c r="I35" s="421">
        <f>'Балки - КС и ПБКЛ'!I39</f>
        <v>216</v>
      </c>
      <c r="J35" s="157">
        <f>'Балки - КС и ПБКЛ'!J39</f>
        <v>13</v>
      </c>
      <c r="K35" s="157">
        <f>I35*J35</f>
        <v>2808</v>
      </c>
    </row>
    <row r="36" spans="1:11">
      <c r="A36" s="214">
        <v>2</v>
      </c>
      <c r="B36" s="403" t="s">
        <v>878</v>
      </c>
      <c r="C36" s="164" t="s">
        <v>148</v>
      </c>
      <c r="D36" s="40">
        <f>I33/0.06*3</f>
        <v>38.999999999999993</v>
      </c>
      <c r="E36" s="40">
        <f>data!J129</f>
        <v>45</v>
      </c>
      <c r="F36" s="40">
        <f>D36*E36</f>
        <v>1754.9999999999998</v>
      </c>
      <c r="G36" s="391" t="s">
        <v>149</v>
      </c>
      <c r="H36" s="392" t="s">
        <v>144</v>
      </c>
      <c r="I36" s="871">
        <f>'Балки - КС и ПБКЛ'!I40</f>
        <v>2.7341772151898733</v>
      </c>
      <c r="J36" s="348">
        <f>'Балки - КС и ПБКЛ'!J40</f>
        <v>380</v>
      </c>
      <c r="K36" s="869">
        <f t="shared" ref="K36" si="2">I36*J36</f>
        <v>1038.9873417721519</v>
      </c>
    </row>
    <row r="37" spans="1:11">
      <c r="A37" s="116"/>
      <c r="B37" s="117"/>
      <c r="C37" s="66"/>
      <c r="D37" s="1253" t="s">
        <v>145</v>
      </c>
      <c r="E37" s="1253"/>
      <c r="F37" s="118">
        <f>SUM(F33:F36)</f>
        <v>34755</v>
      </c>
      <c r="G37" s="119"/>
      <c r="H37" s="120"/>
      <c r="I37" s="1254" t="s">
        <v>146</v>
      </c>
      <c r="J37" s="1254"/>
      <c r="K37" s="118">
        <f>SUM(K33:K36)</f>
        <v>26076.987341772146</v>
      </c>
    </row>
    <row r="38" spans="1:11">
      <c r="A38" s="1233" t="s">
        <v>319</v>
      </c>
      <c r="B38" s="1233"/>
      <c r="C38" s="1233"/>
      <c r="D38" s="1233"/>
      <c r="E38" s="1233"/>
      <c r="F38" s="160"/>
      <c r="G38" s="1029"/>
      <c r="H38" s="120"/>
      <c r="I38" s="1052"/>
      <c r="J38" s="1048"/>
      <c r="K38" s="67"/>
    </row>
    <row r="39" spans="1:11">
      <c r="A39" s="74" t="s">
        <v>134</v>
      </c>
      <c r="B39" s="75" t="s">
        <v>147</v>
      </c>
      <c r="C39" s="38" t="s">
        <v>148</v>
      </c>
      <c r="D39" s="189">
        <f>'Балки - КС и ПБКЛ'!D43</f>
        <v>80</v>
      </c>
      <c r="E39" s="39">
        <f>'Балки - КС и ПБКЛ'!E43</f>
        <v>600</v>
      </c>
      <c r="F39" s="39">
        <f>D39*E39</f>
        <v>48000</v>
      </c>
      <c r="G39" s="155" t="s">
        <v>179</v>
      </c>
      <c r="H39" s="182" t="s">
        <v>63</v>
      </c>
      <c r="I39" s="421">
        <f>'Балки - КС и ПБКЛ'!I43</f>
        <v>0</v>
      </c>
      <c r="J39" s="210">
        <f>'Балки - КС и ПБКЛ'!J43</f>
        <v>24000</v>
      </c>
      <c r="K39" s="157">
        <f>I39*J39</f>
        <v>0</v>
      </c>
    </row>
    <row r="40" spans="1:11">
      <c r="A40" s="74"/>
      <c r="B40" s="75"/>
      <c r="C40" s="38"/>
      <c r="D40" s="189"/>
      <c r="E40" s="39"/>
      <c r="F40" s="39"/>
      <c r="G40" s="175" t="s">
        <v>87</v>
      </c>
      <c r="H40" s="176" t="s">
        <v>85</v>
      </c>
      <c r="I40" s="421">
        <f>'Балки - КС и ПБКЛ'!I44</f>
        <v>0</v>
      </c>
      <c r="J40" s="210">
        <f>'Балки - КС и ПБКЛ'!J44</f>
        <v>65</v>
      </c>
      <c r="K40" s="157">
        <f>I40*J40</f>
        <v>0</v>
      </c>
    </row>
    <row r="41" spans="1:11">
      <c r="A41" s="167"/>
      <c r="B41" s="177"/>
      <c r="C41" s="178"/>
      <c r="D41" s="179"/>
      <c r="E41" s="179"/>
      <c r="F41" s="179"/>
      <c r="G41" s="222" t="s">
        <v>141</v>
      </c>
      <c r="H41" s="392" t="s">
        <v>85</v>
      </c>
      <c r="I41" s="1059">
        <f>'Балки - КС и ПБКЛ'!I45</f>
        <v>0</v>
      </c>
      <c r="J41" s="343">
        <f>'Балки - КС и ПБКЛ'!J45</f>
        <v>13</v>
      </c>
      <c r="K41" s="343">
        <f>I41*J41</f>
        <v>0</v>
      </c>
    </row>
    <row r="42" spans="1:11">
      <c r="A42" s="162" t="s">
        <v>152</v>
      </c>
      <c r="B42" s="163" t="s">
        <v>878</v>
      </c>
      <c r="C42" s="164" t="s">
        <v>148</v>
      </c>
      <c r="D42" s="103">
        <f>I39/0.06*3</f>
        <v>0</v>
      </c>
      <c r="E42" s="103">
        <f>data!J129</f>
        <v>45</v>
      </c>
      <c r="F42" s="103">
        <f>D42*E42</f>
        <v>0</v>
      </c>
      <c r="G42" s="391" t="s">
        <v>149</v>
      </c>
      <c r="H42" s="184" t="s">
        <v>144</v>
      </c>
      <c r="I42" s="870">
        <f>'Балки - КС и ПБКЛ'!I46</f>
        <v>0</v>
      </c>
      <c r="J42" s="348">
        <f>'Балки - КС и ПБКЛ'!J46</f>
        <v>380</v>
      </c>
      <c r="K42" s="869">
        <f t="shared" ref="K42" si="3">I42*J42</f>
        <v>0</v>
      </c>
    </row>
    <row r="43" spans="1:11">
      <c r="A43" s="116"/>
      <c r="B43" s="117"/>
      <c r="C43" s="66"/>
      <c r="D43" s="1253" t="s">
        <v>145</v>
      </c>
      <c r="E43" s="1253"/>
      <c r="F43" s="118">
        <f>SUM(F39:F42)</f>
        <v>48000</v>
      </c>
      <c r="G43" s="119"/>
      <c r="H43" s="120"/>
      <c r="I43" s="1254" t="s">
        <v>146</v>
      </c>
      <c r="J43" s="1254"/>
      <c r="K43" s="118">
        <f>SUM(K39:K42)</f>
        <v>0</v>
      </c>
    </row>
    <row r="44" spans="1:11">
      <c r="A44" s="1233" t="s">
        <v>320</v>
      </c>
      <c r="B44" s="1233"/>
      <c r="C44" s="1233"/>
      <c r="D44" s="1233"/>
      <c r="E44" s="1233"/>
      <c r="F44" s="160"/>
      <c r="G44" s="1029"/>
      <c r="H44" s="120"/>
      <c r="I44" s="1052"/>
      <c r="J44" s="1048"/>
      <c r="K44" s="67"/>
    </row>
    <row r="45" spans="1:11">
      <c r="A45" s="74" t="s">
        <v>134</v>
      </c>
      <c r="B45" s="75" t="s">
        <v>147</v>
      </c>
      <c r="C45" s="38" t="s">
        <v>148</v>
      </c>
      <c r="D45" s="189">
        <f>'Балки - КС и ПБКЛ'!D49</f>
        <v>19.88</v>
      </c>
      <c r="E45" s="39">
        <f>'Балки - КС и ПБКЛ'!E49</f>
        <v>600</v>
      </c>
      <c r="F45" s="39">
        <f>D45*E45</f>
        <v>11928</v>
      </c>
      <c r="G45" s="155" t="s">
        <v>179</v>
      </c>
      <c r="H45" s="182" t="s">
        <v>63</v>
      </c>
      <c r="I45" s="421">
        <f>'Балки - КС и ПБКЛ'!I49</f>
        <v>0</v>
      </c>
      <c r="J45" s="210">
        <f>'Балки - КС и ПБКЛ'!J49</f>
        <v>24000</v>
      </c>
      <c r="K45" s="157">
        <f>I45*J45</f>
        <v>0</v>
      </c>
    </row>
    <row r="46" spans="1:11">
      <c r="A46" s="74"/>
      <c r="B46" s="75"/>
      <c r="C46" s="38"/>
      <c r="D46" s="189"/>
      <c r="E46" s="39"/>
      <c r="F46" s="39"/>
      <c r="G46" s="175" t="s">
        <v>87</v>
      </c>
      <c r="H46" s="176" t="s">
        <v>85</v>
      </c>
      <c r="I46" s="421">
        <f>'Балки - КС и ПБКЛ'!I50</f>
        <v>0</v>
      </c>
      <c r="J46" s="210">
        <f>'Балки - КС и ПБКЛ'!J50</f>
        <v>65</v>
      </c>
      <c r="K46" s="157">
        <f>I46*J46</f>
        <v>0</v>
      </c>
    </row>
    <row r="47" spans="1:11">
      <c r="A47" s="167"/>
      <c r="B47" s="177"/>
      <c r="C47" s="178"/>
      <c r="D47" s="179"/>
      <c r="E47" s="179"/>
      <c r="F47" s="179"/>
      <c r="G47" s="222" t="s">
        <v>141</v>
      </c>
      <c r="H47" s="392" t="s">
        <v>85</v>
      </c>
      <c r="I47" s="1059">
        <f>'Балки - КС и ПБКЛ'!I51</f>
        <v>0</v>
      </c>
      <c r="J47" s="343">
        <f>'Балки - КС и ПБКЛ'!J51</f>
        <v>13</v>
      </c>
      <c r="K47" s="343">
        <f>I47*J47</f>
        <v>0</v>
      </c>
    </row>
    <row r="48" spans="1:11">
      <c r="A48" s="162" t="s">
        <v>152</v>
      </c>
      <c r="B48" s="403" t="s">
        <v>878</v>
      </c>
      <c r="C48" s="164" t="s">
        <v>148</v>
      </c>
      <c r="D48" s="40">
        <f>I45/0.045*2.4</f>
        <v>0</v>
      </c>
      <c r="E48" s="40">
        <f>data!J129</f>
        <v>45</v>
      </c>
      <c r="F48" s="40">
        <f>D48*E48</f>
        <v>0</v>
      </c>
      <c r="G48" s="391" t="s">
        <v>149</v>
      </c>
      <c r="H48" s="184" t="s">
        <v>144</v>
      </c>
      <c r="I48" s="870">
        <f>'Балки - КС и ПБКЛ'!I52</f>
        <v>0</v>
      </c>
      <c r="J48" s="348">
        <f>'Балки - КС и ПБКЛ'!J52</f>
        <v>380</v>
      </c>
      <c r="K48" s="869">
        <f t="shared" ref="K48" si="4">I48*J48</f>
        <v>0</v>
      </c>
    </row>
    <row r="49" spans="1:11">
      <c r="A49" s="116"/>
      <c r="B49" s="117"/>
      <c r="C49" s="66"/>
      <c r="D49" s="1253" t="s">
        <v>145</v>
      </c>
      <c r="E49" s="1253"/>
      <c r="F49" s="118">
        <f>SUM(F45:F48)</f>
        <v>11928</v>
      </c>
      <c r="G49" s="119"/>
      <c r="H49" s="120"/>
      <c r="I49" s="1254" t="s">
        <v>146</v>
      </c>
      <c r="J49" s="1254"/>
      <c r="K49" s="118">
        <f>SUM(K45:K48)</f>
        <v>0</v>
      </c>
    </row>
    <row r="50" spans="1:11">
      <c r="A50" s="116"/>
      <c r="B50" s="117"/>
      <c r="C50" s="66"/>
      <c r="D50" s="121"/>
      <c r="E50" s="121"/>
      <c r="F50" s="122"/>
      <c r="G50" s="119"/>
      <c r="H50" s="120"/>
      <c r="I50" s="123"/>
      <c r="J50" s="123"/>
      <c r="K50" s="122"/>
    </row>
    <row r="51" spans="1:11">
      <c r="A51" s="1239" t="s">
        <v>195</v>
      </c>
      <c r="B51" s="1239"/>
      <c r="C51" s="120"/>
      <c r="D51" s="121"/>
      <c r="E51" s="121"/>
      <c r="F51" s="122"/>
      <c r="G51" s="119"/>
      <c r="H51" s="120"/>
      <c r="I51" s="123"/>
      <c r="J51" s="123"/>
      <c r="K51" s="122"/>
    </row>
    <row r="52" spans="1:11" ht="15" customHeight="1">
      <c r="A52" s="124" t="s">
        <v>134</v>
      </c>
      <c r="B52" s="125" t="s">
        <v>150</v>
      </c>
      <c r="C52" s="124" t="s">
        <v>63</v>
      </c>
      <c r="D52" s="124" t="e">
        <f>D13+I22+I26+I33+I39+I45</f>
        <v>#REF!</v>
      </c>
      <c r="E52" s="126" t="e">
        <f>#REF!</f>
        <v>#REF!</v>
      </c>
      <c r="F52" s="124" t="e">
        <f>D52*E52</f>
        <v>#REF!</v>
      </c>
      <c r="G52" s="127" t="s">
        <v>151</v>
      </c>
      <c r="H52" s="182" t="s">
        <v>138</v>
      </c>
      <c r="I52" s="421" t="e">
        <f>#REF!</f>
        <v>#REF!</v>
      </c>
      <c r="J52" s="109" t="e">
        <f>#REF!</f>
        <v>#REF!</v>
      </c>
      <c r="K52" s="124" t="e">
        <f t="shared" ref="K52:K56" si="5">I52*J52</f>
        <v>#REF!</v>
      </c>
    </row>
    <row r="53" spans="1:11">
      <c r="A53" s="124" t="s">
        <v>152</v>
      </c>
      <c r="B53" s="125" t="s">
        <v>153</v>
      </c>
      <c r="C53" s="124" t="s">
        <v>154</v>
      </c>
      <c r="D53" s="124">
        <f>data!I127</f>
        <v>1</v>
      </c>
      <c r="E53" s="126">
        <f>data!J127</f>
        <v>2000</v>
      </c>
      <c r="F53" s="124">
        <f>D53*E53</f>
        <v>2000</v>
      </c>
      <c r="G53" s="127"/>
      <c r="H53" s="124"/>
      <c r="I53" s="129"/>
      <c r="J53" s="129"/>
      <c r="K53" s="124"/>
    </row>
    <row r="54" spans="1:11">
      <c r="A54" s="124"/>
      <c r="B54" s="125"/>
      <c r="C54" s="124"/>
      <c r="D54" s="130"/>
      <c r="E54" s="131"/>
      <c r="F54" s="132"/>
      <c r="G54" s="128" t="s">
        <v>322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4"/>
      <c r="B55" s="125"/>
      <c r="C55" s="124"/>
      <c r="D55" s="130"/>
      <c r="E55" s="131"/>
      <c r="F55" s="132"/>
      <c r="G55" s="127" t="s">
        <v>197</v>
      </c>
      <c r="H55" s="124" t="s">
        <v>156</v>
      </c>
      <c r="I55" s="129" t="e">
        <f>#REF!</f>
        <v>#REF!</v>
      </c>
      <c r="J55" s="124" t="e">
        <f>#REF!</f>
        <v>#REF!</v>
      </c>
      <c r="K55" s="124" t="e">
        <f t="shared" si="5"/>
        <v>#REF!</v>
      </c>
    </row>
    <row r="56" spans="1:11">
      <c r="A56" s="124"/>
      <c r="B56" s="125"/>
      <c r="C56" s="124"/>
      <c r="D56" s="130"/>
      <c r="E56" s="131"/>
      <c r="F56" s="132"/>
      <c r="G56" s="127" t="s">
        <v>196</v>
      </c>
      <c r="H56" s="124" t="s">
        <v>156</v>
      </c>
      <c r="I56" s="133" t="e">
        <f>#REF!</f>
        <v>#REF!</v>
      </c>
      <c r="J56" s="133" t="e">
        <f>#REF!</f>
        <v>#REF!</v>
      </c>
      <c r="K56" s="124" t="e">
        <f t="shared" si="5"/>
        <v>#REF!</v>
      </c>
    </row>
    <row r="57" spans="1:11">
      <c r="A57" s="120"/>
      <c r="B57" s="119"/>
      <c r="C57" s="120"/>
      <c r="D57" s="1256" t="s">
        <v>145</v>
      </c>
      <c r="E57" s="1257"/>
      <c r="F57" s="132" t="e">
        <f>SUM(F52:F56)</f>
        <v>#REF!</v>
      </c>
      <c r="G57" s="119"/>
      <c r="H57" s="120"/>
      <c r="I57" s="1242" t="s">
        <v>157</v>
      </c>
      <c r="J57" s="1243"/>
      <c r="K57" s="132" t="e">
        <f>SUM(K52:K56)</f>
        <v>#REF!</v>
      </c>
    </row>
    <row r="58" spans="1:11">
      <c r="A58" s="120"/>
      <c r="B58" s="119"/>
      <c r="C58" s="120"/>
      <c r="D58" s="121"/>
      <c r="E58" s="121"/>
      <c r="F58" s="122"/>
      <c r="G58" s="119"/>
      <c r="H58" s="120"/>
      <c r="I58" s="123"/>
      <c r="J58" s="123"/>
      <c r="K58" s="122"/>
    </row>
    <row r="60" spans="1:11">
      <c r="C60" s="1204" t="s">
        <v>158</v>
      </c>
      <c r="D60" s="1204"/>
      <c r="E60" s="1204"/>
      <c r="F60" s="1204"/>
      <c r="G60" s="423" t="e">
        <f>F24+F30+F37+F57+F49+F43</f>
        <v>#REF!</v>
      </c>
    </row>
    <row r="61" spans="1:11">
      <c r="C61" s="1204" t="s">
        <v>159</v>
      </c>
      <c r="D61" s="1204"/>
      <c r="E61" s="1204"/>
      <c r="F61" s="1204"/>
      <c r="G61" s="423" t="e">
        <f>G60*0.03</f>
        <v>#REF!</v>
      </c>
    </row>
    <row r="62" spans="1:11">
      <c r="C62" s="1204" t="s">
        <v>160</v>
      </c>
      <c r="D62" s="1204"/>
      <c r="E62" s="1204"/>
      <c r="F62" s="1204"/>
      <c r="G62" s="423" t="e">
        <f>G60*0.16</f>
        <v>#REF!</v>
      </c>
    </row>
    <row r="63" spans="1:11">
      <c r="C63" s="1204" t="s">
        <v>20</v>
      </c>
      <c r="D63" s="1204"/>
      <c r="E63" s="1204"/>
      <c r="F63" s="1204"/>
      <c r="G63" s="423" t="e">
        <f>G60+G61+G62</f>
        <v>#REF!</v>
      </c>
    </row>
    <row r="64" spans="1:11">
      <c r="C64" s="1204" t="s">
        <v>161</v>
      </c>
      <c r="D64" s="1204"/>
      <c r="E64" s="1204"/>
      <c r="F64" s="1204"/>
      <c r="G64" s="423" t="e">
        <f>K24+K30+K37+K43+K49</f>
        <v>#REF!</v>
      </c>
    </row>
    <row r="65" spans="1:11 16384:16384">
      <c r="C65" s="1478" t="s">
        <v>863</v>
      </c>
      <c r="D65" s="1479"/>
      <c r="E65" s="1479"/>
      <c r="F65" s="1480"/>
      <c r="G65" s="751" t="e">
        <f>G64*0.035</f>
        <v>#REF!</v>
      </c>
    </row>
    <row r="66" spans="1:11 16384:16384">
      <c r="C66" s="1204" t="s">
        <v>162</v>
      </c>
      <c r="D66" s="1204"/>
      <c r="E66" s="1204"/>
      <c r="F66" s="1204"/>
      <c r="G66" s="423" t="e">
        <f>K57</f>
        <v>#REF!</v>
      </c>
    </row>
    <row r="67" spans="1:11 16384:16384">
      <c r="C67" s="1204" t="s">
        <v>20</v>
      </c>
      <c r="D67" s="1204"/>
      <c r="E67" s="1204"/>
      <c r="F67" s="1204"/>
      <c r="G67" s="423" t="e">
        <f>G64+G65+G66</f>
        <v>#REF!</v>
      </c>
    </row>
    <row r="68" spans="1:11 16384:16384">
      <c r="C68" s="1244" t="s">
        <v>163</v>
      </c>
      <c r="D68" s="1244"/>
      <c r="E68" s="1244"/>
      <c r="F68" s="1244"/>
      <c r="G68" s="424" t="e">
        <f>G63+G67</f>
        <v>#REF!</v>
      </c>
    </row>
    <row r="69" spans="1:11 16384:16384" ht="17" thickBot="1">
      <c r="C69" s="1245" t="s">
        <v>164</v>
      </c>
      <c r="D69" s="1245"/>
      <c r="E69" s="1245"/>
      <c r="F69" s="1245"/>
      <c r="G69" s="431" t="e">
        <f>G60*0.03</f>
        <v>#REF!</v>
      </c>
      <c r="I69" s="139"/>
      <c r="J69" s="140"/>
    </row>
    <row r="70" spans="1:11 16384:16384" ht="16" thickBot="1">
      <c r="C70" s="1246" t="s">
        <v>165</v>
      </c>
      <c r="D70" s="1247"/>
      <c r="E70" s="1247"/>
      <c r="F70" s="1248"/>
      <c r="G70" s="432" t="e">
        <f>G68+G69</f>
        <v>#REF!</v>
      </c>
      <c r="XFD70" s="36" t="e">
        <f>SUM(A70:XFC70)</f>
        <v>#REF!</v>
      </c>
    </row>
    <row r="71" spans="1:11 16384:16384">
      <c r="A71" s="141"/>
      <c r="B71" s="141"/>
      <c r="H71" s="141"/>
      <c r="I71" s="141"/>
      <c r="J71" s="141"/>
      <c r="K71" s="141"/>
    </row>
    <row r="72" spans="1:11 16384:16384">
      <c r="A72" s="141"/>
      <c r="B72" s="141"/>
      <c r="C72" s="141"/>
      <c r="D72" s="141"/>
      <c r="E72" s="141"/>
      <c r="F72" s="142"/>
      <c r="G72" s="143"/>
      <c r="H72" s="141"/>
      <c r="I72" s="141"/>
      <c r="J72" s="141"/>
      <c r="K72" s="141"/>
    </row>
    <row r="73" spans="1:11 16384:16384">
      <c r="A73" s="141"/>
      <c r="B73" s="141"/>
      <c r="C73" s="141"/>
      <c r="D73" s="141"/>
      <c r="E73" s="141"/>
      <c r="F73" s="142"/>
      <c r="G73" s="144"/>
      <c r="H73" s="141"/>
      <c r="I73" s="141"/>
      <c r="J73" s="141"/>
      <c r="K73" s="141"/>
    </row>
    <row r="74" spans="1:11 16384:16384" ht="14" customHeight="1">
      <c r="A74" s="141"/>
      <c r="B74" s="141"/>
      <c r="C74" s="141"/>
      <c r="D74" s="141"/>
      <c r="E74" s="141"/>
      <c r="F74" s="142"/>
      <c r="G74" s="145"/>
      <c r="H74" s="141"/>
      <c r="I74" s="141"/>
      <c r="J74" s="141"/>
      <c r="K74" s="141"/>
    </row>
    <row r="75" spans="1:11 16384:16384">
      <c r="C75" s="141"/>
      <c r="D75" s="141"/>
      <c r="E75" s="141"/>
      <c r="F75" s="142"/>
      <c r="G75" s="144"/>
    </row>
    <row r="76" spans="1:11 16384:16384">
      <c r="F76" s="146"/>
      <c r="G76" s="147"/>
    </row>
    <row r="77" spans="1:11 16384:16384">
      <c r="G77" s="148"/>
    </row>
    <row r="78" spans="1:11 16384:16384" ht="14" customHeight="1">
      <c r="G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>
      <c r="C83" s="149"/>
    </row>
    <row r="84" spans="1:7">
      <c r="C84" s="147"/>
    </row>
    <row r="85" spans="1:7" s="141" customFormat="1">
      <c r="A85"/>
      <c r="B85"/>
      <c r="C85" s="149"/>
      <c r="D85"/>
      <c r="E85"/>
      <c r="F85"/>
      <c r="G85"/>
    </row>
    <row r="86" spans="1:7" s="141" customFormat="1">
      <c r="A86"/>
      <c r="B86"/>
      <c r="C86" s="147"/>
      <c r="D86"/>
      <c r="E86"/>
      <c r="F86"/>
      <c r="G86"/>
    </row>
    <row r="87" spans="1:7" s="141" customFormat="1">
      <c r="A87"/>
      <c r="B87"/>
      <c r="C87" s="36"/>
      <c r="D87"/>
      <c r="E87"/>
      <c r="F87"/>
      <c r="G87"/>
    </row>
    <row r="88" spans="1:7" s="141" customFormat="1">
      <c r="A88"/>
      <c r="B88"/>
      <c r="C88"/>
      <c r="D88"/>
      <c r="E88"/>
      <c r="F88"/>
      <c r="G88"/>
    </row>
  </sheetData>
  <mergeCells count="44">
    <mergeCell ref="C70:F70"/>
    <mergeCell ref="C63:F63"/>
    <mergeCell ref="C64:F64"/>
    <mergeCell ref="C66:F66"/>
    <mergeCell ref="C67:F67"/>
    <mergeCell ref="C68:F68"/>
    <mergeCell ref="C69:F69"/>
    <mergeCell ref="C65:F65"/>
    <mergeCell ref="C62:F62"/>
    <mergeCell ref="A31:K31"/>
    <mergeCell ref="A32:E32"/>
    <mergeCell ref="D37:E37"/>
    <mergeCell ref="I37:J37"/>
    <mergeCell ref="A38:E38"/>
    <mergeCell ref="D43:E43"/>
    <mergeCell ref="I43:J43"/>
    <mergeCell ref="A51:B51"/>
    <mergeCell ref="D57:E57"/>
    <mergeCell ref="I57:J57"/>
    <mergeCell ref="C60:F60"/>
    <mergeCell ref="C61:F61"/>
    <mergeCell ref="A44:E44"/>
    <mergeCell ref="D49:E49"/>
    <mergeCell ref="I49:J49"/>
    <mergeCell ref="A12:B12"/>
    <mergeCell ref="D24:E24"/>
    <mergeCell ref="I24:J24"/>
    <mergeCell ref="A25:D25"/>
    <mergeCell ref="D30:E30"/>
    <mergeCell ref="I30:J30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1E91-35F0-492E-9B53-546169FE503F}">
  <sheetPr codeName="Лист17"/>
  <dimension ref="A1:XFD88"/>
  <sheetViews>
    <sheetView topLeftCell="A40" zoomScale="90" zoomScaleNormal="90" workbookViewId="0">
      <selection activeCell="B61" sqref="B6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59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70"/>
      <c r="I12" s="71"/>
      <c r="J12" s="72"/>
      <c r="K12" s="73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430</v>
      </c>
      <c r="H13" s="182" t="s">
        <v>63</v>
      </c>
      <c r="I13" s="77" t="e">
        <f>#REF!</f>
        <v>#REF!</v>
      </c>
      <c r="J13" s="78" t="e">
        <f>#REF!</f>
        <v>#REF!</v>
      </c>
      <c r="K13" s="79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426" t="e">
        <f>D15</f>
        <v>#REF!</v>
      </c>
      <c r="J15" s="78" t="e">
        <f>#REF!</f>
        <v>#REF!</v>
      </c>
      <c r="K15" s="79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193" t="e">
        <f>#REF!</f>
        <v>#REF!</v>
      </c>
      <c r="J16" s="194" t="e">
        <f>#REF!</f>
        <v>#REF!</v>
      </c>
      <c r="K16" s="79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154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154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154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154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154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446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89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179</v>
      </c>
      <c r="H26" s="184" t="s">
        <v>63</v>
      </c>
      <c r="I26" s="204">
        <f>'Балки - КС и ПБКЛ'!I29</f>
        <v>1.92</v>
      </c>
      <c r="J26" s="92">
        <f>'Балки - КС и ПБКЛ'!J29</f>
        <v>24000</v>
      </c>
      <c r="K26" s="93">
        <f>I26*J26</f>
        <v>46080</v>
      </c>
    </row>
    <row r="27" spans="1:11">
      <c r="A27" s="80"/>
      <c r="B27" s="37"/>
      <c r="C27" s="43"/>
      <c r="D27" s="89"/>
      <c r="E27" s="44"/>
      <c r="F27" s="44"/>
      <c r="G27" s="94" t="s">
        <v>87</v>
      </c>
      <c r="H27" s="95" t="s">
        <v>85</v>
      </c>
      <c r="I27" s="205">
        <f>'Балки - КС и ПБКЛ'!I30</f>
        <v>64</v>
      </c>
      <c r="J27" s="92">
        <f>'Балки - КС и ПБКЛ'!J30</f>
        <v>65</v>
      </c>
      <c r="K27" s="93">
        <f>I27*J27</f>
        <v>4160</v>
      </c>
    </row>
    <row r="28" spans="1:11">
      <c r="A28" s="80"/>
      <c r="B28" s="96"/>
      <c r="C28" s="97"/>
      <c r="D28" s="98"/>
      <c r="E28" s="98"/>
      <c r="F28" s="99"/>
      <c r="G28" s="224" t="s">
        <v>141</v>
      </c>
      <c r="H28" s="184" t="s">
        <v>85</v>
      </c>
      <c r="I28" s="204">
        <f>'Балки - КС и ПБКЛ'!I31</f>
        <v>256</v>
      </c>
      <c r="J28" s="93">
        <f>'Балки - КС и ПБКЛ'!J31</f>
        <v>13</v>
      </c>
      <c r="K28" s="93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103">
        <f>D29*E29</f>
        <v>4320</v>
      </c>
      <c r="G29" s="390" t="s">
        <v>149</v>
      </c>
      <c r="H29" s="184" t="s">
        <v>144</v>
      </c>
      <c r="I29" s="206">
        <f>'Балки - КС и ПБКЛ'!I32</f>
        <v>3.240506329113924</v>
      </c>
      <c r="J29" s="105">
        <f>'Балки - КС и ПБКЛ'!J32</f>
        <v>380</v>
      </c>
      <c r="K29" s="93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54799.392405063292</v>
      </c>
    </row>
    <row r="31" spans="1:11">
      <c r="A31" s="1237"/>
      <c r="B31" s="1237"/>
      <c r="C31" s="1237"/>
      <c r="D31" s="1237"/>
      <c r="E31" s="1237"/>
      <c r="F31" s="1237"/>
      <c r="G31" s="1237"/>
      <c r="H31" s="1237"/>
      <c r="I31" s="1237"/>
      <c r="J31" s="1237"/>
      <c r="K31" s="1238"/>
    </row>
    <row r="32" spans="1:11">
      <c r="A32" s="1233" t="s">
        <v>318</v>
      </c>
      <c r="B32" s="1233"/>
      <c r="C32" s="1233"/>
      <c r="D32" s="1233"/>
      <c r="E32" s="1233"/>
      <c r="F32" s="160"/>
      <c r="G32" s="168"/>
      <c r="H32" s="169"/>
      <c r="I32" s="170"/>
      <c r="J32" s="72"/>
      <c r="K32" s="73"/>
    </row>
    <row r="33" spans="1:11">
      <c r="A33" s="74">
        <v>1</v>
      </c>
      <c r="B33" s="75" t="s">
        <v>147</v>
      </c>
      <c r="C33" s="38" t="s">
        <v>148</v>
      </c>
      <c r="D33" s="171">
        <f>'Балки - КС и ПБКЛ'!D37</f>
        <v>55</v>
      </c>
      <c r="E33" s="39">
        <f>'Балки - КС и ПБКЛ'!E37</f>
        <v>600</v>
      </c>
      <c r="F33" s="39">
        <f>D33*E33</f>
        <v>33000</v>
      </c>
      <c r="G33" s="155" t="s">
        <v>179</v>
      </c>
      <c r="H33" s="182" t="s">
        <v>63</v>
      </c>
      <c r="I33" s="77">
        <f>'Балки - КС и ПБКЛ'!I37</f>
        <v>0.77999999999999992</v>
      </c>
      <c r="J33" s="78">
        <f>'Балки - КС и ПБКЛ'!J37</f>
        <v>24000</v>
      </c>
      <c r="K33" s="79">
        <f>I33*J33</f>
        <v>18719.999999999996</v>
      </c>
    </row>
    <row r="34" spans="1:11">
      <c r="A34" s="74"/>
      <c r="B34" s="75"/>
      <c r="C34" s="38"/>
      <c r="D34" s="171"/>
      <c r="E34" s="39"/>
      <c r="F34" s="39"/>
      <c r="G34" s="175" t="s">
        <v>87</v>
      </c>
      <c r="H34" s="176" t="s">
        <v>85</v>
      </c>
      <c r="I34" s="77">
        <f>'Балки - КС и ПБКЛ'!I38</f>
        <v>54</v>
      </c>
      <c r="J34" s="78">
        <f>'Балки - КС и ПБКЛ'!J38</f>
        <v>65</v>
      </c>
      <c r="K34" s="79">
        <f>I34*J34</f>
        <v>3510</v>
      </c>
    </row>
    <row r="35" spans="1:11">
      <c r="A35" s="74"/>
      <c r="B35" s="163"/>
      <c r="C35" s="164"/>
      <c r="D35" s="103"/>
      <c r="E35" s="103"/>
      <c r="F35" s="103"/>
      <c r="G35" s="223" t="s">
        <v>141</v>
      </c>
      <c r="H35" s="182" t="s">
        <v>85</v>
      </c>
      <c r="I35" s="77">
        <f>'Балки - КС и ПБКЛ'!I39</f>
        <v>216</v>
      </c>
      <c r="J35" s="79">
        <f>'Балки - КС и ПБКЛ'!J39</f>
        <v>13</v>
      </c>
      <c r="K35" s="79">
        <f>I35*J35</f>
        <v>2808</v>
      </c>
    </row>
    <row r="36" spans="1:11">
      <c r="A36" s="172" t="s">
        <v>152</v>
      </c>
      <c r="B36" s="173" t="s">
        <v>883</v>
      </c>
      <c r="C36" s="174" t="s">
        <v>148</v>
      </c>
      <c r="D36" s="161">
        <f>I33/0.06*3</f>
        <v>38.999999999999993</v>
      </c>
      <c r="E36" s="161">
        <f>data!J129</f>
        <v>45</v>
      </c>
      <c r="F36" s="161">
        <f>D36*E36</f>
        <v>1754.9999999999998</v>
      </c>
      <c r="G36" s="391" t="s">
        <v>149</v>
      </c>
      <c r="H36" s="392" t="s">
        <v>144</v>
      </c>
      <c r="I36" s="213">
        <f>'Балки - КС и ПБКЛ'!I40</f>
        <v>2.7341772151898733</v>
      </c>
      <c r="J36" s="165">
        <f>'Балки - КС и ПБКЛ'!J40</f>
        <v>380</v>
      </c>
      <c r="K36" s="166">
        <f t="shared" ref="K36" si="2">I36*J36</f>
        <v>1038.9873417721519</v>
      </c>
    </row>
    <row r="37" spans="1:11">
      <c r="A37" s="116"/>
      <c r="B37" s="117"/>
      <c r="C37" s="66"/>
      <c r="D37" s="1253" t="s">
        <v>145</v>
      </c>
      <c r="E37" s="1253"/>
      <c r="F37" s="118">
        <f>SUM(F33:F36)</f>
        <v>34755</v>
      </c>
      <c r="G37" s="119"/>
      <c r="H37" s="120"/>
      <c r="I37" s="1254" t="s">
        <v>146</v>
      </c>
      <c r="J37" s="1254"/>
      <c r="K37" s="118">
        <f>SUM(K33:K36)</f>
        <v>26076.987341772146</v>
      </c>
    </row>
    <row r="38" spans="1:11">
      <c r="A38" s="1233" t="s">
        <v>319</v>
      </c>
      <c r="B38" s="1233"/>
      <c r="C38" s="1233"/>
      <c r="D38" s="1233"/>
      <c r="E38" s="1233"/>
      <c r="F38" s="160"/>
      <c r="G38" s="168"/>
      <c r="H38" s="169"/>
      <c r="I38" s="170"/>
      <c r="J38" s="72"/>
      <c r="K38" s="73"/>
    </row>
    <row r="39" spans="1:11">
      <c r="A39" s="74">
        <v>1</v>
      </c>
      <c r="B39" s="75" t="s">
        <v>147</v>
      </c>
      <c r="C39" s="38" t="s">
        <v>148</v>
      </c>
      <c r="D39" s="171">
        <f>'Балки - КС и ПБКЛ'!D43</f>
        <v>80</v>
      </c>
      <c r="E39" s="39">
        <f>'Балки - КС и ПБКЛ'!E43</f>
        <v>600</v>
      </c>
      <c r="F39" s="39">
        <f>D39*E39</f>
        <v>48000</v>
      </c>
      <c r="G39" s="155" t="s">
        <v>179</v>
      </c>
      <c r="H39" s="182" t="s">
        <v>63</v>
      </c>
      <c r="I39" s="77">
        <f>'Балки - КС и ПБКЛ'!I43</f>
        <v>0</v>
      </c>
      <c r="J39" s="78">
        <f>'Балки - КС и ПБКЛ'!J43</f>
        <v>24000</v>
      </c>
      <c r="K39" s="79">
        <f>I39*J39</f>
        <v>0</v>
      </c>
    </row>
    <row r="40" spans="1:11">
      <c r="A40" s="74"/>
      <c r="B40" s="75"/>
      <c r="C40" s="38"/>
      <c r="D40" s="171"/>
      <c r="E40" s="39"/>
      <c r="F40" s="39"/>
      <c r="G40" s="175" t="s">
        <v>87</v>
      </c>
      <c r="H40" s="176" t="s">
        <v>85</v>
      </c>
      <c r="I40" s="77">
        <f>'Балки - КС и ПБКЛ'!I44</f>
        <v>0</v>
      </c>
      <c r="J40" s="78">
        <f>'Балки - КС и ПБКЛ'!J44</f>
        <v>65</v>
      </c>
      <c r="K40" s="79">
        <f>I40*J40</f>
        <v>0</v>
      </c>
    </row>
    <row r="41" spans="1:11">
      <c r="A41" s="167"/>
      <c r="B41" s="177"/>
      <c r="C41" s="178"/>
      <c r="D41" s="179"/>
      <c r="E41" s="179"/>
      <c r="F41" s="388"/>
      <c r="G41" s="223" t="s">
        <v>141</v>
      </c>
      <c r="H41" s="182" t="s">
        <v>85</v>
      </c>
      <c r="I41" s="77">
        <f>'Балки - КС и ПБКЛ'!I45</f>
        <v>0</v>
      </c>
      <c r="J41" s="79">
        <f>'Балки - КС и ПБКЛ'!J45</f>
        <v>13</v>
      </c>
      <c r="K41" s="79">
        <f>I41*J41</f>
        <v>0</v>
      </c>
    </row>
    <row r="42" spans="1:11">
      <c r="A42" s="162" t="s">
        <v>152</v>
      </c>
      <c r="B42" s="163" t="s">
        <v>883</v>
      </c>
      <c r="C42" s="164" t="s">
        <v>148</v>
      </c>
      <c r="D42" s="103">
        <f>I39/0.06*3</f>
        <v>0</v>
      </c>
      <c r="E42" s="103">
        <f>data!J129</f>
        <v>45</v>
      </c>
      <c r="F42" s="389">
        <f>D42*E42</f>
        <v>0</v>
      </c>
      <c r="G42" s="223" t="s">
        <v>149</v>
      </c>
      <c r="H42" s="182" t="s">
        <v>144</v>
      </c>
      <c r="I42" s="358">
        <f>'Балки - КС и ПБКЛ'!I46</f>
        <v>0</v>
      </c>
      <c r="J42" s="79">
        <f>'Балки - КС и ПБКЛ'!J46</f>
        <v>380</v>
      </c>
      <c r="K42" s="79">
        <f t="shared" ref="K42" si="3">I42*J42</f>
        <v>0</v>
      </c>
    </row>
    <row r="43" spans="1:11">
      <c r="A43" s="116"/>
      <c r="B43" s="117"/>
      <c r="C43" s="66"/>
      <c r="D43" s="1253" t="s">
        <v>145</v>
      </c>
      <c r="E43" s="1253"/>
      <c r="F43" s="118">
        <f>SUM(F39:F42)</f>
        <v>48000</v>
      </c>
      <c r="G43" s="119"/>
      <c r="H43" s="120"/>
      <c r="I43" s="1254" t="s">
        <v>146</v>
      </c>
      <c r="J43" s="1254"/>
      <c r="K43" s="118">
        <f>SUM(K39:K42)</f>
        <v>0</v>
      </c>
    </row>
    <row r="44" spans="1:11">
      <c r="A44" s="1233" t="s">
        <v>320</v>
      </c>
      <c r="B44" s="1233"/>
      <c r="C44" s="1233"/>
      <c r="D44" s="1233"/>
      <c r="E44" s="1233"/>
      <c r="F44" s="160"/>
      <c r="G44" s="168"/>
      <c r="H44" s="169"/>
      <c r="I44" s="170"/>
      <c r="J44" s="72"/>
      <c r="K44" s="73"/>
    </row>
    <row r="45" spans="1:11">
      <c r="A45" s="74">
        <v>1</v>
      </c>
      <c r="B45" s="75" t="s">
        <v>147</v>
      </c>
      <c r="C45" s="38" t="s">
        <v>148</v>
      </c>
      <c r="D45" s="171">
        <f>'Балки - КС и ПБКЛ'!D49</f>
        <v>19.88</v>
      </c>
      <c r="E45" s="39">
        <f>'Балки - КС и ПБКЛ'!E49</f>
        <v>600</v>
      </c>
      <c r="F45" s="39">
        <f>D45*E45</f>
        <v>11928</v>
      </c>
      <c r="G45" s="155" t="s">
        <v>179</v>
      </c>
      <c r="H45" s="182" t="s">
        <v>63</v>
      </c>
      <c r="I45" s="77">
        <f>'Балки - КС и ПБКЛ'!I49</f>
        <v>0</v>
      </c>
      <c r="J45" s="78">
        <f>'Балки - КС и ПБКЛ'!J49</f>
        <v>24000</v>
      </c>
      <c r="K45" s="79">
        <f>I45*J45</f>
        <v>0</v>
      </c>
    </row>
    <row r="46" spans="1:11">
      <c r="A46" s="74"/>
      <c r="B46" s="75"/>
      <c r="C46" s="38"/>
      <c r="D46" s="171"/>
      <c r="E46" s="39"/>
      <c r="F46" s="39"/>
      <c r="G46" s="175" t="s">
        <v>87</v>
      </c>
      <c r="H46" s="176" t="s">
        <v>85</v>
      </c>
      <c r="I46" s="77">
        <f>'Балки - КС и ПБКЛ'!I50</f>
        <v>0</v>
      </c>
      <c r="J46" s="78">
        <f>'Балки - КС и ПБКЛ'!J50</f>
        <v>65</v>
      </c>
      <c r="K46" s="79">
        <f>I46*J46</f>
        <v>0</v>
      </c>
    </row>
    <row r="47" spans="1:11">
      <c r="A47" s="167"/>
      <c r="B47" s="177"/>
      <c r="C47" s="178"/>
      <c r="D47" s="179"/>
      <c r="E47" s="179"/>
      <c r="F47" s="388"/>
      <c r="G47" s="223" t="s">
        <v>141</v>
      </c>
      <c r="H47" s="182" t="s">
        <v>85</v>
      </c>
      <c r="I47" s="77">
        <f>'Балки - КС и ПБКЛ'!I51</f>
        <v>0</v>
      </c>
      <c r="J47" s="79">
        <f>'Балки - КС и ПБКЛ'!J51</f>
        <v>13</v>
      </c>
      <c r="K47" s="79">
        <f>I47*J47</f>
        <v>0</v>
      </c>
    </row>
    <row r="48" spans="1:11">
      <c r="A48" s="162" t="s">
        <v>152</v>
      </c>
      <c r="B48" s="163" t="s">
        <v>883</v>
      </c>
      <c r="C48" s="164" t="s">
        <v>148</v>
      </c>
      <c r="D48" s="103">
        <f>I45/0.06*3</f>
        <v>0</v>
      </c>
      <c r="E48" s="103">
        <f>data!J129</f>
        <v>45</v>
      </c>
      <c r="F48" s="389">
        <f>D48*E48</f>
        <v>0</v>
      </c>
      <c r="G48" s="223" t="s">
        <v>149</v>
      </c>
      <c r="H48" s="182" t="s">
        <v>144</v>
      </c>
      <c r="I48" s="358">
        <f>'Балки - КС и ПБКЛ'!I52</f>
        <v>0</v>
      </c>
      <c r="J48" s="79">
        <f>'Балки - КС и ПБКЛ'!J52</f>
        <v>380</v>
      </c>
      <c r="K48" s="79">
        <f t="shared" ref="K48" si="4">I48*J48</f>
        <v>0</v>
      </c>
    </row>
    <row r="49" spans="1:11">
      <c r="A49" s="116"/>
      <c r="B49" s="117"/>
      <c r="C49" s="66"/>
      <c r="D49" s="1253" t="s">
        <v>145</v>
      </c>
      <c r="E49" s="1253"/>
      <c r="F49" s="118">
        <f>SUM(F45:F48)</f>
        <v>11928</v>
      </c>
      <c r="G49" s="119"/>
      <c r="H49" s="120"/>
      <c r="I49" s="1254" t="s">
        <v>146</v>
      </c>
      <c r="J49" s="1254"/>
      <c r="K49" s="118">
        <f>SUM(K45:K48)</f>
        <v>0</v>
      </c>
    </row>
    <row r="50" spans="1:11">
      <c r="A50" s="116"/>
      <c r="B50" s="117"/>
      <c r="C50" s="66"/>
      <c r="D50" s="121"/>
      <c r="E50" s="121"/>
      <c r="F50" s="122"/>
      <c r="G50" s="119"/>
      <c r="H50" s="120"/>
      <c r="I50" s="123"/>
      <c r="J50" s="123"/>
      <c r="K50" s="122"/>
    </row>
    <row r="51" spans="1:11">
      <c r="A51" s="1239" t="s">
        <v>195</v>
      </c>
      <c r="B51" s="1239"/>
      <c r="C51" s="120"/>
      <c r="D51" s="121"/>
      <c r="E51" s="121"/>
      <c r="F51" s="122"/>
      <c r="G51" s="119"/>
      <c r="H51" s="120"/>
      <c r="I51" s="123"/>
      <c r="J51" s="123"/>
      <c r="K51" s="122"/>
    </row>
    <row r="52" spans="1:11" ht="15" customHeight="1">
      <c r="A52" s="124" t="s">
        <v>134</v>
      </c>
      <c r="B52" s="125" t="s">
        <v>150</v>
      </c>
      <c r="C52" s="124" t="s">
        <v>63</v>
      </c>
      <c r="D52" s="124" t="e">
        <f>D13+I22+I26+I33+I39+I45</f>
        <v>#REF!</v>
      </c>
      <c r="E52" s="126" t="e">
        <f>#REF!</f>
        <v>#REF!</v>
      </c>
      <c r="F52" s="124" t="e">
        <f>D52*E52</f>
        <v>#REF!</v>
      </c>
      <c r="G52" s="127" t="s">
        <v>151</v>
      </c>
      <c r="H52" s="182" t="s">
        <v>138</v>
      </c>
      <c r="I52" s="421" t="e">
        <f>#REF!</f>
        <v>#REF!</v>
      </c>
      <c r="J52" s="109" t="e">
        <f>#REF!</f>
        <v>#REF!</v>
      </c>
      <c r="K52" s="124" t="e">
        <f t="shared" ref="K52:K56" si="5">I52*J52</f>
        <v>#REF!</v>
      </c>
    </row>
    <row r="53" spans="1:11">
      <c r="A53" s="124" t="s">
        <v>152</v>
      </c>
      <c r="B53" s="125" t="s">
        <v>153</v>
      </c>
      <c r="C53" s="124" t="s">
        <v>154</v>
      </c>
      <c r="D53" s="124">
        <f>data!I127</f>
        <v>1</v>
      </c>
      <c r="E53" s="126">
        <f>data!J127</f>
        <v>2000</v>
      </c>
      <c r="F53" s="124">
        <f>D53*E53</f>
        <v>2000</v>
      </c>
      <c r="G53" s="127"/>
      <c r="H53" s="124"/>
      <c r="I53" s="129"/>
      <c r="J53" s="129"/>
      <c r="K53" s="124"/>
    </row>
    <row r="54" spans="1:11">
      <c r="A54" s="124"/>
      <c r="B54" s="125"/>
      <c r="C54" s="124"/>
      <c r="D54" s="130"/>
      <c r="E54" s="131"/>
      <c r="F54" s="132"/>
      <c r="G54" s="128" t="s">
        <v>322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4"/>
      <c r="B55" s="125"/>
      <c r="C55" s="124"/>
      <c r="D55" s="130"/>
      <c r="E55" s="131"/>
      <c r="F55" s="132"/>
      <c r="G55" s="127" t="s">
        <v>197</v>
      </c>
      <c r="H55" s="124" t="s">
        <v>156</v>
      </c>
      <c r="I55" s="129" t="e">
        <f>#REF!</f>
        <v>#REF!</v>
      </c>
      <c r="J55" s="124" t="e">
        <f>#REF!</f>
        <v>#REF!</v>
      </c>
      <c r="K55" s="124" t="e">
        <f t="shared" si="5"/>
        <v>#REF!</v>
      </c>
    </row>
    <row r="56" spans="1:11">
      <c r="A56" s="124"/>
      <c r="B56" s="125"/>
      <c r="C56" s="124"/>
      <c r="D56" s="130"/>
      <c r="E56" s="131"/>
      <c r="F56" s="132"/>
      <c r="G56" s="127" t="s">
        <v>196</v>
      </c>
      <c r="H56" s="124" t="s">
        <v>156</v>
      </c>
      <c r="I56" s="133" t="e">
        <f>#REF!</f>
        <v>#REF!</v>
      </c>
      <c r="J56" s="133" t="e">
        <f>#REF!</f>
        <v>#REF!</v>
      </c>
      <c r="K56" s="124" t="e">
        <f t="shared" si="5"/>
        <v>#REF!</v>
      </c>
    </row>
    <row r="57" spans="1:11">
      <c r="A57" s="120"/>
      <c r="B57" s="119"/>
      <c r="C57" s="120"/>
      <c r="D57" s="1256" t="s">
        <v>145</v>
      </c>
      <c r="E57" s="1257"/>
      <c r="F57" s="132" t="e">
        <f>SUM(F52:F56)</f>
        <v>#REF!</v>
      </c>
      <c r="G57" s="119"/>
      <c r="H57" s="120"/>
      <c r="I57" s="1242" t="s">
        <v>157</v>
      </c>
      <c r="J57" s="1243"/>
      <c r="K57" s="132" t="e">
        <f>SUM(K52:K56)</f>
        <v>#REF!</v>
      </c>
    </row>
    <row r="58" spans="1:11">
      <c r="A58" s="120"/>
      <c r="B58" s="119"/>
      <c r="C58" s="120"/>
      <c r="D58" s="121"/>
      <c r="E58" s="121"/>
      <c r="F58" s="122"/>
      <c r="G58" s="119"/>
      <c r="H58" s="120"/>
      <c r="I58" s="123"/>
      <c r="J58" s="123"/>
      <c r="K58" s="122"/>
    </row>
    <row r="60" spans="1:11">
      <c r="C60" s="1204" t="s">
        <v>158</v>
      </c>
      <c r="D60" s="1204"/>
      <c r="E60" s="1204"/>
      <c r="F60" s="1204"/>
      <c r="G60" s="423" t="e">
        <f>F24+F30+F37+F57+F49+F43</f>
        <v>#REF!</v>
      </c>
    </row>
    <row r="61" spans="1:11">
      <c r="C61" s="1204" t="s">
        <v>159</v>
      </c>
      <c r="D61" s="1204"/>
      <c r="E61" s="1204"/>
      <c r="F61" s="1204"/>
      <c r="G61" s="423" t="e">
        <f>G60*0.03</f>
        <v>#REF!</v>
      </c>
    </row>
    <row r="62" spans="1:11">
      <c r="C62" s="1204" t="s">
        <v>160</v>
      </c>
      <c r="D62" s="1204"/>
      <c r="E62" s="1204"/>
      <c r="F62" s="1204"/>
      <c r="G62" s="423" t="e">
        <f>G60*0.16</f>
        <v>#REF!</v>
      </c>
    </row>
    <row r="63" spans="1:11">
      <c r="C63" s="1204" t="s">
        <v>20</v>
      </c>
      <c r="D63" s="1204"/>
      <c r="E63" s="1204"/>
      <c r="F63" s="1204"/>
      <c r="G63" s="423" t="e">
        <f>G60+G61+G62</f>
        <v>#REF!</v>
      </c>
    </row>
    <row r="64" spans="1:11">
      <c r="C64" s="1204" t="s">
        <v>161</v>
      </c>
      <c r="D64" s="1204"/>
      <c r="E64" s="1204"/>
      <c r="F64" s="1204"/>
      <c r="G64" s="423" t="e">
        <f>K24+K30+K37+K43+K49</f>
        <v>#REF!</v>
      </c>
    </row>
    <row r="65" spans="1:11 16384:16384">
      <c r="C65" s="1478" t="s">
        <v>863</v>
      </c>
      <c r="D65" s="1479"/>
      <c r="E65" s="1479"/>
      <c r="F65" s="1480"/>
      <c r="G65" s="751" t="e">
        <f>G64*0.035</f>
        <v>#REF!</v>
      </c>
    </row>
    <row r="66" spans="1:11 16384:16384">
      <c r="C66" s="1204" t="s">
        <v>162</v>
      </c>
      <c r="D66" s="1204"/>
      <c r="E66" s="1204"/>
      <c r="F66" s="1204"/>
      <c r="G66" s="423" t="e">
        <f>K57</f>
        <v>#REF!</v>
      </c>
    </row>
    <row r="67" spans="1:11 16384:16384">
      <c r="C67" s="1204" t="s">
        <v>20</v>
      </c>
      <c r="D67" s="1204"/>
      <c r="E67" s="1204"/>
      <c r="F67" s="1204"/>
      <c r="G67" s="423" t="e">
        <f>G64+G66+G65</f>
        <v>#REF!</v>
      </c>
    </row>
    <row r="68" spans="1:11 16384:16384">
      <c r="C68" s="1244" t="s">
        <v>163</v>
      </c>
      <c r="D68" s="1244"/>
      <c r="E68" s="1244"/>
      <c r="F68" s="1244"/>
      <c r="G68" s="424" t="e">
        <f>G63+G67</f>
        <v>#REF!</v>
      </c>
    </row>
    <row r="69" spans="1:11 16384:16384" ht="17" thickBot="1">
      <c r="C69" s="1245" t="s">
        <v>164</v>
      </c>
      <c r="D69" s="1245"/>
      <c r="E69" s="1245"/>
      <c r="F69" s="1245"/>
      <c r="G69" s="431" t="e">
        <f>G60*0.03</f>
        <v>#REF!</v>
      </c>
      <c r="I69" s="139"/>
      <c r="J69" s="140"/>
    </row>
    <row r="70" spans="1:11 16384:16384" ht="16" thickBot="1">
      <c r="C70" s="1246" t="s">
        <v>165</v>
      </c>
      <c r="D70" s="1247"/>
      <c r="E70" s="1247"/>
      <c r="F70" s="1248"/>
      <c r="G70" s="432" t="e">
        <f>G68+G69</f>
        <v>#REF!</v>
      </c>
      <c r="XFD70" s="36" t="e">
        <f>SUM(A70:XFC70)</f>
        <v>#REF!</v>
      </c>
    </row>
    <row r="71" spans="1:11 16384:16384">
      <c r="A71" s="141"/>
      <c r="B71" s="141"/>
      <c r="H71" s="141"/>
      <c r="I71" s="141"/>
      <c r="J71" s="141"/>
      <c r="K71" s="141"/>
    </row>
    <row r="72" spans="1:11 16384:16384">
      <c r="A72" s="141"/>
      <c r="B72" s="141"/>
      <c r="C72" s="141"/>
      <c r="D72" s="141"/>
      <c r="E72" s="141"/>
      <c r="F72" s="142"/>
      <c r="G72" s="143"/>
      <c r="H72" s="141"/>
      <c r="I72" s="141"/>
      <c r="J72" s="141"/>
      <c r="K72" s="141"/>
    </row>
    <row r="73" spans="1:11 16384:16384">
      <c r="A73" s="141"/>
      <c r="B73" s="141"/>
      <c r="C73" s="141"/>
      <c r="D73" s="141"/>
      <c r="E73" s="141"/>
      <c r="F73" s="142"/>
      <c r="G73" s="144"/>
      <c r="H73" s="141"/>
      <c r="I73" s="141"/>
      <c r="J73" s="141"/>
      <c r="K73" s="141"/>
    </row>
    <row r="74" spans="1:11 16384:16384" ht="14" customHeight="1">
      <c r="A74" s="141"/>
      <c r="B74" s="141"/>
      <c r="C74" s="141"/>
      <c r="D74" s="141"/>
      <c r="E74" s="141"/>
      <c r="F74" s="142"/>
      <c r="G74" s="145"/>
      <c r="H74" s="141"/>
      <c r="I74" s="141"/>
      <c r="J74" s="141"/>
      <c r="K74" s="141"/>
    </row>
    <row r="75" spans="1:11 16384:16384">
      <c r="C75" s="141"/>
      <c r="D75" s="141"/>
      <c r="E75" s="141"/>
      <c r="F75" s="142"/>
      <c r="G75" s="144"/>
    </row>
    <row r="76" spans="1:11 16384:16384">
      <c r="F76" s="146"/>
      <c r="G76" s="147"/>
    </row>
    <row r="77" spans="1:11 16384:16384">
      <c r="G77" s="148"/>
    </row>
    <row r="78" spans="1:11 16384:16384" ht="14" customHeight="1">
      <c r="G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>
      <c r="C83" s="149"/>
    </row>
    <row r="84" spans="1:7">
      <c r="C84" s="147"/>
    </row>
    <row r="85" spans="1:7" s="141" customFormat="1">
      <c r="A85"/>
      <c r="B85"/>
      <c r="C85" s="149"/>
      <c r="D85"/>
      <c r="E85"/>
      <c r="F85"/>
      <c r="G85"/>
    </row>
    <row r="86" spans="1:7" s="141" customFormat="1">
      <c r="A86"/>
      <c r="B86"/>
      <c r="C86" s="147"/>
      <c r="D86"/>
      <c r="E86"/>
      <c r="F86"/>
      <c r="G86"/>
    </row>
    <row r="87" spans="1:7" s="141" customFormat="1">
      <c r="A87"/>
      <c r="B87"/>
      <c r="C87" s="36"/>
      <c r="D87"/>
      <c r="E87"/>
      <c r="F87"/>
      <c r="G87"/>
    </row>
    <row r="88" spans="1:7" s="141" customFormat="1">
      <c r="A88"/>
      <c r="B88"/>
      <c r="C88"/>
      <c r="D88"/>
      <c r="E88"/>
      <c r="F88"/>
      <c r="G88"/>
    </row>
  </sheetData>
  <mergeCells count="44">
    <mergeCell ref="C69:F69"/>
    <mergeCell ref="C70:F70"/>
    <mergeCell ref="A12:B12"/>
    <mergeCell ref="D24:E24"/>
    <mergeCell ref="I24:J24"/>
    <mergeCell ref="A25:D25"/>
    <mergeCell ref="D49:E49"/>
    <mergeCell ref="D30:E30"/>
    <mergeCell ref="I30:J30"/>
    <mergeCell ref="A31:K31"/>
    <mergeCell ref="I49:J49"/>
    <mergeCell ref="A32:E32"/>
    <mergeCell ref="D37:E37"/>
    <mergeCell ref="I37:J37"/>
    <mergeCell ref="A38:E38"/>
    <mergeCell ref="D57:E5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  <mergeCell ref="D43:E43"/>
    <mergeCell ref="I43:J43"/>
    <mergeCell ref="A44:E44"/>
    <mergeCell ref="A51:B51"/>
    <mergeCell ref="C60:F60"/>
    <mergeCell ref="I57:J57"/>
    <mergeCell ref="C66:F66"/>
    <mergeCell ref="C67:F67"/>
    <mergeCell ref="C68:F68"/>
    <mergeCell ref="C61:F61"/>
    <mergeCell ref="C62:F62"/>
    <mergeCell ref="C63:F63"/>
    <mergeCell ref="C64:F64"/>
    <mergeCell ref="C65:F6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798A-140E-48B4-B1E2-E7D7FFE71C19}">
  <dimension ref="A1:XFD88"/>
  <sheetViews>
    <sheetView topLeftCell="A28" zoomScale="90" zoomScaleNormal="90" workbookViewId="0">
      <selection activeCell="B13" sqref="B1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432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446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179</v>
      </c>
      <c r="H26" s="184" t="s">
        <v>63</v>
      </c>
      <c r="I26" s="491">
        <f>'Балки - КС и ПБКЛ'!I29</f>
        <v>1.92</v>
      </c>
      <c r="J26" s="308">
        <f>'Балки - КС и ПБКЛ'!J29</f>
        <v>24000</v>
      </c>
      <c r="K26" s="46">
        <f>I26*J26</f>
        <v>46080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54799.392405063292</v>
      </c>
    </row>
    <row r="31" spans="1:11">
      <c r="A31" s="1237"/>
      <c r="B31" s="1237"/>
      <c r="C31" s="1237"/>
      <c r="D31" s="1237"/>
      <c r="E31" s="1237"/>
      <c r="F31" s="1237"/>
      <c r="G31" s="1237"/>
      <c r="H31" s="1237"/>
      <c r="I31" s="1237"/>
      <c r="J31" s="1237"/>
      <c r="K31" s="1238"/>
    </row>
    <row r="32" spans="1:11">
      <c r="A32" s="1233" t="s">
        <v>318</v>
      </c>
      <c r="B32" s="1233"/>
      <c r="C32" s="1233"/>
      <c r="D32" s="1233"/>
      <c r="E32" s="1233"/>
      <c r="F32" s="160"/>
      <c r="G32" s="1029"/>
      <c r="H32" s="120"/>
      <c r="I32" s="1052"/>
      <c r="J32" s="1048"/>
      <c r="K32" s="67"/>
    </row>
    <row r="33" spans="1:11">
      <c r="A33" s="74">
        <v>1</v>
      </c>
      <c r="B33" s="75" t="s">
        <v>147</v>
      </c>
      <c r="C33" s="38" t="s">
        <v>148</v>
      </c>
      <c r="D33" s="189">
        <f>'Балки - КС и ПБКЛ'!D37</f>
        <v>55</v>
      </c>
      <c r="E33" s="39">
        <f>'Балки - КС и ПБКЛ'!E37</f>
        <v>600</v>
      </c>
      <c r="F33" s="39">
        <f>D33*E33</f>
        <v>33000</v>
      </c>
      <c r="G33" s="155" t="s">
        <v>179</v>
      </c>
      <c r="H33" s="182" t="s">
        <v>63</v>
      </c>
      <c r="I33" s="421">
        <f>'Балки - КС и ПБКЛ'!I37</f>
        <v>0.77999999999999992</v>
      </c>
      <c r="J33" s="210">
        <f>'Балки - КС и ПБКЛ'!J37</f>
        <v>24000</v>
      </c>
      <c r="K33" s="157">
        <f>I33*J33</f>
        <v>18719.999999999996</v>
      </c>
    </row>
    <row r="34" spans="1:11">
      <c r="A34" s="74"/>
      <c r="B34" s="75"/>
      <c r="C34" s="38"/>
      <c r="D34" s="189"/>
      <c r="E34" s="39"/>
      <c r="F34" s="39"/>
      <c r="G34" s="175" t="s">
        <v>87</v>
      </c>
      <c r="H34" s="176" t="s">
        <v>85</v>
      </c>
      <c r="I34" s="421">
        <f>'Балки - КС и ПБКЛ'!I38</f>
        <v>54</v>
      </c>
      <c r="J34" s="210">
        <f>'Балки - КС и ПБКЛ'!J38</f>
        <v>65</v>
      </c>
      <c r="K34" s="157">
        <f>I34*J34</f>
        <v>3510</v>
      </c>
    </row>
    <row r="35" spans="1:11">
      <c r="A35" s="74"/>
      <c r="B35" s="163"/>
      <c r="C35" s="164"/>
      <c r="D35" s="103"/>
      <c r="E35" s="103"/>
      <c r="F35" s="39"/>
      <c r="G35" s="223" t="s">
        <v>141</v>
      </c>
      <c r="H35" s="182" t="s">
        <v>85</v>
      </c>
      <c r="I35" s="421">
        <f>'Балки - КС и ПБКЛ'!I39</f>
        <v>216</v>
      </c>
      <c r="J35" s="157">
        <f>'Балки - КС и ПБКЛ'!J39</f>
        <v>13</v>
      </c>
      <c r="K35" s="157">
        <f>I35*J35</f>
        <v>2808</v>
      </c>
    </row>
    <row r="36" spans="1:11">
      <c r="A36" s="172" t="s">
        <v>152</v>
      </c>
      <c r="B36" s="173" t="s">
        <v>883</v>
      </c>
      <c r="C36" s="174" t="s">
        <v>148</v>
      </c>
      <c r="D36" s="161">
        <f>I33/0.06*3</f>
        <v>38.999999999999993</v>
      </c>
      <c r="E36" s="161">
        <f>data!J129</f>
        <v>45</v>
      </c>
      <c r="F36" s="39">
        <f t="shared" ref="F36" si="3">D36*E36</f>
        <v>1754.9999999999998</v>
      </c>
      <c r="G36" s="391" t="s">
        <v>149</v>
      </c>
      <c r="H36" s="392" t="s">
        <v>144</v>
      </c>
      <c r="I36" s="871">
        <f>'Балки - КС и ПБКЛ'!I40</f>
        <v>2.7341772151898733</v>
      </c>
      <c r="J36" s="348">
        <f>'Балки - КС и ПБКЛ'!J40</f>
        <v>380</v>
      </c>
      <c r="K36" s="869">
        <f t="shared" ref="K36" si="4">I36*J36</f>
        <v>1038.9873417721519</v>
      </c>
    </row>
    <row r="37" spans="1:11">
      <c r="A37" s="116"/>
      <c r="B37" s="117"/>
      <c r="C37" s="66"/>
      <c r="D37" s="1253" t="s">
        <v>145</v>
      </c>
      <c r="E37" s="1253"/>
      <c r="F37" s="118">
        <f>SUM(F33:F36)</f>
        <v>34755</v>
      </c>
      <c r="G37" s="119"/>
      <c r="H37" s="120"/>
      <c r="I37" s="1254" t="s">
        <v>146</v>
      </c>
      <c r="J37" s="1254"/>
      <c r="K37" s="118">
        <f>SUM(K33:K36)</f>
        <v>26076.987341772146</v>
      </c>
    </row>
    <row r="38" spans="1:11">
      <c r="A38" s="1233" t="s">
        <v>319</v>
      </c>
      <c r="B38" s="1233"/>
      <c r="C38" s="1233"/>
      <c r="D38" s="1233"/>
      <c r="E38" s="1233"/>
      <c r="F38" s="160"/>
      <c r="G38" s="1029"/>
      <c r="H38" s="120"/>
      <c r="I38" s="1052"/>
      <c r="J38" s="1048"/>
      <c r="K38" s="67"/>
    </row>
    <row r="39" spans="1:11">
      <c r="A39" s="74">
        <v>1</v>
      </c>
      <c r="B39" s="75" t="s">
        <v>147</v>
      </c>
      <c r="C39" s="38" t="s">
        <v>148</v>
      </c>
      <c r="D39" s="189">
        <f>'Балки - КС и ПБКЛ'!D43</f>
        <v>80</v>
      </c>
      <c r="E39" s="39">
        <f>'Балки - КС и ПБКЛ'!E43</f>
        <v>600</v>
      </c>
      <c r="F39" s="39">
        <f>D39*E39</f>
        <v>48000</v>
      </c>
      <c r="G39" s="155" t="s">
        <v>179</v>
      </c>
      <c r="H39" s="182" t="s">
        <v>63</v>
      </c>
      <c r="I39" s="421">
        <f>'Балки - КС и ПБКЛ'!I43</f>
        <v>0</v>
      </c>
      <c r="J39" s="210">
        <f>'Балки - КС и ПБКЛ'!J43</f>
        <v>24000</v>
      </c>
      <c r="K39" s="157">
        <f>I39*J39</f>
        <v>0</v>
      </c>
    </row>
    <row r="40" spans="1:11">
      <c r="A40" s="74"/>
      <c r="B40" s="75"/>
      <c r="C40" s="38"/>
      <c r="D40" s="189"/>
      <c r="E40" s="39"/>
      <c r="F40" s="39"/>
      <c r="G40" s="175" t="s">
        <v>87</v>
      </c>
      <c r="H40" s="176" t="s">
        <v>85</v>
      </c>
      <c r="I40" s="421">
        <f>'Балки - КС и ПБКЛ'!I44</f>
        <v>0</v>
      </c>
      <c r="J40" s="210">
        <f>'Балки - КС и ПБКЛ'!J44</f>
        <v>65</v>
      </c>
      <c r="K40" s="157">
        <f>I40*J40</f>
        <v>0</v>
      </c>
    </row>
    <row r="41" spans="1:11">
      <c r="A41" s="167"/>
      <c r="B41" s="177"/>
      <c r="C41" s="178"/>
      <c r="D41" s="179"/>
      <c r="E41" s="179"/>
      <c r="F41" s="39"/>
      <c r="G41" s="223" t="s">
        <v>141</v>
      </c>
      <c r="H41" s="182" t="s">
        <v>85</v>
      </c>
      <c r="I41" s="421">
        <f>'Балки - КС и ПБКЛ'!I45</f>
        <v>0</v>
      </c>
      <c r="J41" s="157">
        <f>'Балки - КС и ПБКЛ'!J45</f>
        <v>13</v>
      </c>
      <c r="K41" s="157">
        <f>I41*J41</f>
        <v>0</v>
      </c>
    </row>
    <row r="42" spans="1:11">
      <c r="A42" s="162" t="s">
        <v>152</v>
      </c>
      <c r="B42" s="163" t="s">
        <v>883</v>
      </c>
      <c r="C42" s="164" t="s">
        <v>148</v>
      </c>
      <c r="D42" s="103">
        <f>I39/0.06*3</f>
        <v>0</v>
      </c>
      <c r="E42" s="103">
        <f>data!J129</f>
        <v>45</v>
      </c>
      <c r="F42" s="39">
        <f t="shared" ref="F42" si="5">D42*E42</f>
        <v>0</v>
      </c>
      <c r="G42" s="223" t="s">
        <v>149</v>
      </c>
      <c r="H42" s="182" t="s">
        <v>144</v>
      </c>
      <c r="I42" s="584">
        <f>'Балки - КС и ПБКЛ'!I46</f>
        <v>0</v>
      </c>
      <c r="J42" s="157">
        <f>'Балки - КС и ПБКЛ'!J46</f>
        <v>380</v>
      </c>
      <c r="K42" s="157">
        <f t="shared" ref="K42" si="6">I42*J42</f>
        <v>0</v>
      </c>
    </row>
    <row r="43" spans="1:11">
      <c r="A43" s="116"/>
      <c r="B43" s="117"/>
      <c r="C43" s="66"/>
      <c r="D43" s="1253" t="s">
        <v>145</v>
      </c>
      <c r="E43" s="1253"/>
      <c r="F43" s="118">
        <f>SUM(F39:F42)</f>
        <v>48000</v>
      </c>
      <c r="G43" s="119"/>
      <c r="H43" s="120"/>
      <c r="I43" s="1254" t="s">
        <v>146</v>
      </c>
      <c r="J43" s="1254"/>
      <c r="K43" s="118">
        <f>SUM(K39:K42)</f>
        <v>0</v>
      </c>
    </row>
    <row r="44" spans="1:11">
      <c r="A44" s="1233" t="s">
        <v>320</v>
      </c>
      <c r="B44" s="1233"/>
      <c r="C44" s="1233"/>
      <c r="D44" s="1233"/>
      <c r="E44" s="1233"/>
      <c r="F44" s="160"/>
      <c r="G44" s="1029"/>
      <c r="H44" s="120"/>
      <c r="I44" s="1052"/>
      <c r="J44" s="1048"/>
      <c r="K44" s="67"/>
    </row>
    <row r="45" spans="1:11">
      <c r="A45" s="74">
        <v>1</v>
      </c>
      <c r="B45" s="75" t="s">
        <v>147</v>
      </c>
      <c r="C45" s="38" t="s">
        <v>148</v>
      </c>
      <c r="D45" s="189">
        <f>'Балки - КС и ПБКЛ'!D49</f>
        <v>19.88</v>
      </c>
      <c r="E45" s="39">
        <f>'Балки - КС и ПБКЛ'!E49</f>
        <v>600</v>
      </c>
      <c r="F45" s="39">
        <f>D45*E45</f>
        <v>11928</v>
      </c>
      <c r="G45" s="155" t="s">
        <v>179</v>
      </c>
      <c r="H45" s="182" t="s">
        <v>63</v>
      </c>
      <c r="I45" s="421">
        <f>'Балки - КС и ПБКЛ'!I49</f>
        <v>0</v>
      </c>
      <c r="J45" s="210">
        <f>'Балки - КС и ПБКЛ'!J49</f>
        <v>24000</v>
      </c>
      <c r="K45" s="157">
        <f>I45*J45</f>
        <v>0</v>
      </c>
    </row>
    <row r="46" spans="1:11">
      <c r="A46" s="74"/>
      <c r="B46" s="75"/>
      <c r="C46" s="38"/>
      <c r="D46" s="189"/>
      <c r="E46" s="39"/>
      <c r="F46" s="39"/>
      <c r="G46" s="175" t="s">
        <v>87</v>
      </c>
      <c r="H46" s="176" t="s">
        <v>85</v>
      </c>
      <c r="I46" s="421">
        <f>'Балки - КС и ПБКЛ'!I50</f>
        <v>0</v>
      </c>
      <c r="J46" s="210">
        <f>'Балки - КС и ПБКЛ'!J50</f>
        <v>65</v>
      </c>
      <c r="K46" s="157">
        <f>I46*J46</f>
        <v>0</v>
      </c>
    </row>
    <row r="47" spans="1:11">
      <c r="A47" s="167"/>
      <c r="B47" s="177"/>
      <c r="C47" s="178"/>
      <c r="D47" s="179"/>
      <c r="E47" s="179"/>
      <c r="F47" s="39"/>
      <c r="G47" s="223" t="s">
        <v>141</v>
      </c>
      <c r="H47" s="182" t="s">
        <v>85</v>
      </c>
      <c r="I47" s="421">
        <f>'Балки - КС и ПБКЛ'!I51</f>
        <v>0</v>
      </c>
      <c r="J47" s="157">
        <f>'Балки - КС и ПБКЛ'!J51</f>
        <v>13</v>
      </c>
      <c r="K47" s="157">
        <f>I47*J47</f>
        <v>0</v>
      </c>
    </row>
    <row r="48" spans="1:11">
      <c r="A48" s="162" t="s">
        <v>152</v>
      </c>
      <c r="B48" s="163" t="s">
        <v>883</v>
      </c>
      <c r="C48" s="164" t="s">
        <v>148</v>
      </c>
      <c r="D48" s="103">
        <f>I45/0.06*3</f>
        <v>0</v>
      </c>
      <c r="E48" s="103">
        <f>data!J129</f>
        <v>45</v>
      </c>
      <c r="F48" s="39">
        <f t="shared" ref="F48" si="7">D48*E48</f>
        <v>0</v>
      </c>
      <c r="G48" s="223" t="s">
        <v>149</v>
      </c>
      <c r="H48" s="182" t="s">
        <v>144</v>
      </c>
      <c r="I48" s="584">
        <f>'Балки - КС и ПБКЛ'!I52</f>
        <v>0</v>
      </c>
      <c r="J48" s="157">
        <f>'Балки - КС и ПБКЛ'!J52</f>
        <v>380</v>
      </c>
      <c r="K48" s="157">
        <f t="shared" ref="K48" si="8">I48*J48</f>
        <v>0</v>
      </c>
    </row>
    <row r="49" spans="1:11">
      <c r="A49" s="116"/>
      <c r="B49" s="117"/>
      <c r="C49" s="66"/>
      <c r="D49" s="1253" t="s">
        <v>145</v>
      </c>
      <c r="E49" s="1253"/>
      <c r="F49" s="118">
        <f>SUM(F45:F48)</f>
        <v>11928</v>
      </c>
      <c r="G49" s="119"/>
      <c r="H49" s="120"/>
      <c r="I49" s="1254" t="s">
        <v>146</v>
      </c>
      <c r="J49" s="1254"/>
      <c r="K49" s="118">
        <f>SUM(K45:K48)</f>
        <v>0</v>
      </c>
    </row>
    <row r="50" spans="1:11">
      <c r="A50" s="116"/>
      <c r="B50" s="117"/>
      <c r="C50" s="66"/>
      <c r="D50" s="121"/>
      <c r="E50" s="121"/>
      <c r="F50" s="122"/>
      <c r="G50" s="119"/>
      <c r="H50" s="120"/>
      <c r="I50" s="123"/>
      <c r="J50" s="123"/>
      <c r="K50" s="122"/>
    </row>
    <row r="51" spans="1:11">
      <c r="A51" s="1239" t="s">
        <v>195</v>
      </c>
      <c r="B51" s="1239"/>
      <c r="C51" s="120"/>
      <c r="D51" s="121"/>
      <c r="E51" s="121"/>
      <c r="F51" s="122"/>
      <c r="G51" s="119"/>
      <c r="H51" s="120"/>
      <c r="I51" s="123"/>
      <c r="J51" s="123"/>
      <c r="K51" s="122"/>
    </row>
    <row r="52" spans="1:11" ht="15" customHeight="1">
      <c r="A52" s="124" t="s">
        <v>134</v>
      </c>
      <c r="B52" s="125" t="s">
        <v>150</v>
      </c>
      <c r="C52" s="124" t="s">
        <v>63</v>
      </c>
      <c r="D52" s="124" t="e">
        <f>D13+I22+I26+I33+I39+I45</f>
        <v>#REF!</v>
      </c>
      <c r="E52" s="126" t="e">
        <f>#REF!</f>
        <v>#REF!</v>
      </c>
      <c r="F52" s="124" t="e">
        <f>D52*E52</f>
        <v>#REF!</v>
      </c>
      <c r="G52" s="127" t="s">
        <v>151</v>
      </c>
      <c r="H52" s="182" t="s">
        <v>138</v>
      </c>
      <c r="I52" s="421" t="e">
        <f>#REF!</f>
        <v>#REF!</v>
      </c>
      <c r="J52" s="109" t="e">
        <f>#REF!</f>
        <v>#REF!</v>
      </c>
      <c r="K52" s="124" t="e">
        <f t="shared" ref="K52:K56" si="9">I52*J52</f>
        <v>#REF!</v>
      </c>
    </row>
    <row r="53" spans="1:11">
      <c r="A53" s="124" t="s">
        <v>152</v>
      </c>
      <c r="B53" s="125" t="s">
        <v>153</v>
      </c>
      <c r="C53" s="124" t="s">
        <v>154</v>
      </c>
      <c r="D53" s="124">
        <f>data!I127</f>
        <v>1</v>
      </c>
      <c r="E53" s="126">
        <f>data!J127</f>
        <v>2000</v>
      </c>
      <c r="F53" s="124">
        <f>D53*E53</f>
        <v>2000</v>
      </c>
      <c r="G53" s="127"/>
      <c r="H53" s="124"/>
      <c r="I53" s="129"/>
      <c r="J53" s="129"/>
      <c r="K53" s="124"/>
    </row>
    <row r="54" spans="1:11">
      <c r="A54" s="124"/>
      <c r="B54" s="125"/>
      <c r="C54" s="124"/>
      <c r="D54" s="130"/>
      <c r="E54" s="131"/>
      <c r="F54" s="132"/>
      <c r="G54" s="128" t="s">
        <v>322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4"/>
      <c r="B55" s="125"/>
      <c r="C55" s="124"/>
      <c r="D55" s="130"/>
      <c r="E55" s="131"/>
      <c r="F55" s="132"/>
      <c r="G55" s="127" t="s">
        <v>197</v>
      </c>
      <c r="H55" s="124" t="s">
        <v>156</v>
      </c>
      <c r="I55" s="129" t="e">
        <f>#REF!</f>
        <v>#REF!</v>
      </c>
      <c r="J55" s="124" t="e">
        <f>#REF!</f>
        <v>#REF!</v>
      </c>
      <c r="K55" s="124" t="e">
        <f t="shared" si="9"/>
        <v>#REF!</v>
      </c>
    </row>
    <row r="56" spans="1:11">
      <c r="A56" s="124"/>
      <c r="B56" s="125"/>
      <c r="C56" s="124"/>
      <c r="D56" s="130"/>
      <c r="E56" s="131"/>
      <c r="F56" s="132"/>
      <c r="G56" s="127" t="s">
        <v>196</v>
      </c>
      <c r="H56" s="124" t="s">
        <v>156</v>
      </c>
      <c r="I56" s="133" t="e">
        <f>#REF!</f>
        <v>#REF!</v>
      </c>
      <c r="J56" s="133" t="e">
        <f>#REF!</f>
        <v>#REF!</v>
      </c>
      <c r="K56" s="124" t="e">
        <f t="shared" si="9"/>
        <v>#REF!</v>
      </c>
    </row>
    <row r="57" spans="1:11">
      <c r="A57" s="120"/>
      <c r="B57" s="119"/>
      <c r="C57" s="120"/>
      <c r="D57" s="1256" t="s">
        <v>145</v>
      </c>
      <c r="E57" s="1257"/>
      <c r="F57" s="132" t="e">
        <f>SUM(F52:F56)</f>
        <v>#REF!</v>
      </c>
      <c r="G57" s="119"/>
      <c r="H57" s="120"/>
      <c r="I57" s="1242" t="s">
        <v>157</v>
      </c>
      <c r="J57" s="1243"/>
      <c r="K57" s="132" t="e">
        <f>SUM(K52:K56)</f>
        <v>#REF!</v>
      </c>
    </row>
    <row r="58" spans="1:11">
      <c r="A58" s="120"/>
      <c r="B58" s="119"/>
      <c r="C58" s="120"/>
      <c r="D58" s="121"/>
      <c r="E58" s="121"/>
      <c r="F58" s="122"/>
      <c r="G58" s="119"/>
      <c r="H58" s="120"/>
      <c r="I58" s="123"/>
      <c r="J58" s="123"/>
      <c r="K58" s="122"/>
    </row>
    <row r="60" spans="1:11">
      <c r="C60" s="1204" t="s">
        <v>158</v>
      </c>
      <c r="D60" s="1204"/>
      <c r="E60" s="1204"/>
      <c r="F60" s="1204"/>
      <c r="G60" s="423" t="e">
        <f>F24+F30+F37+F57+F43+F49</f>
        <v>#REF!</v>
      </c>
    </row>
    <row r="61" spans="1:11">
      <c r="C61" s="1204" t="s">
        <v>159</v>
      </c>
      <c r="D61" s="1204"/>
      <c r="E61" s="1204"/>
      <c r="F61" s="1204"/>
      <c r="G61" s="423" t="e">
        <f>G60*0.03</f>
        <v>#REF!</v>
      </c>
    </row>
    <row r="62" spans="1:11">
      <c r="C62" s="1204" t="s">
        <v>160</v>
      </c>
      <c r="D62" s="1204"/>
      <c r="E62" s="1204"/>
      <c r="F62" s="1204"/>
      <c r="G62" s="423" t="e">
        <f>G60*0.16</f>
        <v>#REF!</v>
      </c>
    </row>
    <row r="63" spans="1:11">
      <c r="C63" s="1204" t="s">
        <v>20</v>
      </c>
      <c r="D63" s="1204"/>
      <c r="E63" s="1204"/>
      <c r="F63" s="1204"/>
      <c r="G63" s="423" t="e">
        <f>G60+G61+G62</f>
        <v>#REF!</v>
      </c>
    </row>
    <row r="64" spans="1:11">
      <c r="C64" s="1204" t="s">
        <v>161</v>
      </c>
      <c r="D64" s="1204"/>
      <c r="E64" s="1204"/>
      <c r="F64" s="1204"/>
      <c r="G64" s="423" t="e">
        <f>K24+K30+K37+K43+K49</f>
        <v>#REF!</v>
      </c>
    </row>
    <row r="65" spans="1:11 16384:16384">
      <c r="C65" s="1478" t="s">
        <v>863</v>
      </c>
      <c r="D65" s="1479"/>
      <c r="E65" s="1479"/>
      <c r="F65" s="1480"/>
      <c r="G65" s="751" t="e">
        <f>G64*0.035</f>
        <v>#REF!</v>
      </c>
    </row>
    <row r="66" spans="1:11 16384:16384">
      <c r="C66" s="1204" t="s">
        <v>162</v>
      </c>
      <c r="D66" s="1204"/>
      <c r="E66" s="1204"/>
      <c r="F66" s="1204"/>
      <c r="G66" s="423" t="e">
        <f>K57</f>
        <v>#REF!</v>
      </c>
    </row>
    <row r="67" spans="1:11 16384:16384">
      <c r="C67" s="1204" t="s">
        <v>20</v>
      </c>
      <c r="D67" s="1204"/>
      <c r="E67" s="1204"/>
      <c r="F67" s="1204"/>
      <c r="G67" s="423" t="e">
        <f>G64+G66+G65</f>
        <v>#REF!</v>
      </c>
    </row>
    <row r="68" spans="1:11 16384:16384">
      <c r="C68" s="1244" t="s">
        <v>163</v>
      </c>
      <c r="D68" s="1244"/>
      <c r="E68" s="1244"/>
      <c r="F68" s="1244"/>
      <c r="G68" s="424" t="e">
        <f>G63+G67</f>
        <v>#REF!</v>
      </c>
    </row>
    <row r="69" spans="1:11 16384:16384" ht="17" thickBot="1">
      <c r="C69" s="1245" t="s">
        <v>164</v>
      </c>
      <c r="D69" s="1245"/>
      <c r="E69" s="1245"/>
      <c r="F69" s="1245"/>
      <c r="G69" s="431" t="e">
        <f>G60*0.03</f>
        <v>#REF!</v>
      </c>
      <c r="I69" s="139"/>
      <c r="J69" s="140"/>
    </row>
    <row r="70" spans="1:11 16384:16384" ht="16" thickBot="1">
      <c r="C70" s="1246" t="s">
        <v>165</v>
      </c>
      <c r="D70" s="1247"/>
      <c r="E70" s="1247"/>
      <c r="F70" s="1248"/>
      <c r="G70" s="432" t="e">
        <f>G68+G69</f>
        <v>#REF!</v>
      </c>
      <c r="XFD70" s="36" t="e">
        <f>SUM(A70:XFC70)</f>
        <v>#REF!</v>
      </c>
    </row>
    <row r="71" spans="1:11 16384:16384">
      <c r="A71" s="141"/>
      <c r="B71" s="141"/>
      <c r="H71" s="141"/>
      <c r="I71" s="141"/>
      <c r="J71" s="141"/>
      <c r="K71" s="141"/>
    </row>
    <row r="72" spans="1:11 16384:16384">
      <c r="A72" s="141"/>
      <c r="B72" s="141"/>
      <c r="C72" s="141"/>
      <c r="D72" s="141"/>
      <c r="E72" s="141"/>
      <c r="F72" s="142"/>
      <c r="G72" s="143"/>
      <c r="H72" s="141"/>
      <c r="I72" s="141"/>
      <c r="J72" s="141"/>
      <c r="K72" s="141"/>
    </row>
    <row r="73" spans="1:11 16384:16384">
      <c r="A73" s="141"/>
      <c r="B73" s="141"/>
      <c r="C73" s="141"/>
      <c r="D73" s="141"/>
      <c r="E73" s="141"/>
      <c r="F73" s="142"/>
      <c r="G73" s="144"/>
      <c r="H73" s="141"/>
      <c r="I73" s="141"/>
      <c r="J73" s="141"/>
      <c r="K73" s="141"/>
    </row>
    <row r="74" spans="1:11 16384:16384" ht="14" customHeight="1">
      <c r="A74" s="141"/>
      <c r="B74" s="141"/>
      <c r="C74" s="141"/>
      <c r="D74" s="141"/>
      <c r="E74" s="141"/>
      <c r="F74" s="142"/>
      <c r="G74" s="145"/>
      <c r="H74" s="141"/>
      <c r="I74" s="141"/>
      <c r="J74" s="141"/>
      <c r="K74" s="141"/>
    </row>
    <row r="75" spans="1:11 16384:16384">
      <c r="C75" s="141"/>
      <c r="D75" s="141"/>
      <c r="E75" s="141"/>
      <c r="F75" s="142"/>
      <c r="G75" s="144"/>
    </row>
    <row r="76" spans="1:11 16384:16384">
      <c r="F76" s="146"/>
      <c r="G76" s="147"/>
    </row>
    <row r="77" spans="1:11 16384:16384">
      <c r="G77" s="148"/>
    </row>
    <row r="78" spans="1:11 16384:16384" ht="14" customHeight="1">
      <c r="G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>
      <c r="C83" s="149"/>
    </row>
    <row r="84" spans="1:7">
      <c r="C84" s="147"/>
    </row>
    <row r="85" spans="1:7" s="141" customFormat="1">
      <c r="A85"/>
      <c r="B85"/>
      <c r="C85" s="149"/>
      <c r="D85"/>
      <c r="E85"/>
      <c r="F85"/>
      <c r="G85"/>
    </row>
    <row r="86" spans="1:7" s="141" customFormat="1">
      <c r="A86"/>
      <c r="B86"/>
      <c r="C86" s="147"/>
      <c r="D86"/>
      <c r="E86"/>
      <c r="F86"/>
      <c r="G86"/>
    </row>
    <row r="87" spans="1:7" s="141" customFormat="1">
      <c r="A87"/>
      <c r="B87"/>
      <c r="C87" s="36"/>
      <c r="D87"/>
      <c r="E87"/>
      <c r="F87"/>
      <c r="G87"/>
    </row>
    <row r="88" spans="1:7" s="141" customFormat="1">
      <c r="A88"/>
      <c r="B88"/>
      <c r="C88"/>
      <c r="D88"/>
      <c r="E88"/>
      <c r="F88"/>
      <c r="G88"/>
    </row>
  </sheetData>
  <mergeCells count="44">
    <mergeCell ref="C68:F68"/>
    <mergeCell ref="C69:F69"/>
    <mergeCell ref="C70:F70"/>
    <mergeCell ref="C67:F67"/>
    <mergeCell ref="A38:E38"/>
    <mergeCell ref="C64:F64"/>
    <mergeCell ref="C66:F66"/>
    <mergeCell ref="C60:F60"/>
    <mergeCell ref="C61:F61"/>
    <mergeCell ref="C62:F62"/>
    <mergeCell ref="C63:F63"/>
    <mergeCell ref="A44:E44"/>
    <mergeCell ref="D49:E49"/>
    <mergeCell ref="C65:F65"/>
    <mergeCell ref="A7:K7"/>
    <mergeCell ref="A12:B12"/>
    <mergeCell ref="D24:E24"/>
    <mergeCell ref="I24:J24"/>
    <mergeCell ref="A25:D25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9:J49"/>
    <mergeCell ref="A51:B51"/>
    <mergeCell ref="D57:E57"/>
    <mergeCell ref="I57:J57"/>
    <mergeCell ref="A8:G8"/>
    <mergeCell ref="D30:E30"/>
    <mergeCell ref="I30:J30"/>
    <mergeCell ref="A31:K31"/>
    <mergeCell ref="A32:E32"/>
    <mergeCell ref="D37:E37"/>
    <mergeCell ref="I37:J37"/>
    <mergeCell ref="D43:E43"/>
    <mergeCell ref="I43:J43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6342-CA54-4744-88F9-4FF663CB6314}">
  <dimension ref="A1:XFD88"/>
  <sheetViews>
    <sheetView topLeftCell="A49" zoomScale="90" zoomScaleNormal="90" workbookViewId="0">
      <selection activeCell="D23" sqref="D2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431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882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428</v>
      </c>
      <c r="H26" s="184" t="s">
        <v>63</v>
      </c>
      <c r="I26" s="491">
        <f>'Балки - КС и ПБКЛ'!I29</f>
        <v>1.92</v>
      </c>
      <c r="J26" s="308">
        <f>'Балки - ест. влахность'!J29</f>
        <v>17000</v>
      </c>
      <c r="K26" s="46">
        <f>I26*J26</f>
        <v>32640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41359.392405063292</v>
      </c>
    </row>
    <row r="31" spans="1:11">
      <c r="A31" s="1237"/>
      <c r="B31" s="1237"/>
      <c r="C31" s="1237"/>
      <c r="D31" s="1237"/>
      <c r="E31" s="1237"/>
      <c r="F31" s="1237"/>
      <c r="G31" s="1237"/>
      <c r="H31" s="1237"/>
      <c r="I31" s="1237"/>
      <c r="J31" s="1237"/>
      <c r="K31" s="1238"/>
    </row>
    <row r="32" spans="1:11">
      <c r="A32" s="1233" t="s">
        <v>318</v>
      </c>
      <c r="B32" s="1233"/>
      <c r="C32" s="1233"/>
      <c r="D32" s="1233"/>
      <c r="E32" s="1233"/>
      <c r="F32" s="160"/>
      <c r="G32" s="1029"/>
      <c r="H32" s="120"/>
      <c r="I32" s="1052"/>
      <c r="J32" s="1048"/>
      <c r="K32" s="67"/>
    </row>
    <row r="33" spans="1:11">
      <c r="A33" s="74">
        <v>1</v>
      </c>
      <c r="B33" s="75" t="s">
        <v>147</v>
      </c>
      <c r="C33" s="38" t="s">
        <v>148</v>
      </c>
      <c r="D33" s="189">
        <f>'Балки - КС и ПБКЛ'!D37</f>
        <v>55</v>
      </c>
      <c r="E33" s="39">
        <f>'Балки - КС и ПБКЛ'!E37</f>
        <v>600</v>
      </c>
      <c r="F33" s="39">
        <f>D33*E33</f>
        <v>33000</v>
      </c>
      <c r="G33" s="155" t="s">
        <v>428</v>
      </c>
      <c r="H33" s="182" t="s">
        <v>63</v>
      </c>
      <c r="I33" s="421">
        <f>'Балки - КС и ПБКЛ'!I37</f>
        <v>0.77999999999999992</v>
      </c>
      <c r="J33" s="210">
        <f>'Балки - ест. влахность'!J36</f>
        <v>17000</v>
      </c>
      <c r="K33" s="157">
        <f>I33*J33</f>
        <v>13259.999999999998</v>
      </c>
    </row>
    <row r="34" spans="1:11">
      <c r="A34" s="74"/>
      <c r="B34" s="75"/>
      <c r="C34" s="38"/>
      <c r="D34" s="189"/>
      <c r="E34" s="39"/>
      <c r="F34" s="39"/>
      <c r="G34" s="175" t="s">
        <v>87</v>
      </c>
      <c r="H34" s="176" t="s">
        <v>85</v>
      </c>
      <c r="I34" s="421">
        <f>'Балки - КС и ПБКЛ'!I38</f>
        <v>54</v>
      </c>
      <c r="J34" s="210">
        <f>'Балки - КС и ПБКЛ'!J38</f>
        <v>65</v>
      </c>
      <c r="K34" s="157">
        <f>I34*J34</f>
        <v>3510</v>
      </c>
    </row>
    <row r="35" spans="1:11">
      <c r="A35" s="74"/>
      <c r="B35" s="163"/>
      <c r="C35" s="164"/>
      <c r="D35" s="103"/>
      <c r="E35" s="103"/>
      <c r="F35" s="39"/>
      <c r="G35" s="223" t="s">
        <v>141</v>
      </c>
      <c r="H35" s="182" t="s">
        <v>85</v>
      </c>
      <c r="I35" s="421">
        <f>'Балки - КС и ПБКЛ'!I39</f>
        <v>216</v>
      </c>
      <c r="J35" s="157">
        <f>'Балки - КС и ПБКЛ'!J39</f>
        <v>13</v>
      </c>
      <c r="K35" s="157">
        <f>I35*J35</f>
        <v>2808</v>
      </c>
    </row>
    <row r="36" spans="1:11">
      <c r="A36" s="172" t="s">
        <v>152</v>
      </c>
      <c r="B36" s="173" t="s">
        <v>883</v>
      </c>
      <c r="C36" s="174" t="s">
        <v>148</v>
      </c>
      <c r="D36" s="161">
        <f>I33/0.06*3</f>
        <v>38.999999999999993</v>
      </c>
      <c r="E36" s="161">
        <f>data!J129</f>
        <v>45</v>
      </c>
      <c r="F36" s="39">
        <f t="shared" ref="F36" si="3">D36*E36</f>
        <v>1754.9999999999998</v>
      </c>
      <c r="G36" s="391" t="s">
        <v>149</v>
      </c>
      <c r="H36" s="392" t="s">
        <v>144</v>
      </c>
      <c r="I36" s="871">
        <f>'Балки - КС и ПБКЛ'!I40</f>
        <v>2.7341772151898733</v>
      </c>
      <c r="J36" s="348">
        <f>'Балки - КС и ПБКЛ'!J40</f>
        <v>380</v>
      </c>
      <c r="K36" s="869">
        <f t="shared" ref="K36" si="4">I36*J36</f>
        <v>1038.9873417721519</v>
      </c>
    </row>
    <row r="37" spans="1:11">
      <c r="A37" s="116"/>
      <c r="B37" s="117"/>
      <c r="C37" s="66"/>
      <c r="D37" s="1253" t="s">
        <v>145</v>
      </c>
      <c r="E37" s="1253"/>
      <c r="F37" s="118">
        <f>SUM(F33:F36)</f>
        <v>34755</v>
      </c>
      <c r="G37" s="119"/>
      <c r="H37" s="120"/>
      <c r="I37" s="1254" t="s">
        <v>146</v>
      </c>
      <c r="J37" s="1254"/>
      <c r="K37" s="118">
        <f>SUM(K33:K36)</f>
        <v>20616.987341772154</v>
      </c>
    </row>
    <row r="38" spans="1:11">
      <c r="A38" s="1233" t="s">
        <v>319</v>
      </c>
      <c r="B38" s="1233"/>
      <c r="C38" s="1233"/>
      <c r="D38" s="1233"/>
      <c r="E38" s="1233"/>
      <c r="F38" s="160"/>
      <c r="G38" s="1029"/>
      <c r="H38" s="120"/>
      <c r="I38" s="1052"/>
      <c r="J38" s="1048"/>
      <c r="K38" s="67"/>
    </row>
    <row r="39" spans="1:11">
      <c r="A39" s="74">
        <v>1</v>
      </c>
      <c r="B39" s="75" t="s">
        <v>147</v>
      </c>
      <c r="C39" s="38" t="s">
        <v>148</v>
      </c>
      <c r="D39" s="189">
        <f>'Балки - КС и ПБКЛ'!D43</f>
        <v>80</v>
      </c>
      <c r="E39" s="39">
        <f>'Балки - КС и ПБКЛ'!E43</f>
        <v>600</v>
      </c>
      <c r="F39" s="39">
        <f>D39*E39</f>
        <v>48000</v>
      </c>
      <c r="G39" s="155" t="s">
        <v>428</v>
      </c>
      <c r="H39" s="182" t="s">
        <v>63</v>
      </c>
      <c r="I39" s="421">
        <f>'Балки - КС и ПБКЛ'!I43</f>
        <v>0</v>
      </c>
      <c r="J39" s="210">
        <f>'Балки - ест. влахность'!J42</f>
        <v>17000</v>
      </c>
      <c r="K39" s="157">
        <f>I39*J39</f>
        <v>0</v>
      </c>
    </row>
    <row r="40" spans="1:11">
      <c r="A40" s="74"/>
      <c r="B40" s="75"/>
      <c r="C40" s="38"/>
      <c r="D40" s="189"/>
      <c r="E40" s="39"/>
      <c r="F40" s="39"/>
      <c r="G40" s="175" t="s">
        <v>87</v>
      </c>
      <c r="H40" s="176" t="s">
        <v>85</v>
      </c>
      <c r="I40" s="421">
        <f>'Балки - КС и ПБКЛ'!I44</f>
        <v>0</v>
      </c>
      <c r="J40" s="210">
        <f>'Балки - КС и ПБКЛ'!J44</f>
        <v>65</v>
      </c>
      <c r="K40" s="157">
        <f>I40*J40</f>
        <v>0</v>
      </c>
    </row>
    <row r="41" spans="1:11">
      <c r="A41" s="167"/>
      <c r="B41" s="177"/>
      <c r="C41" s="178"/>
      <c r="D41" s="179"/>
      <c r="E41" s="179"/>
      <c r="F41" s="39"/>
      <c r="G41" s="223" t="s">
        <v>141</v>
      </c>
      <c r="H41" s="182" t="s">
        <v>85</v>
      </c>
      <c r="I41" s="421">
        <f>'Балки - КС и ПБКЛ'!I45</f>
        <v>0</v>
      </c>
      <c r="J41" s="157">
        <f>'Балки - КС и ПБКЛ'!J45</f>
        <v>13</v>
      </c>
      <c r="K41" s="157">
        <f>I41*J41</f>
        <v>0</v>
      </c>
    </row>
    <row r="42" spans="1:11">
      <c r="A42" s="162" t="s">
        <v>152</v>
      </c>
      <c r="B42" s="163" t="s">
        <v>883</v>
      </c>
      <c r="C42" s="164" t="s">
        <v>148</v>
      </c>
      <c r="D42" s="103">
        <f>I39/0.06*3</f>
        <v>0</v>
      </c>
      <c r="E42" s="103">
        <f>data!J129</f>
        <v>45</v>
      </c>
      <c r="F42" s="39">
        <f t="shared" ref="F42" si="5">D42*E42</f>
        <v>0</v>
      </c>
      <c r="G42" s="223" t="s">
        <v>149</v>
      </c>
      <c r="H42" s="182" t="s">
        <v>144</v>
      </c>
      <c r="I42" s="584">
        <f>'Балки - КС и ПБКЛ'!I46</f>
        <v>0</v>
      </c>
      <c r="J42" s="157">
        <f>'Балки - КС и ПБКЛ'!J46</f>
        <v>380</v>
      </c>
      <c r="K42" s="157">
        <f t="shared" ref="K42" si="6">I42*J42</f>
        <v>0</v>
      </c>
    </row>
    <row r="43" spans="1:11">
      <c r="A43" s="116"/>
      <c r="B43" s="117"/>
      <c r="C43" s="66"/>
      <c r="D43" s="1253" t="s">
        <v>145</v>
      </c>
      <c r="E43" s="1253"/>
      <c r="F43" s="118">
        <f>SUM(F39:F42)</f>
        <v>48000</v>
      </c>
      <c r="G43" s="119"/>
      <c r="H43" s="120"/>
      <c r="I43" s="1254" t="s">
        <v>146</v>
      </c>
      <c r="J43" s="1254"/>
      <c r="K43" s="118">
        <f>SUM(K39:K42)</f>
        <v>0</v>
      </c>
    </row>
    <row r="44" spans="1:11">
      <c r="A44" s="1233" t="s">
        <v>320</v>
      </c>
      <c r="B44" s="1233"/>
      <c r="C44" s="1233"/>
      <c r="D44" s="1233"/>
      <c r="E44" s="1233"/>
      <c r="F44" s="160"/>
      <c r="G44" s="1029"/>
      <c r="H44" s="120"/>
      <c r="I44" s="1052"/>
      <c r="J44" s="1048"/>
      <c r="K44" s="67"/>
    </row>
    <row r="45" spans="1:11">
      <c r="A45" s="74">
        <v>1</v>
      </c>
      <c r="B45" s="75" t="s">
        <v>147</v>
      </c>
      <c r="C45" s="38" t="s">
        <v>148</v>
      </c>
      <c r="D45" s="189">
        <f>'Балки - КС и ПБКЛ'!D49</f>
        <v>19.88</v>
      </c>
      <c r="E45" s="39">
        <f>'Балки - КС и ПБКЛ'!E49</f>
        <v>600</v>
      </c>
      <c r="F45" s="39">
        <f>D45*E45</f>
        <v>11928</v>
      </c>
      <c r="G45" s="155" t="s">
        <v>428</v>
      </c>
      <c r="H45" s="182" t="s">
        <v>63</v>
      </c>
      <c r="I45" s="421">
        <f>'Балки - КС и ПБКЛ'!I49</f>
        <v>0</v>
      </c>
      <c r="J45" s="210">
        <f>'Балки - ест. влахность'!J48</f>
        <v>17000</v>
      </c>
      <c r="K45" s="157">
        <f>I45*J45</f>
        <v>0</v>
      </c>
    </row>
    <row r="46" spans="1:11">
      <c r="A46" s="74"/>
      <c r="B46" s="75"/>
      <c r="C46" s="38"/>
      <c r="D46" s="189"/>
      <c r="E46" s="39"/>
      <c r="F46" s="39"/>
      <c r="G46" s="175" t="s">
        <v>87</v>
      </c>
      <c r="H46" s="176" t="s">
        <v>85</v>
      </c>
      <c r="I46" s="421">
        <f>'Балки - КС и ПБКЛ'!I50</f>
        <v>0</v>
      </c>
      <c r="J46" s="210">
        <f>'Балки - КС и ПБКЛ'!J50</f>
        <v>65</v>
      </c>
      <c r="K46" s="157">
        <f>I46*J46</f>
        <v>0</v>
      </c>
    </row>
    <row r="47" spans="1:11">
      <c r="A47" s="167"/>
      <c r="B47" s="177"/>
      <c r="C47" s="178"/>
      <c r="D47" s="179"/>
      <c r="E47" s="179"/>
      <c r="F47" s="39"/>
      <c r="G47" s="223" t="s">
        <v>141</v>
      </c>
      <c r="H47" s="182" t="s">
        <v>85</v>
      </c>
      <c r="I47" s="421">
        <f>'Балки - КС и ПБКЛ'!I51</f>
        <v>0</v>
      </c>
      <c r="J47" s="157">
        <f>'Балки - КС и ПБКЛ'!J51</f>
        <v>13</v>
      </c>
      <c r="K47" s="157">
        <f>I47*J47</f>
        <v>0</v>
      </c>
    </row>
    <row r="48" spans="1:11">
      <c r="A48" s="162" t="s">
        <v>152</v>
      </c>
      <c r="B48" s="163" t="s">
        <v>883</v>
      </c>
      <c r="C48" s="164" t="s">
        <v>148</v>
      </c>
      <c r="D48" s="103">
        <f>I45/0.06*3</f>
        <v>0</v>
      </c>
      <c r="E48" s="103">
        <f>data!J129</f>
        <v>45</v>
      </c>
      <c r="F48" s="39">
        <f t="shared" ref="F48" si="7">D48*E48</f>
        <v>0</v>
      </c>
      <c r="G48" s="223" t="s">
        <v>149</v>
      </c>
      <c r="H48" s="182" t="s">
        <v>144</v>
      </c>
      <c r="I48" s="584">
        <f>'Балки - КС и ПБКЛ'!I52</f>
        <v>0</v>
      </c>
      <c r="J48" s="157">
        <f>'Балки - КС и ПБКЛ'!J52</f>
        <v>380</v>
      </c>
      <c r="K48" s="157">
        <f t="shared" ref="K48" si="8">I48*J48</f>
        <v>0</v>
      </c>
    </row>
    <row r="49" spans="1:11">
      <c r="A49" s="116"/>
      <c r="B49" s="117"/>
      <c r="C49" s="66"/>
      <c r="D49" s="1253" t="s">
        <v>145</v>
      </c>
      <c r="E49" s="1253"/>
      <c r="F49" s="118">
        <f>SUM(F45:F48)</f>
        <v>11928</v>
      </c>
      <c r="G49" s="119"/>
      <c r="H49" s="120"/>
      <c r="I49" s="1254" t="s">
        <v>146</v>
      </c>
      <c r="J49" s="1254"/>
      <c r="K49" s="118">
        <f>SUM(K45:K48)</f>
        <v>0</v>
      </c>
    </row>
    <row r="50" spans="1:11">
      <c r="A50" s="116"/>
      <c r="B50" s="117"/>
      <c r="C50" s="66"/>
      <c r="D50" s="121"/>
      <c r="E50" s="121"/>
      <c r="F50" s="122"/>
      <c r="G50" s="119"/>
      <c r="H50" s="120"/>
      <c r="I50" s="123"/>
      <c r="J50" s="123"/>
      <c r="K50" s="122"/>
    </row>
    <row r="51" spans="1:11">
      <c r="A51" s="1239" t="s">
        <v>195</v>
      </c>
      <c r="B51" s="1239"/>
      <c r="C51" s="120"/>
      <c r="D51" s="121"/>
      <c r="E51" s="121"/>
      <c r="F51" s="122"/>
      <c r="G51" s="119"/>
      <c r="H51" s="120"/>
      <c r="I51" s="123"/>
      <c r="J51" s="123"/>
      <c r="K51" s="122"/>
    </row>
    <row r="52" spans="1:11" ht="15" customHeight="1">
      <c r="A52" s="124" t="s">
        <v>134</v>
      </c>
      <c r="B52" s="125" t="s">
        <v>150</v>
      </c>
      <c r="C52" s="124" t="s">
        <v>63</v>
      </c>
      <c r="D52" s="124" t="e">
        <f>D13+I22+I26+I33+I39+I45</f>
        <v>#REF!</v>
      </c>
      <c r="E52" s="126" t="e">
        <f>#REF!</f>
        <v>#REF!</v>
      </c>
      <c r="F52" s="124" t="e">
        <f>D52*E52</f>
        <v>#REF!</v>
      </c>
      <c r="G52" s="127" t="s">
        <v>151</v>
      </c>
      <c r="H52" s="182" t="s">
        <v>138</v>
      </c>
      <c r="I52" s="421" t="e">
        <f>#REF!</f>
        <v>#REF!</v>
      </c>
      <c r="J52" s="109" t="e">
        <f>#REF!</f>
        <v>#REF!</v>
      </c>
      <c r="K52" s="124" t="e">
        <f t="shared" ref="K52:K56" si="9">I52*J52</f>
        <v>#REF!</v>
      </c>
    </row>
    <row r="53" spans="1:11">
      <c r="A53" s="124" t="s">
        <v>152</v>
      </c>
      <c r="B53" s="125" t="s">
        <v>153</v>
      </c>
      <c r="C53" s="124" t="s">
        <v>154</v>
      </c>
      <c r="D53" s="124">
        <f>data!I127</f>
        <v>1</v>
      </c>
      <c r="E53" s="126">
        <f>data!J127</f>
        <v>2000</v>
      </c>
      <c r="F53" s="124">
        <f>D53*E53</f>
        <v>2000</v>
      </c>
      <c r="G53" s="127"/>
      <c r="H53" s="124"/>
      <c r="I53" s="129"/>
      <c r="J53" s="129"/>
      <c r="K53" s="124"/>
    </row>
    <row r="54" spans="1:11">
      <c r="A54" s="124"/>
      <c r="B54" s="125"/>
      <c r="C54" s="124"/>
      <c r="D54" s="130"/>
      <c r="E54" s="131"/>
      <c r="F54" s="132"/>
      <c r="G54" s="128" t="s">
        <v>322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4"/>
      <c r="B55" s="125"/>
      <c r="C55" s="124"/>
      <c r="D55" s="130"/>
      <c r="E55" s="131"/>
      <c r="F55" s="132"/>
      <c r="G55" s="127" t="s">
        <v>197</v>
      </c>
      <c r="H55" s="124" t="s">
        <v>156</v>
      </c>
      <c r="I55" s="129" t="e">
        <f>#REF!</f>
        <v>#REF!</v>
      </c>
      <c r="J55" s="124" t="e">
        <f>#REF!</f>
        <v>#REF!</v>
      </c>
      <c r="K55" s="124" t="e">
        <f t="shared" si="9"/>
        <v>#REF!</v>
      </c>
    </row>
    <row r="56" spans="1:11">
      <c r="A56" s="124"/>
      <c r="B56" s="125"/>
      <c r="C56" s="124"/>
      <c r="D56" s="130"/>
      <c r="E56" s="131"/>
      <c r="F56" s="132"/>
      <c r="G56" s="127" t="s">
        <v>196</v>
      </c>
      <c r="H56" s="124" t="s">
        <v>156</v>
      </c>
      <c r="I56" s="133" t="e">
        <f>#REF!</f>
        <v>#REF!</v>
      </c>
      <c r="J56" s="133" t="e">
        <f>#REF!</f>
        <v>#REF!</v>
      </c>
      <c r="K56" s="124" t="e">
        <f t="shared" si="9"/>
        <v>#REF!</v>
      </c>
    </row>
    <row r="57" spans="1:11">
      <c r="A57" s="120"/>
      <c r="B57" s="119"/>
      <c r="C57" s="120"/>
      <c r="D57" s="1256" t="s">
        <v>145</v>
      </c>
      <c r="E57" s="1257"/>
      <c r="F57" s="132" t="e">
        <f>SUM(F52:F56)</f>
        <v>#REF!</v>
      </c>
      <c r="G57" s="119"/>
      <c r="H57" s="120"/>
      <c r="I57" s="1242" t="s">
        <v>157</v>
      </c>
      <c r="J57" s="1243"/>
      <c r="K57" s="132" t="e">
        <f>SUM(K52:K56)</f>
        <v>#REF!</v>
      </c>
    </row>
    <row r="58" spans="1:11">
      <c r="A58" s="120"/>
      <c r="B58" s="119"/>
      <c r="C58" s="120"/>
      <c r="D58" s="121"/>
      <c r="E58" s="121"/>
      <c r="F58" s="122"/>
      <c r="G58" s="119"/>
      <c r="H58" s="120"/>
      <c r="I58" s="123"/>
      <c r="J58" s="123"/>
      <c r="K58" s="122"/>
    </row>
    <row r="60" spans="1:11">
      <c r="C60" s="1204" t="s">
        <v>158</v>
      </c>
      <c r="D60" s="1204"/>
      <c r="E60" s="1204"/>
      <c r="F60" s="1204"/>
      <c r="G60" s="423" t="e">
        <f>F24+F30+F37+F57+F43+F49</f>
        <v>#REF!</v>
      </c>
    </row>
    <row r="61" spans="1:11">
      <c r="C61" s="1204" t="s">
        <v>159</v>
      </c>
      <c r="D61" s="1204"/>
      <c r="E61" s="1204"/>
      <c r="F61" s="1204"/>
      <c r="G61" s="423" t="e">
        <f>G60*0.03</f>
        <v>#REF!</v>
      </c>
    </row>
    <row r="62" spans="1:11">
      <c r="C62" s="1204" t="s">
        <v>160</v>
      </c>
      <c r="D62" s="1204"/>
      <c r="E62" s="1204"/>
      <c r="F62" s="1204"/>
      <c r="G62" s="423" t="e">
        <f>G60*0.16</f>
        <v>#REF!</v>
      </c>
    </row>
    <row r="63" spans="1:11">
      <c r="C63" s="1204" t="s">
        <v>20</v>
      </c>
      <c r="D63" s="1204"/>
      <c r="E63" s="1204"/>
      <c r="F63" s="1204"/>
      <c r="G63" s="423" t="e">
        <f>G60+G61+G62</f>
        <v>#REF!</v>
      </c>
    </row>
    <row r="64" spans="1:11">
      <c r="C64" s="1204" t="s">
        <v>161</v>
      </c>
      <c r="D64" s="1204"/>
      <c r="E64" s="1204"/>
      <c r="F64" s="1204"/>
      <c r="G64" s="423" t="e">
        <f>K24+K30+K37+K43+K49</f>
        <v>#REF!</v>
      </c>
    </row>
    <row r="65" spans="1:11 16384:16384">
      <c r="C65" s="1478" t="s">
        <v>863</v>
      </c>
      <c r="D65" s="1479"/>
      <c r="E65" s="1479"/>
      <c r="F65" s="1480"/>
      <c r="G65" s="751" t="e">
        <f>G64*0.035</f>
        <v>#REF!</v>
      </c>
    </row>
    <row r="66" spans="1:11 16384:16384">
      <c r="C66" s="1204" t="s">
        <v>162</v>
      </c>
      <c r="D66" s="1204"/>
      <c r="E66" s="1204"/>
      <c r="F66" s="1204"/>
      <c r="G66" s="423" t="e">
        <f>K57</f>
        <v>#REF!</v>
      </c>
    </row>
    <row r="67" spans="1:11 16384:16384">
      <c r="C67" s="1204" t="s">
        <v>20</v>
      </c>
      <c r="D67" s="1204"/>
      <c r="E67" s="1204"/>
      <c r="F67" s="1204"/>
      <c r="G67" s="423" t="e">
        <f>G64+G66+G65</f>
        <v>#REF!</v>
      </c>
    </row>
    <row r="68" spans="1:11 16384:16384">
      <c r="C68" s="1244" t="s">
        <v>163</v>
      </c>
      <c r="D68" s="1244"/>
      <c r="E68" s="1244"/>
      <c r="F68" s="1244"/>
      <c r="G68" s="424" t="e">
        <f>G63+G67</f>
        <v>#REF!</v>
      </c>
    </row>
    <row r="69" spans="1:11 16384:16384" ht="17" thickBot="1">
      <c r="C69" s="1245" t="s">
        <v>164</v>
      </c>
      <c r="D69" s="1245"/>
      <c r="E69" s="1245"/>
      <c r="F69" s="1245"/>
      <c r="G69" s="431" t="e">
        <f>G60*0.03</f>
        <v>#REF!</v>
      </c>
      <c r="I69" s="139"/>
      <c r="J69" s="140"/>
    </row>
    <row r="70" spans="1:11 16384:16384" ht="16" thickBot="1">
      <c r="C70" s="1246" t="s">
        <v>165</v>
      </c>
      <c r="D70" s="1247"/>
      <c r="E70" s="1247"/>
      <c r="F70" s="1248"/>
      <c r="G70" s="432" t="e">
        <f>G68+G69</f>
        <v>#REF!</v>
      </c>
      <c r="XFD70" s="36" t="e">
        <f>SUM(A70:XFC70)</f>
        <v>#REF!</v>
      </c>
    </row>
    <row r="71" spans="1:11 16384:16384">
      <c r="A71" s="141"/>
      <c r="B71" s="141"/>
      <c r="H71" s="141"/>
      <c r="I71" s="141"/>
      <c r="J71" s="141"/>
      <c r="K71" s="141"/>
    </row>
    <row r="72" spans="1:11 16384:16384">
      <c r="A72" s="141"/>
      <c r="B72" s="141"/>
      <c r="C72" s="141"/>
      <c r="D72" s="141"/>
      <c r="E72" s="141"/>
      <c r="F72" s="142"/>
      <c r="G72" s="143"/>
      <c r="H72" s="141"/>
      <c r="I72" s="141"/>
      <c r="J72" s="141"/>
      <c r="K72" s="141"/>
    </row>
    <row r="73" spans="1:11 16384:16384">
      <c r="A73" s="141"/>
      <c r="B73" s="141"/>
      <c r="C73" s="141"/>
      <c r="D73" s="141"/>
      <c r="E73" s="141"/>
      <c r="F73" s="142"/>
      <c r="G73" s="144"/>
      <c r="H73" s="141"/>
      <c r="I73" s="141"/>
      <c r="J73" s="141"/>
      <c r="K73" s="141"/>
    </row>
    <row r="74" spans="1:11 16384:16384" ht="14" customHeight="1">
      <c r="A74" s="141"/>
      <c r="B74" s="141"/>
      <c r="C74" s="141"/>
      <c r="D74" s="141"/>
      <c r="E74" s="141"/>
      <c r="F74" s="142"/>
      <c r="G74" s="145"/>
      <c r="H74" s="141"/>
      <c r="I74" s="141"/>
      <c r="J74" s="141"/>
      <c r="K74" s="141"/>
    </row>
    <row r="75" spans="1:11 16384:16384">
      <c r="C75" s="141"/>
      <c r="D75" s="141"/>
      <c r="E75" s="141"/>
      <c r="F75" s="142"/>
      <c r="G75" s="144"/>
    </row>
    <row r="76" spans="1:11 16384:16384">
      <c r="F76" s="146"/>
      <c r="G76" s="147"/>
    </row>
    <row r="77" spans="1:11 16384:16384">
      <c r="G77" s="148"/>
    </row>
    <row r="78" spans="1:11 16384:16384" ht="14" customHeight="1">
      <c r="G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>
      <c r="C83" s="149"/>
    </row>
    <row r="84" spans="1:7">
      <c r="C84" s="147"/>
    </row>
    <row r="85" spans="1:7" s="141" customFormat="1">
      <c r="A85"/>
      <c r="B85"/>
      <c r="C85" s="149"/>
      <c r="D85"/>
      <c r="E85"/>
      <c r="F85"/>
      <c r="G85"/>
    </row>
    <row r="86" spans="1:7" s="141" customFormat="1">
      <c r="A86"/>
      <c r="B86"/>
      <c r="C86" s="147"/>
      <c r="D86"/>
      <c r="E86"/>
      <c r="F86"/>
      <c r="G86"/>
    </row>
    <row r="87" spans="1:7" s="141" customFormat="1">
      <c r="A87"/>
      <c r="B87"/>
      <c r="C87" s="36"/>
      <c r="D87"/>
      <c r="E87"/>
      <c r="F87"/>
      <c r="G87"/>
    </row>
    <row r="88" spans="1:7" s="141" customFormat="1">
      <c r="A88"/>
      <c r="B88"/>
      <c r="C88"/>
      <c r="D88"/>
      <c r="E88"/>
      <c r="F88"/>
      <c r="G88"/>
    </row>
  </sheetData>
  <mergeCells count="44">
    <mergeCell ref="C68:F68"/>
    <mergeCell ref="C69:F69"/>
    <mergeCell ref="C70:F70"/>
    <mergeCell ref="C67:F67"/>
    <mergeCell ref="A38:E38"/>
    <mergeCell ref="C64:F64"/>
    <mergeCell ref="C66:F66"/>
    <mergeCell ref="C60:F60"/>
    <mergeCell ref="C61:F61"/>
    <mergeCell ref="C62:F62"/>
    <mergeCell ref="C63:F63"/>
    <mergeCell ref="A44:E44"/>
    <mergeCell ref="D49:E49"/>
    <mergeCell ref="C65:F65"/>
    <mergeCell ref="A7:K7"/>
    <mergeCell ref="A12:B12"/>
    <mergeCell ref="D24:E24"/>
    <mergeCell ref="I24:J24"/>
    <mergeCell ref="A25:D25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9:J49"/>
    <mergeCell ref="A51:B51"/>
    <mergeCell ref="D57:E57"/>
    <mergeCell ref="I57:J57"/>
    <mergeCell ref="A8:G8"/>
    <mergeCell ref="D30:E30"/>
    <mergeCell ref="I30:J30"/>
    <mergeCell ref="A31:K31"/>
    <mergeCell ref="A32:E32"/>
    <mergeCell ref="D37:E37"/>
    <mergeCell ref="I37:J37"/>
    <mergeCell ref="D43:E43"/>
    <mergeCell ref="I43:J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3A28-17A4-4133-BF14-EF690EC941DE}">
  <dimension ref="A1:XFD88"/>
  <sheetViews>
    <sheetView topLeftCell="A46" zoomScale="90" zoomScaleNormal="90" workbookViewId="0">
      <selection activeCell="C19" sqref="C19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434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882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428</v>
      </c>
      <c r="H26" s="184" t="s">
        <v>63</v>
      </c>
      <c r="I26" s="491">
        <f>'Балки - КС и ПБКЛ'!I29</f>
        <v>1.92</v>
      </c>
      <c r="J26" s="308">
        <f>'Балки - ест. влахность'!J29</f>
        <v>17000</v>
      </c>
      <c r="K26" s="46">
        <f>I26*J26</f>
        <v>32640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41359.392405063292</v>
      </c>
    </row>
    <row r="31" spans="1:11">
      <c r="A31" s="1237"/>
      <c r="B31" s="1237"/>
      <c r="C31" s="1237"/>
      <c r="D31" s="1237"/>
      <c r="E31" s="1237"/>
      <c r="F31" s="1237"/>
      <c r="G31" s="1237"/>
      <c r="H31" s="1237"/>
      <c r="I31" s="1237"/>
      <c r="J31" s="1237"/>
      <c r="K31" s="1238"/>
    </row>
    <row r="32" spans="1:11">
      <c r="A32" s="1233" t="s">
        <v>318</v>
      </c>
      <c r="B32" s="1233"/>
      <c r="C32" s="1233"/>
      <c r="D32" s="1233"/>
      <c r="E32" s="1233"/>
      <c r="F32" s="160"/>
      <c r="G32" s="1029"/>
      <c r="H32" s="120"/>
      <c r="I32" s="1052"/>
      <c r="J32" s="1048"/>
      <c r="K32" s="67"/>
    </row>
    <row r="33" spans="1:11">
      <c r="A33" s="74">
        <v>1</v>
      </c>
      <c r="B33" s="75" t="s">
        <v>147</v>
      </c>
      <c r="C33" s="38" t="s">
        <v>148</v>
      </c>
      <c r="D33" s="189">
        <f>'Балки - КС и ПБКЛ'!D37</f>
        <v>55</v>
      </c>
      <c r="E33" s="39">
        <f>'Балки - КС и ПБКЛ'!E37</f>
        <v>600</v>
      </c>
      <c r="F33" s="39">
        <f>D33*E33</f>
        <v>33000</v>
      </c>
      <c r="G33" s="155" t="s">
        <v>428</v>
      </c>
      <c r="H33" s="182" t="s">
        <v>63</v>
      </c>
      <c r="I33" s="421">
        <f>'Балки - КС и ПБКЛ'!I37</f>
        <v>0.77999999999999992</v>
      </c>
      <c r="J33" s="210">
        <f>'Балки - ест. влахность'!J36</f>
        <v>17000</v>
      </c>
      <c r="K33" s="157">
        <f>I33*J33</f>
        <v>13259.999999999998</v>
      </c>
    </row>
    <row r="34" spans="1:11">
      <c r="A34" s="74"/>
      <c r="B34" s="75"/>
      <c r="C34" s="38"/>
      <c r="D34" s="189"/>
      <c r="E34" s="39"/>
      <c r="F34" s="39"/>
      <c r="G34" s="175" t="s">
        <v>87</v>
      </c>
      <c r="H34" s="176" t="s">
        <v>85</v>
      </c>
      <c r="I34" s="421">
        <f>'Балки - КС и ПБКЛ'!I38</f>
        <v>54</v>
      </c>
      <c r="J34" s="210">
        <f>'Балки - КС и ПБКЛ'!J38</f>
        <v>65</v>
      </c>
      <c r="K34" s="157">
        <f>I34*J34</f>
        <v>3510</v>
      </c>
    </row>
    <row r="35" spans="1:11">
      <c r="A35" s="74"/>
      <c r="B35" s="163"/>
      <c r="C35" s="164"/>
      <c r="D35" s="103"/>
      <c r="E35" s="103"/>
      <c r="F35" s="39"/>
      <c r="G35" s="223" t="s">
        <v>141</v>
      </c>
      <c r="H35" s="182" t="s">
        <v>85</v>
      </c>
      <c r="I35" s="421">
        <f>'Балки - КС и ПБКЛ'!I39</f>
        <v>216</v>
      </c>
      <c r="J35" s="157">
        <f>'Балки - КС и ПБКЛ'!J39</f>
        <v>13</v>
      </c>
      <c r="K35" s="157">
        <f>I35*J35</f>
        <v>2808</v>
      </c>
    </row>
    <row r="36" spans="1:11">
      <c r="A36" s="172" t="s">
        <v>152</v>
      </c>
      <c r="B36" s="173" t="s">
        <v>883</v>
      </c>
      <c r="C36" s="174" t="s">
        <v>148</v>
      </c>
      <c r="D36" s="161">
        <f>I33/0.06*3</f>
        <v>38.999999999999993</v>
      </c>
      <c r="E36" s="161">
        <f>data!J129</f>
        <v>45</v>
      </c>
      <c r="F36" s="39">
        <f t="shared" ref="F36" si="3">D36*E36</f>
        <v>1754.9999999999998</v>
      </c>
      <c r="G36" s="391" t="s">
        <v>149</v>
      </c>
      <c r="H36" s="392" t="s">
        <v>144</v>
      </c>
      <c r="I36" s="871">
        <f>'Балки - КС и ПБКЛ'!I40</f>
        <v>2.7341772151898733</v>
      </c>
      <c r="J36" s="348">
        <f>'Балки - КС и ПБКЛ'!J40</f>
        <v>380</v>
      </c>
      <c r="K36" s="869">
        <f t="shared" ref="K36" si="4">I36*J36</f>
        <v>1038.9873417721519</v>
      </c>
    </row>
    <row r="37" spans="1:11">
      <c r="A37" s="116"/>
      <c r="B37" s="117"/>
      <c r="C37" s="66"/>
      <c r="D37" s="1253" t="s">
        <v>145</v>
      </c>
      <c r="E37" s="1253"/>
      <c r="F37" s="118">
        <f>SUM(F33:F36)</f>
        <v>34755</v>
      </c>
      <c r="G37" s="119"/>
      <c r="H37" s="120"/>
      <c r="I37" s="1254" t="s">
        <v>146</v>
      </c>
      <c r="J37" s="1254"/>
      <c r="K37" s="118">
        <f>SUM(K33:K36)</f>
        <v>20616.987341772154</v>
      </c>
    </row>
    <row r="38" spans="1:11">
      <c r="A38" s="1233" t="s">
        <v>319</v>
      </c>
      <c r="B38" s="1233"/>
      <c r="C38" s="1233"/>
      <c r="D38" s="1233"/>
      <c r="E38" s="1233"/>
      <c r="F38" s="160"/>
      <c r="G38" s="1029"/>
      <c r="H38" s="120"/>
      <c r="I38" s="1052"/>
      <c r="J38" s="1048"/>
      <c r="K38" s="67"/>
    </row>
    <row r="39" spans="1:11">
      <c r="A39" s="74">
        <v>1</v>
      </c>
      <c r="B39" s="75" t="s">
        <v>147</v>
      </c>
      <c r="C39" s="38" t="s">
        <v>148</v>
      </c>
      <c r="D39" s="189">
        <f>'Балки - КС и ПБКЛ'!D43</f>
        <v>80</v>
      </c>
      <c r="E39" s="39">
        <f>'Балки - КС и ПБКЛ'!E43</f>
        <v>600</v>
      </c>
      <c r="F39" s="39">
        <f>D39*E39</f>
        <v>48000</v>
      </c>
      <c r="G39" s="155" t="s">
        <v>428</v>
      </c>
      <c r="H39" s="182" t="s">
        <v>63</v>
      </c>
      <c r="I39" s="421">
        <f>'Балки - КС и ПБКЛ'!I43</f>
        <v>0</v>
      </c>
      <c r="J39" s="210">
        <f>'Балки - ест. влахность'!J42</f>
        <v>17000</v>
      </c>
      <c r="K39" s="157">
        <f>I39*J39</f>
        <v>0</v>
      </c>
    </row>
    <row r="40" spans="1:11">
      <c r="A40" s="74"/>
      <c r="B40" s="75"/>
      <c r="C40" s="38"/>
      <c r="D40" s="189"/>
      <c r="E40" s="39"/>
      <c r="F40" s="39"/>
      <c r="G40" s="175" t="s">
        <v>87</v>
      </c>
      <c r="H40" s="176" t="s">
        <v>85</v>
      </c>
      <c r="I40" s="421">
        <f>'Балки - КС и ПБКЛ'!I44</f>
        <v>0</v>
      </c>
      <c r="J40" s="210">
        <f>'Балки - КС и ПБКЛ'!J44</f>
        <v>65</v>
      </c>
      <c r="K40" s="157">
        <f>I40*J40</f>
        <v>0</v>
      </c>
    </row>
    <row r="41" spans="1:11">
      <c r="A41" s="167"/>
      <c r="B41" s="177"/>
      <c r="C41" s="178"/>
      <c r="D41" s="179"/>
      <c r="E41" s="179"/>
      <c r="F41" s="39"/>
      <c r="G41" s="223" t="s">
        <v>141</v>
      </c>
      <c r="H41" s="182" t="s">
        <v>85</v>
      </c>
      <c r="I41" s="421">
        <f>'Балки - КС и ПБКЛ'!I45</f>
        <v>0</v>
      </c>
      <c r="J41" s="157">
        <f>'Балки - КС и ПБКЛ'!J45</f>
        <v>13</v>
      </c>
      <c r="K41" s="157">
        <f>I41*J41</f>
        <v>0</v>
      </c>
    </row>
    <row r="42" spans="1:11">
      <c r="A42" s="162" t="s">
        <v>152</v>
      </c>
      <c r="B42" s="163" t="s">
        <v>883</v>
      </c>
      <c r="C42" s="164" t="s">
        <v>148</v>
      </c>
      <c r="D42" s="103">
        <f>I39/0.06*3</f>
        <v>0</v>
      </c>
      <c r="E42" s="103">
        <f>data!J129</f>
        <v>45</v>
      </c>
      <c r="F42" s="39">
        <f t="shared" ref="F42" si="5">D42*E42</f>
        <v>0</v>
      </c>
      <c r="G42" s="223" t="s">
        <v>149</v>
      </c>
      <c r="H42" s="182" t="s">
        <v>144</v>
      </c>
      <c r="I42" s="584">
        <f>'Балки - КС и ПБКЛ'!I46</f>
        <v>0</v>
      </c>
      <c r="J42" s="157">
        <f>'Балки - КС и ПБКЛ'!J46</f>
        <v>380</v>
      </c>
      <c r="K42" s="157">
        <f t="shared" ref="K42" si="6">I42*J42</f>
        <v>0</v>
      </c>
    </row>
    <row r="43" spans="1:11">
      <c r="A43" s="116"/>
      <c r="B43" s="117"/>
      <c r="C43" s="66"/>
      <c r="D43" s="1253" t="s">
        <v>145</v>
      </c>
      <c r="E43" s="1253"/>
      <c r="F43" s="118">
        <f>SUM(F39:F42)</f>
        <v>48000</v>
      </c>
      <c r="G43" s="119"/>
      <c r="H43" s="120"/>
      <c r="I43" s="1254" t="s">
        <v>146</v>
      </c>
      <c r="J43" s="1254"/>
      <c r="K43" s="118">
        <f>SUM(K39:K42)</f>
        <v>0</v>
      </c>
    </row>
    <row r="44" spans="1:11">
      <c r="A44" s="1233" t="s">
        <v>320</v>
      </c>
      <c r="B44" s="1233"/>
      <c r="C44" s="1233"/>
      <c r="D44" s="1233"/>
      <c r="E44" s="1233"/>
      <c r="F44" s="160"/>
      <c r="G44" s="1029"/>
      <c r="H44" s="120"/>
      <c r="I44" s="1052"/>
      <c r="J44" s="1048"/>
      <c r="K44" s="67"/>
    </row>
    <row r="45" spans="1:11">
      <c r="A45" s="74">
        <v>1</v>
      </c>
      <c r="B45" s="75" t="s">
        <v>147</v>
      </c>
      <c r="C45" s="38" t="s">
        <v>148</v>
      </c>
      <c r="D45" s="189">
        <f>'Балки - КС и ПБКЛ'!D49</f>
        <v>19.88</v>
      </c>
      <c r="E45" s="39">
        <f>'Балки - КС и ПБКЛ'!E49</f>
        <v>600</v>
      </c>
      <c r="F45" s="39">
        <f>D45*E45</f>
        <v>11928</v>
      </c>
      <c r="G45" s="155" t="s">
        <v>428</v>
      </c>
      <c r="H45" s="182" t="s">
        <v>63</v>
      </c>
      <c r="I45" s="421">
        <f>'Балки - КС и ПБКЛ'!I49</f>
        <v>0</v>
      </c>
      <c r="J45" s="210">
        <f>'Балки - ест. влахность'!J48</f>
        <v>17000</v>
      </c>
      <c r="K45" s="157">
        <f>I45*J45</f>
        <v>0</v>
      </c>
    </row>
    <row r="46" spans="1:11">
      <c r="A46" s="74"/>
      <c r="B46" s="75"/>
      <c r="C46" s="38"/>
      <c r="D46" s="189"/>
      <c r="E46" s="39"/>
      <c r="F46" s="39"/>
      <c r="G46" s="175" t="s">
        <v>87</v>
      </c>
      <c r="H46" s="176" t="s">
        <v>85</v>
      </c>
      <c r="I46" s="421">
        <f>'Балки - КС и ПБКЛ'!I50</f>
        <v>0</v>
      </c>
      <c r="J46" s="210">
        <f>'Балки - КС и ПБКЛ'!J50</f>
        <v>65</v>
      </c>
      <c r="K46" s="157">
        <f>I46*J46</f>
        <v>0</v>
      </c>
    </row>
    <row r="47" spans="1:11">
      <c r="A47" s="167"/>
      <c r="B47" s="177"/>
      <c r="C47" s="178"/>
      <c r="D47" s="179"/>
      <c r="E47" s="179"/>
      <c r="F47" s="39"/>
      <c r="G47" s="223" t="s">
        <v>141</v>
      </c>
      <c r="H47" s="182" t="s">
        <v>85</v>
      </c>
      <c r="I47" s="421">
        <f>'Балки - КС и ПБКЛ'!I51</f>
        <v>0</v>
      </c>
      <c r="J47" s="157">
        <f>'Балки - КС и ПБКЛ'!J51</f>
        <v>13</v>
      </c>
      <c r="K47" s="157">
        <f>I47*J47</f>
        <v>0</v>
      </c>
    </row>
    <row r="48" spans="1:11">
      <c r="A48" s="162" t="s">
        <v>152</v>
      </c>
      <c r="B48" s="163" t="s">
        <v>883</v>
      </c>
      <c r="C48" s="164" t="s">
        <v>148</v>
      </c>
      <c r="D48" s="103">
        <f>I45/0.06*3</f>
        <v>0</v>
      </c>
      <c r="E48" s="103">
        <f>data!J129</f>
        <v>45</v>
      </c>
      <c r="F48" s="39">
        <f t="shared" ref="F48" si="7">D48*E48</f>
        <v>0</v>
      </c>
      <c r="G48" s="223" t="s">
        <v>149</v>
      </c>
      <c r="H48" s="182" t="s">
        <v>144</v>
      </c>
      <c r="I48" s="584">
        <f>'Балки - КС и ПБКЛ'!I52</f>
        <v>0</v>
      </c>
      <c r="J48" s="157">
        <f>'Балки - КС и ПБКЛ'!J52</f>
        <v>380</v>
      </c>
      <c r="K48" s="157">
        <f t="shared" ref="K48" si="8">I48*J48</f>
        <v>0</v>
      </c>
    </row>
    <row r="49" spans="1:11">
      <c r="A49" s="116"/>
      <c r="B49" s="117"/>
      <c r="C49" s="66"/>
      <c r="D49" s="1253" t="s">
        <v>145</v>
      </c>
      <c r="E49" s="1253"/>
      <c r="F49" s="118">
        <f>SUM(F45:F48)</f>
        <v>11928</v>
      </c>
      <c r="G49" s="119"/>
      <c r="H49" s="120"/>
      <c r="I49" s="1254" t="s">
        <v>146</v>
      </c>
      <c r="J49" s="1254"/>
      <c r="K49" s="118">
        <f>SUM(K45:K48)</f>
        <v>0</v>
      </c>
    </row>
    <row r="50" spans="1:11">
      <c r="A50" s="116"/>
      <c r="B50" s="117"/>
      <c r="C50" s="66"/>
      <c r="D50" s="121"/>
      <c r="E50" s="121"/>
      <c r="F50" s="122"/>
      <c r="G50" s="119"/>
      <c r="H50" s="120"/>
      <c r="I50" s="123"/>
      <c r="J50" s="123"/>
      <c r="K50" s="122"/>
    </row>
    <row r="51" spans="1:11">
      <c r="A51" s="1239" t="s">
        <v>195</v>
      </c>
      <c r="B51" s="1239"/>
      <c r="C51" s="120"/>
      <c r="D51" s="121"/>
      <c r="E51" s="121"/>
      <c r="F51" s="122"/>
      <c r="G51" s="119"/>
      <c r="H51" s="120"/>
      <c r="I51" s="123"/>
      <c r="J51" s="123"/>
      <c r="K51" s="122"/>
    </row>
    <row r="52" spans="1:11" ht="15" customHeight="1">
      <c r="A52" s="124" t="s">
        <v>134</v>
      </c>
      <c r="B52" s="125" t="s">
        <v>150</v>
      </c>
      <c r="C52" s="124" t="s">
        <v>63</v>
      </c>
      <c r="D52" s="124" t="e">
        <f>D13+I22+I26+I33+I39+I45</f>
        <v>#REF!</v>
      </c>
      <c r="E52" s="126" t="e">
        <f>#REF!</f>
        <v>#REF!</v>
      </c>
      <c r="F52" s="124" t="e">
        <f>D52*E52</f>
        <v>#REF!</v>
      </c>
      <c r="G52" s="127" t="s">
        <v>151</v>
      </c>
      <c r="H52" s="182" t="s">
        <v>138</v>
      </c>
      <c r="I52" s="421" t="e">
        <f>#REF!</f>
        <v>#REF!</v>
      </c>
      <c r="J52" s="109" t="e">
        <f>#REF!</f>
        <v>#REF!</v>
      </c>
      <c r="K52" s="124" t="e">
        <f t="shared" ref="K52:K56" si="9">I52*J52</f>
        <v>#REF!</v>
      </c>
    </row>
    <row r="53" spans="1:11">
      <c r="A53" s="124" t="s">
        <v>152</v>
      </c>
      <c r="B53" s="125" t="s">
        <v>153</v>
      </c>
      <c r="C53" s="124" t="s">
        <v>154</v>
      </c>
      <c r="D53" s="124">
        <f>data!I127</f>
        <v>1</v>
      </c>
      <c r="E53" s="126">
        <f>data!J127</f>
        <v>2000</v>
      </c>
      <c r="F53" s="124">
        <f>D53*E53</f>
        <v>2000</v>
      </c>
      <c r="G53" s="127"/>
      <c r="H53" s="124"/>
      <c r="I53" s="129"/>
      <c r="J53" s="129"/>
      <c r="K53" s="124"/>
    </row>
    <row r="54" spans="1:11">
      <c r="A54" s="124"/>
      <c r="B54" s="125"/>
      <c r="C54" s="124"/>
      <c r="D54" s="130"/>
      <c r="E54" s="131"/>
      <c r="F54" s="132"/>
      <c r="G54" s="128" t="s">
        <v>322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4"/>
      <c r="B55" s="125"/>
      <c r="C55" s="124"/>
      <c r="D55" s="130"/>
      <c r="E55" s="131"/>
      <c r="F55" s="132"/>
      <c r="G55" s="127" t="s">
        <v>197</v>
      </c>
      <c r="H55" s="124" t="s">
        <v>156</v>
      </c>
      <c r="I55" s="129" t="e">
        <f>#REF!</f>
        <v>#REF!</v>
      </c>
      <c r="J55" s="124" t="e">
        <f>#REF!</f>
        <v>#REF!</v>
      </c>
      <c r="K55" s="124" t="e">
        <f t="shared" si="9"/>
        <v>#REF!</v>
      </c>
    </row>
    <row r="56" spans="1:11">
      <c r="A56" s="124"/>
      <c r="B56" s="125"/>
      <c r="C56" s="124"/>
      <c r="D56" s="130"/>
      <c r="E56" s="131"/>
      <c r="F56" s="132"/>
      <c r="G56" s="127" t="s">
        <v>196</v>
      </c>
      <c r="H56" s="124" t="s">
        <v>156</v>
      </c>
      <c r="I56" s="133" t="e">
        <f>#REF!</f>
        <v>#REF!</v>
      </c>
      <c r="J56" s="133" t="e">
        <f>#REF!</f>
        <v>#REF!</v>
      </c>
      <c r="K56" s="124" t="e">
        <f t="shared" si="9"/>
        <v>#REF!</v>
      </c>
    </row>
    <row r="57" spans="1:11">
      <c r="A57" s="120"/>
      <c r="B57" s="119"/>
      <c r="C57" s="120"/>
      <c r="D57" s="1256" t="s">
        <v>145</v>
      </c>
      <c r="E57" s="1257"/>
      <c r="F57" s="132" t="e">
        <f>SUM(F52:F56)</f>
        <v>#REF!</v>
      </c>
      <c r="G57" s="119"/>
      <c r="H57" s="120"/>
      <c r="I57" s="1242" t="s">
        <v>157</v>
      </c>
      <c r="J57" s="1243"/>
      <c r="K57" s="132" t="e">
        <f>SUM(K52:K56)</f>
        <v>#REF!</v>
      </c>
    </row>
    <row r="58" spans="1:11">
      <c r="A58" s="120"/>
      <c r="B58" s="119"/>
      <c r="C58" s="120"/>
      <c r="D58" s="121"/>
      <c r="E58" s="121"/>
      <c r="F58" s="122"/>
      <c r="G58" s="119"/>
      <c r="H58" s="120"/>
      <c r="I58" s="123"/>
      <c r="J58" s="123"/>
      <c r="K58" s="122"/>
    </row>
    <row r="60" spans="1:11">
      <c r="C60" s="1204" t="s">
        <v>158</v>
      </c>
      <c r="D60" s="1204"/>
      <c r="E60" s="1204"/>
      <c r="F60" s="1204"/>
      <c r="G60" s="423" t="e">
        <f>F24+F30+F37+F57+F43+F49</f>
        <v>#REF!</v>
      </c>
    </row>
    <row r="61" spans="1:11">
      <c r="C61" s="1204" t="s">
        <v>159</v>
      </c>
      <c r="D61" s="1204"/>
      <c r="E61" s="1204"/>
      <c r="F61" s="1204"/>
      <c r="G61" s="423" t="e">
        <f>G60*0.03</f>
        <v>#REF!</v>
      </c>
    </row>
    <row r="62" spans="1:11">
      <c r="C62" s="1204" t="s">
        <v>160</v>
      </c>
      <c r="D62" s="1204"/>
      <c r="E62" s="1204"/>
      <c r="F62" s="1204"/>
      <c r="G62" s="423" t="e">
        <f>G60*0.16</f>
        <v>#REF!</v>
      </c>
    </row>
    <row r="63" spans="1:11">
      <c r="C63" s="1204" t="s">
        <v>20</v>
      </c>
      <c r="D63" s="1204"/>
      <c r="E63" s="1204"/>
      <c r="F63" s="1204"/>
      <c r="G63" s="423" t="e">
        <f>G60+G61+G62</f>
        <v>#REF!</v>
      </c>
    </row>
    <row r="64" spans="1:11">
      <c r="C64" s="1204" t="s">
        <v>161</v>
      </c>
      <c r="D64" s="1204"/>
      <c r="E64" s="1204"/>
      <c r="F64" s="1204"/>
      <c r="G64" s="423" t="e">
        <f>K24+K30+K37+K43+K49</f>
        <v>#REF!</v>
      </c>
    </row>
    <row r="65" spans="1:11 16384:16384">
      <c r="C65" s="1478" t="s">
        <v>863</v>
      </c>
      <c r="D65" s="1479"/>
      <c r="E65" s="1479"/>
      <c r="F65" s="1480"/>
      <c r="G65" s="751" t="e">
        <f>G64*0.035</f>
        <v>#REF!</v>
      </c>
    </row>
    <row r="66" spans="1:11 16384:16384">
      <c r="C66" s="1204" t="s">
        <v>162</v>
      </c>
      <c r="D66" s="1204"/>
      <c r="E66" s="1204"/>
      <c r="F66" s="1204"/>
      <c r="G66" s="423" t="e">
        <f>K57</f>
        <v>#REF!</v>
      </c>
    </row>
    <row r="67" spans="1:11 16384:16384">
      <c r="C67" s="1204" t="s">
        <v>20</v>
      </c>
      <c r="D67" s="1204"/>
      <c r="E67" s="1204"/>
      <c r="F67" s="1204"/>
      <c r="G67" s="423" t="e">
        <f>G64+G66+G65</f>
        <v>#REF!</v>
      </c>
    </row>
    <row r="68" spans="1:11 16384:16384">
      <c r="C68" s="1244" t="s">
        <v>163</v>
      </c>
      <c r="D68" s="1244"/>
      <c r="E68" s="1244"/>
      <c r="F68" s="1244"/>
      <c r="G68" s="424" t="e">
        <f>G63+G67</f>
        <v>#REF!</v>
      </c>
    </row>
    <row r="69" spans="1:11 16384:16384" ht="17" thickBot="1">
      <c r="C69" s="1245" t="s">
        <v>164</v>
      </c>
      <c r="D69" s="1245"/>
      <c r="E69" s="1245"/>
      <c r="F69" s="1245"/>
      <c r="G69" s="431" t="e">
        <f>G60*0.03</f>
        <v>#REF!</v>
      </c>
      <c r="I69" s="139"/>
      <c r="J69" s="140"/>
    </row>
    <row r="70" spans="1:11 16384:16384" ht="16" thickBot="1">
      <c r="C70" s="1246" t="s">
        <v>165</v>
      </c>
      <c r="D70" s="1247"/>
      <c r="E70" s="1247"/>
      <c r="F70" s="1248"/>
      <c r="G70" s="432" t="e">
        <f>G68+G69</f>
        <v>#REF!</v>
      </c>
      <c r="XFD70" s="36" t="e">
        <f>SUM(A70:XFC70)</f>
        <v>#REF!</v>
      </c>
    </row>
    <row r="71" spans="1:11 16384:16384">
      <c r="A71" s="141"/>
      <c r="B71" s="141"/>
      <c r="H71" s="141"/>
      <c r="I71" s="141"/>
      <c r="J71" s="141"/>
      <c r="K71" s="141"/>
    </row>
    <row r="72" spans="1:11 16384:16384">
      <c r="A72" s="141"/>
      <c r="B72" s="141"/>
      <c r="C72" s="141"/>
      <c r="D72" s="141"/>
      <c r="E72" s="141"/>
      <c r="F72" s="142"/>
      <c r="G72" s="143"/>
      <c r="H72" s="141"/>
      <c r="I72" s="141"/>
      <c r="J72" s="141"/>
      <c r="K72" s="141"/>
    </row>
    <row r="73" spans="1:11 16384:16384">
      <c r="A73" s="141"/>
      <c r="B73" s="141"/>
      <c r="C73" s="141"/>
      <c r="D73" s="141"/>
      <c r="E73" s="141"/>
      <c r="F73" s="142"/>
      <c r="G73" s="144"/>
      <c r="H73" s="141"/>
      <c r="I73" s="141"/>
      <c r="J73" s="141"/>
      <c r="K73" s="141"/>
    </row>
    <row r="74" spans="1:11 16384:16384" ht="14" customHeight="1">
      <c r="A74" s="141"/>
      <c r="B74" s="141"/>
      <c r="C74" s="141"/>
      <c r="D74" s="141"/>
      <c r="E74" s="141"/>
      <c r="F74" s="142"/>
      <c r="G74" s="145"/>
      <c r="H74" s="141"/>
      <c r="I74" s="141"/>
      <c r="J74" s="141"/>
      <c r="K74" s="141"/>
    </row>
    <row r="75" spans="1:11 16384:16384">
      <c r="C75" s="141"/>
      <c r="D75" s="141"/>
      <c r="E75" s="141"/>
      <c r="F75" s="142"/>
      <c r="G75" s="144"/>
    </row>
    <row r="76" spans="1:11 16384:16384">
      <c r="F76" s="146"/>
      <c r="G76" s="147"/>
    </row>
    <row r="77" spans="1:11 16384:16384">
      <c r="G77" s="148"/>
    </row>
    <row r="78" spans="1:11 16384:16384" ht="14" customHeight="1">
      <c r="G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>
      <c r="C83" s="149"/>
    </row>
    <row r="84" spans="1:7">
      <c r="C84" s="147"/>
    </row>
    <row r="85" spans="1:7" s="141" customFormat="1">
      <c r="A85"/>
      <c r="B85"/>
      <c r="C85" s="149"/>
      <c r="D85"/>
      <c r="E85"/>
      <c r="F85"/>
      <c r="G85"/>
    </row>
    <row r="86" spans="1:7" s="141" customFormat="1">
      <c r="A86"/>
      <c r="B86"/>
      <c r="C86" s="147"/>
      <c r="D86"/>
      <c r="E86"/>
      <c r="F86"/>
      <c r="G86"/>
    </row>
    <row r="87" spans="1:7" s="141" customFormat="1">
      <c r="A87"/>
      <c r="B87"/>
      <c r="C87" s="36"/>
      <c r="D87"/>
      <c r="E87"/>
      <c r="F87"/>
      <c r="G87"/>
    </row>
    <row r="88" spans="1:7" s="141" customFormat="1">
      <c r="A88"/>
      <c r="B88"/>
      <c r="C88"/>
      <c r="D88"/>
      <c r="E88"/>
      <c r="F88"/>
      <c r="G88"/>
    </row>
  </sheetData>
  <mergeCells count="44">
    <mergeCell ref="C68:F68"/>
    <mergeCell ref="C69:F69"/>
    <mergeCell ref="C70:F70"/>
    <mergeCell ref="C67:F67"/>
    <mergeCell ref="A38:E38"/>
    <mergeCell ref="C64:F64"/>
    <mergeCell ref="C66:F66"/>
    <mergeCell ref="C60:F60"/>
    <mergeCell ref="C61:F61"/>
    <mergeCell ref="C62:F62"/>
    <mergeCell ref="C63:F63"/>
    <mergeCell ref="A44:E44"/>
    <mergeCell ref="D49:E49"/>
    <mergeCell ref="C65:F65"/>
    <mergeCell ref="A7:K7"/>
    <mergeCell ref="A12:B12"/>
    <mergeCell ref="D24:E24"/>
    <mergeCell ref="I24:J24"/>
    <mergeCell ref="A25:D25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9:J49"/>
    <mergeCell ref="A51:B51"/>
    <mergeCell ref="D57:E57"/>
    <mergeCell ref="I57:J57"/>
    <mergeCell ref="A8:G8"/>
    <mergeCell ref="D30:E30"/>
    <mergeCell ref="I30:J30"/>
    <mergeCell ref="A31:K31"/>
    <mergeCell ref="A32:E32"/>
    <mergeCell ref="D37:E37"/>
    <mergeCell ref="I37:J37"/>
    <mergeCell ref="D43:E43"/>
    <mergeCell ref="I43:J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FBF1-B907-44D4-B655-8DC4A580B6F2}">
  <dimension ref="A1:XFD88"/>
  <sheetViews>
    <sheetView topLeftCell="A49" zoomScale="90" zoomScaleNormal="90" workbookViewId="0">
      <selection activeCell="E20" sqref="E20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435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428</v>
      </c>
      <c r="H26" s="184" t="s">
        <v>63</v>
      </c>
      <c r="I26" s="491">
        <f>'Балки - КС и ПБКЛ'!I29</f>
        <v>1.92</v>
      </c>
      <c r="J26" s="308">
        <f>'Балки - ест. влахность'!J29</f>
        <v>17000</v>
      </c>
      <c r="K26" s="46">
        <f>I26*J26</f>
        <v>32640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884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41359.392405063292</v>
      </c>
    </row>
    <row r="31" spans="1:11">
      <c r="A31" s="1237"/>
      <c r="B31" s="1237"/>
      <c r="C31" s="1237"/>
      <c r="D31" s="1237"/>
      <c r="E31" s="1237"/>
      <c r="F31" s="1237"/>
      <c r="G31" s="1237"/>
      <c r="H31" s="1237"/>
      <c r="I31" s="1237"/>
      <c r="J31" s="1237"/>
      <c r="K31" s="1238"/>
    </row>
    <row r="32" spans="1:11">
      <c r="A32" s="1233" t="s">
        <v>318</v>
      </c>
      <c r="B32" s="1233"/>
      <c r="C32" s="1233"/>
      <c r="D32" s="1233"/>
      <c r="E32" s="1233"/>
      <c r="F32" s="160"/>
      <c r="G32" s="1029"/>
      <c r="H32" s="120"/>
      <c r="I32" s="1052"/>
      <c r="J32" s="1048"/>
      <c r="K32" s="67"/>
    </row>
    <row r="33" spans="1:11">
      <c r="A33" s="74">
        <v>1</v>
      </c>
      <c r="B33" s="75" t="s">
        <v>147</v>
      </c>
      <c r="C33" s="38" t="s">
        <v>148</v>
      </c>
      <c r="D33" s="189">
        <f>'Балки - КС и ПБКЛ'!D37</f>
        <v>55</v>
      </c>
      <c r="E33" s="39">
        <f>'Балки - КС и ПБКЛ'!E37</f>
        <v>600</v>
      </c>
      <c r="F33" s="39">
        <f>D33*E33</f>
        <v>33000</v>
      </c>
      <c r="G33" s="155" t="s">
        <v>428</v>
      </c>
      <c r="H33" s="182" t="s">
        <v>63</v>
      </c>
      <c r="I33" s="421">
        <f>'Балки - КС и ПБКЛ'!I37</f>
        <v>0.77999999999999992</v>
      </c>
      <c r="J33" s="210">
        <f>'Балки - ест. влахность'!J36</f>
        <v>17000</v>
      </c>
      <c r="K33" s="157">
        <f>I33*J33</f>
        <v>13259.999999999998</v>
      </c>
    </row>
    <row r="34" spans="1:11">
      <c r="A34" s="74"/>
      <c r="B34" s="75"/>
      <c r="C34" s="38"/>
      <c r="D34" s="189"/>
      <c r="E34" s="39"/>
      <c r="F34" s="39"/>
      <c r="G34" s="175" t="s">
        <v>87</v>
      </c>
      <c r="H34" s="176" t="s">
        <v>85</v>
      </c>
      <c r="I34" s="421">
        <f>'Балки - КС и ПБКЛ'!I38</f>
        <v>54</v>
      </c>
      <c r="J34" s="210">
        <f>'Балки - КС и ПБКЛ'!J38</f>
        <v>65</v>
      </c>
      <c r="K34" s="157">
        <f>I34*J34</f>
        <v>3510</v>
      </c>
    </row>
    <row r="35" spans="1:11">
      <c r="A35" s="74"/>
      <c r="B35" s="163"/>
      <c r="C35" s="164"/>
      <c r="D35" s="103"/>
      <c r="E35" s="103"/>
      <c r="F35" s="39"/>
      <c r="G35" s="223" t="s">
        <v>141</v>
      </c>
      <c r="H35" s="182" t="s">
        <v>85</v>
      </c>
      <c r="I35" s="421">
        <f>'Балки - КС и ПБКЛ'!I39</f>
        <v>216</v>
      </c>
      <c r="J35" s="157">
        <f>'Балки - КС и ПБКЛ'!J39</f>
        <v>13</v>
      </c>
      <c r="K35" s="157">
        <f>I35*J35</f>
        <v>2808</v>
      </c>
    </row>
    <row r="36" spans="1:11">
      <c r="A36" s="172" t="s">
        <v>152</v>
      </c>
      <c r="B36" s="173" t="s">
        <v>884</v>
      </c>
      <c r="C36" s="174" t="s">
        <v>148</v>
      </c>
      <c r="D36" s="161">
        <f>I33/0.06*3</f>
        <v>38.999999999999993</v>
      </c>
      <c r="E36" s="161">
        <f>data!J129</f>
        <v>45</v>
      </c>
      <c r="F36" s="39">
        <f t="shared" ref="F36" si="3">D36*E36</f>
        <v>1754.9999999999998</v>
      </c>
      <c r="G36" s="391" t="s">
        <v>149</v>
      </c>
      <c r="H36" s="392" t="s">
        <v>144</v>
      </c>
      <c r="I36" s="871">
        <f>'Балки - КС и ПБКЛ'!I40</f>
        <v>2.7341772151898733</v>
      </c>
      <c r="J36" s="348">
        <f>'Балки - КС и ПБКЛ'!J40</f>
        <v>380</v>
      </c>
      <c r="K36" s="869">
        <f t="shared" ref="K36" si="4">I36*J36</f>
        <v>1038.9873417721519</v>
      </c>
    </row>
    <row r="37" spans="1:11">
      <c r="A37" s="116"/>
      <c r="B37" s="117"/>
      <c r="C37" s="66"/>
      <c r="D37" s="1253" t="s">
        <v>145</v>
      </c>
      <c r="E37" s="1253"/>
      <c r="F37" s="118">
        <f>SUM(F33:F36)</f>
        <v>34755</v>
      </c>
      <c r="G37" s="119"/>
      <c r="H37" s="120"/>
      <c r="I37" s="1254" t="s">
        <v>146</v>
      </c>
      <c r="J37" s="1254"/>
      <c r="K37" s="118">
        <f>SUM(K33:K36)</f>
        <v>20616.987341772154</v>
      </c>
    </row>
    <row r="38" spans="1:11">
      <c r="A38" s="1233" t="s">
        <v>319</v>
      </c>
      <c r="B38" s="1233"/>
      <c r="C38" s="1233"/>
      <c r="D38" s="1233"/>
      <c r="E38" s="1233"/>
      <c r="F38" s="160"/>
      <c r="G38" s="1029"/>
      <c r="H38" s="120"/>
      <c r="I38" s="1052"/>
      <c r="J38" s="1048"/>
      <c r="K38" s="67"/>
    </row>
    <row r="39" spans="1:11">
      <c r="A39" s="74">
        <v>1</v>
      </c>
      <c r="B39" s="75" t="s">
        <v>147</v>
      </c>
      <c r="C39" s="38" t="s">
        <v>148</v>
      </c>
      <c r="D39" s="189">
        <f>'Балки - КС и ПБКЛ'!D43</f>
        <v>80</v>
      </c>
      <c r="E39" s="39">
        <f>'Балки - КС и ПБКЛ'!E43</f>
        <v>600</v>
      </c>
      <c r="F39" s="39">
        <f>D39*E39</f>
        <v>48000</v>
      </c>
      <c r="G39" s="155" t="s">
        <v>428</v>
      </c>
      <c r="H39" s="182" t="s">
        <v>63</v>
      </c>
      <c r="I39" s="421">
        <f>'Балки - КС и ПБКЛ'!I43</f>
        <v>0</v>
      </c>
      <c r="J39" s="210">
        <f>'Балки - ест. влахность'!J42</f>
        <v>17000</v>
      </c>
      <c r="K39" s="157">
        <f>I39*J39</f>
        <v>0</v>
      </c>
    </row>
    <row r="40" spans="1:11">
      <c r="A40" s="74"/>
      <c r="B40" s="75"/>
      <c r="C40" s="38"/>
      <c r="D40" s="189"/>
      <c r="E40" s="39"/>
      <c r="F40" s="39"/>
      <c r="G40" s="175" t="s">
        <v>87</v>
      </c>
      <c r="H40" s="176" t="s">
        <v>85</v>
      </c>
      <c r="I40" s="421">
        <f>'Балки - КС и ПБКЛ'!I44</f>
        <v>0</v>
      </c>
      <c r="J40" s="210">
        <f>'Балки - КС и ПБКЛ'!J44</f>
        <v>65</v>
      </c>
      <c r="K40" s="157">
        <f>I40*J40</f>
        <v>0</v>
      </c>
    </row>
    <row r="41" spans="1:11">
      <c r="A41" s="167"/>
      <c r="B41" s="177"/>
      <c r="C41" s="178"/>
      <c r="D41" s="179"/>
      <c r="E41" s="179"/>
      <c r="F41" s="39"/>
      <c r="G41" s="223" t="s">
        <v>141</v>
      </c>
      <c r="H41" s="182" t="s">
        <v>85</v>
      </c>
      <c r="I41" s="421">
        <f>'Балки - КС и ПБКЛ'!I45</f>
        <v>0</v>
      </c>
      <c r="J41" s="157">
        <f>'Балки - КС и ПБКЛ'!J45</f>
        <v>13</v>
      </c>
      <c r="K41" s="157">
        <f>I41*J41</f>
        <v>0</v>
      </c>
    </row>
    <row r="42" spans="1:11">
      <c r="A42" s="162" t="s">
        <v>152</v>
      </c>
      <c r="B42" s="163" t="s">
        <v>884</v>
      </c>
      <c r="C42" s="164" t="s">
        <v>148</v>
      </c>
      <c r="D42" s="103">
        <f>I39/0.06*3</f>
        <v>0</v>
      </c>
      <c r="E42" s="103">
        <f>data!J129</f>
        <v>45</v>
      </c>
      <c r="F42" s="39">
        <f t="shared" ref="F42" si="5">D42*E42</f>
        <v>0</v>
      </c>
      <c r="G42" s="223" t="s">
        <v>149</v>
      </c>
      <c r="H42" s="182" t="s">
        <v>144</v>
      </c>
      <c r="I42" s="584">
        <f>'Балки - КС и ПБКЛ'!I46</f>
        <v>0</v>
      </c>
      <c r="J42" s="157">
        <f>'Балки - КС и ПБКЛ'!J46</f>
        <v>380</v>
      </c>
      <c r="K42" s="157">
        <f t="shared" ref="K42" si="6">I42*J42</f>
        <v>0</v>
      </c>
    </row>
    <row r="43" spans="1:11">
      <c r="A43" s="116"/>
      <c r="B43" s="117"/>
      <c r="C43" s="66"/>
      <c r="D43" s="1253" t="s">
        <v>145</v>
      </c>
      <c r="E43" s="1253"/>
      <c r="F43" s="118">
        <f>SUM(F39:F42)</f>
        <v>48000</v>
      </c>
      <c r="G43" s="119"/>
      <c r="H43" s="120"/>
      <c r="I43" s="1254" t="s">
        <v>146</v>
      </c>
      <c r="J43" s="1254"/>
      <c r="K43" s="118">
        <f>SUM(K39:K42)</f>
        <v>0</v>
      </c>
    </row>
    <row r="44" spans="1:11">
      <c r="A44" s="1233" t="s">
        <v>320</v>
      </c>
      <c r="B44" s="1233"/>
      <c r="C44" s="1233"/>
      <c r="D44" s="1233"/>
      <c r="E44" s="1233"/>
      <c r="F44" s="160"/>
      <c r="G44" s="1029"/>
      <c r="H44" s="120"/>
      <c r="I44" s="1052"/>
      <c r="J44" s="1048"/>
      <c r="K44" s="67"/>
    </row>
    <row r="45" spans="1:11">
      <c r="A45" s="74">
        <v>1</v>
      </c>
      <c r="B45" s="75" t="s">
        <v>147</v>
      </c>
      <c r="C45" s="38" t="s">
        <v>148</v>
      </c>
      <c r="D45" s="189">
        <f>'Балки - КС и ПБКЛ'!D49</f>
        <v>19.88</v>
      </c>
      <c r="E45" s="39">
        <f>'Балки - КС и ПБКЛ'!E49</f>
        <v>600</v>
      </c>
      <c r="F45" s="39">
        <f>D45*E45</f>
        <v>11928</v>
      </c>
      <c r="G45" s="155" t="s">
        <v>428</v>
      </c>
      <c r="H45" s="182" t="s">
        <v>63</v>
      </c>
      <c r="I45" s="421">
        <f>'Балки - КС и ПБКЛ'!I49</f>
        <v>0</v>
      </c>
      <c r="J45" s="210">
        <f>'Балки - ест. влахность'!J48</f>
        <v>17000</v>
      </c>
      <c r="K45" s="157">
        <f>I45*J45</f>
        <v>0</v>
      </c>
    </row>
    <row r="46" spans="1:11">
      <c r="A46" s="74"/>
      <c r="B46" s="75"/>
      <c r="C46" s="38"/>
      <c r="D46" s="189"/>
      <c r="E46" s="39"/>
      <c r="F46" s="39"/>
      <c r="G46" s="175" t="s">
        <v>87</v>
      </c>
      <c r="H46" s="176" t="s">
        <v>85</v>
      </c>
      <c r="I46" s="421">
        <f>'Балки - КС и ПБКЛ'!I50</f>
        <v>0</v>
      </c>
      <c r="J46" s="210">
        <f>'Балки - КС и ПБКЛ'!J50</f>
        <v>65</v>
      </c>
      <c r="K46" s="157">
        <f>I46*J46</f>
        <v>0</v>
      </c>
    </row>
    <row r="47" spans="1:11">
      <c r="A47" s="167"/>
      <c r="B47" s="177"/>
      <c r="C47" s="178"/>
      <c r="D47" s="179"/>
      <c r="E47" s="179"/>
      <c r="F47" s="39"/>
      <c r="G47" s="223" t="s">
        <v>141</v>
      </c>
      <c r="H47" s="182" t="s">
        <v>85</v>
      </c>
      <c r="I47" s="421">
        <f>'Балки - КС и ПБКЛ'!I51</f>
        <v>0</v>
      </c>
      <c r="J47" s="157">
        <f>'Балки - КС и ПБКЛ'!J51</f>
        <v>13</v>
      </c>
      <c r="K47" s="157">
        <f>I47*J47</f>
        <v>0</v>
      </c>
    </row>
    <row r="48" spans="1:11">
      <c r="A48" s="162" t="s">
        <v>152</v>
      </c>
      <c r="B48" s="163" t="s">
        <v>884</v>
      </c>
      <c r="C48" s="164" t="s">
        <v>148</v>
      </c>
      <c r="D48" s="103">
        <f>I45/0.06*3</f>
        <v>0</v>
      </c>
      <c r="E48" s="103">
        <f>data!J129</f>
        <v>45</v>
      </c>
      <c r="F48" s="39">
        <f t="shared" ref="F48" si="7">D48*E48</f>
        <v>0</v>
      </c>
      <c r="G48" s="223" t="s">
        <v>149</v>
      </c>
      <c r="H48" s="182" t="s">
        <v>144</v>
      </c>
      <c r="I48" s="584">
        <f>'Балки - КС и ПБКЛ'!I52</f>
        <v>0</v>
      </c>
      <c r="J48" s="157">
        <f>'Балки - КС и ПБКЛ'!J52</f>
        <v>380</v>
      </c>
      <c r="K48" s="157">
        <f t="shared" ref="K48" si="8">I48*J48</f>
        <v>0</v>
      </c>
    </row>
    <row r="49" spans="1:11">
      <c r="A49" s="116"/>
      <c r="B49" s="117"/>
      <c r="C49" s="66"/>
      <c r="D49" s="1253" t="s">
        <v>145</v>
      </c>
      <c r="E49" s="1253"/>
      <c r="F49" s="118">
        <f>SUM(F45:F48)</f>
        <v>11928</v>
      </c>
      <c r="G49" s="119"/>
      <c r="H49" s="120"/>
      <c r="I49" s="1254" t="s">
        <v>146</v>
      </c>
      <c r="J49" s="1254"/>
      <c r="K49" s="118">
        <f>SUM(K45:K48)</f>
        <v>0</v>
      </c>
    </row>
    <row r="50" spans="1:11">
      <c r="A50" s="116"/>
      <c r="B50" s="117"/>
      <c r="C50" s="66"/>
      <c r="D50" s="121"/>
      <c r="E50" s="121"/>
      <c r="F50" s="122"/>
      <c r="G50" s="119"/>
      <c r="H50" s="120"/>
      <c r="I50" s="123"/>
      <c r="J50" s="123"/>
      <c r="K50" s="122"/>
    </row>
    <row r="51" spans="1:11">
      <c r="A51" s="1239" t="s">
        <v>195</v>
      </c>
      <c r="B51" s="1239"/>
      <c r="C51" s="120"/>
      <c r="D51" s="121"/>
      <c r="E51" s="121"/>
      <c r="F51" s="122"/>
      <c r="G51" s="119"/>
      <c r="H51" s="120"/>
      <c r="I51" s="123"/>
      <c r="J51" s="123"/>
      <c r="K51" s="122"/>
    </row>
    <row r="52" spans="1:11" ht="15" customHeight="1">
      <c r="A52" s="124" t="s">
        <v>134</v>
      </c>
      <c r="B52" s="125" t="s">
        <v>150</v>
      </c>
      <c r="C52" s="124" t="s">
        <v>63</v>
      </c>
      <c r="D52" s="124" t="e">
        <f>D13+I22+I26+I33+I39+I45</f>
        <v>#REF!</v>
      </c>
      <c r="E52" s="126" t="e">
        <f>#REF!</f>
        <v>#REF!</v>
      </c>
      <c r="F52" s="124" t="e">
        <f>D52*E52</f>
        <v>#REF!</v>
      </c>
      <c r="G52" s="127" t="s">
        <v>151</v>
      </c>
      <c r="H52" s="182" t="s">
        <v>138</v>
      </c>
      <c r="I52" s="421" t="e">
        <f>#REF!</f>
        <v>#REF!</v>
      </c>
      <c r="J52" s="109" t="e">
        <f>#REF!</f>
        <v>#REF!</v>
      </c>
      <c r="K52" s="124" t="e">
        <f t="shared" ref="K52:K56" si="9">I52*J52</f>
        <v>#REF!</v>
      </c>
    </row>
    <row r="53" spans="1:11">
      <c r="A53" s="124" t="s">
        <v>152</v>
      </c>
      <c r="B53" s="125" t="s">
        <v>153</v>
      </c>
      <c r="C53" s="124" t="s">
        <v>154</v>
      </c>
      <c r="D53" s="124">
        <f>data!I127</f>
        <v>1</v>
      </c>
      <c r="E53" s="126">
        <f>data!J127</f>
        <v>2000</v>
      </c>
      <c r="F53" s="124">
        <f>D53*E53</f>
        <v>2000</v>
      </c>
      <c r="G53" s="127"/>
      <c r="H53" s="124"/>
      <c r="I53" s="129"/>
      <c r="J53" s="129"/>
      <c r="K53" s="124"/>
    </row>
    <row r="54" spans="1:11">
      <c r="A54" s="124"/>
      <c r="B54" s="125"/>
      <c r="C54" s="124"/>
      <c r="D54" s="130"/>
      <c r="E54" s="131"/>
      <c r="F54" s="132"/>
      <c r="G54" s="128" t="s">
        <v>322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4"/>
      <c r="B55" s="125"/>
      <c r="C55" s="124"/>
      <c r="D55" s="130"/>
      <c r="E55" s="131"/>
      <c r="F55" s="132"/>
      <c r="G55" s="127" t="s">
        <v>197</v>
      </c>
      <c r="H55" s="124" t="s">
        <v>156</v>
      </c>
      <c r="I55" s="129" t="e">
        <f>#REF!</f>
        <v>#REF!</v>
      </c>
      <c r="J55" s="124" t="e">
        <f>#REF!</f>
        <v>#REF!</v>
      </c>
      <c r="K55" s="124" t="e">
        <f t="shared" si="9"/>
        <v>#REF!</v>
      </c>
    </row>
    <row r="56" spans="1:11">
      <c r="A56" s="124"/>
      <c r="B56" s="125"/>
      <c r="C56" s="124"/>
      <c r="D56" s="130"/>
      <c r="E56" s="131"/>
      <c r="F56" s="132"/>
      <c r="G56" s="127" t="s">
        <v>196</v>
      </c>
      <c r="H56" s="124" t="s">
        <v>156</v>
      </c>
      <c r="I56" s="133" t="e">
        <f>#REF!</f>
        <v>#REF!</v>
      </c>
      <c r="J56" s="133" t="e">
        <f>#REF!</f>
        <v>#REF!</v>
      </c>
      <c r="K56" s="124" t="e">
        <f t="shared" si="9"/>
        <v>#REF!</v>
      </c>
    </row>
    <row r="57" spans="1:11">
      <c r="A57" s="120"/>
      <c r="B57" s="119"/>
      <c r="C57" s="120"/>
      <c r="D57" s="1256" t="s">
        <v>145</v>
      </c>
      <c r="E57" s="1257"/>
      <c r="F57" s="132" t="e">
        <f>SUM(F52:F56)</f>
        <v>#REF!</v>
      </c>
      <c r="G57" s="119"/>
      <c r="H57" s="120"/>
      <c r="I57" s="1242" t="s">
        <v>157</v>
      </c>
      <c r="J57" s="1243"/>
      <c r="K57" s="132" t="e">
        <f>SUM(K52:K56)</f>
        <v>#REF!</v>
      </c>
    </row>
    <row r="58" spans="1:11">
      <c r="A58" s="120"/>
      <c r="B58" s="119"/>
      <c r="C58" s="120"/>
      <c r="D58" s="121"/>
      <c r="E58" s="121"/>
      <c r="F58" s="122"/>
      <c r="G58" s="119"/>
      <c r="H58" s="120"/>
      <c r="I58" s="123"/>
      <c r="J58" s="123"/>
      <c r="K58" s="122"/>
    </row>
    <row r="60" spans="1:11">
      <c r="C60" s="1204" t="s">
        <v>158</v>
      </c>
      <c r="D60" s="1204"/>
      <c r="E60" s="1204"/>
      <c r="F60" s="1204"/>
      <c r="G60" s="423" t="e">
        <f>F24+F30+F37+F57+F43+F49</f>
        <v>#REF!</v>
      </c>
    </row>
    <row r="61" spans="1:11">
      <c r="C61" s="1204" t="s">
        <v>159</v>
      </c>
      <c r="D61" s="1204"/>
      <c r="E61" s="1204"/>
      <c r="F61" s="1204"/>
      <c r="G61" s="423" t="e">
        <f>G60*0.03</f>
        <v>#REF!</v>
      </c>
    </row>
    <row r="62" spans="1:11">
      <c r="C62" s="1204" t="s">
        <v>160</v>
      </c>
      <c r="D62" s="1204"/>
      <c r="E62" s="1204"/>
      <c r="F62" s="1204"/>
      <c r="G62" s="423" t="e">
        <f>G60*0.16</f>
        <v>#REF!</v>
      </c>
    </row>
    <row r="63" spans="1:11">
      <c r="C63" s="1204" t="s">
        <v>20</v>
      </c>
      <c r="D63" s="1204"/>
      <c r="E63" s="1204"/>
      <c r="F63" s="1204"/>
      <c r="G63" s="423" t="e">
        <f>G60+G61+G62</f>
        <v>#REF!</v>
      </c>
    </row>
    <row r="64" spans="1:11">
      <c r="C64" s="1204" t="s">
        <v>161</v>
      </c>
      <c r="D64" s="1204"/>
      <c r="E64" s="1204"/>
      <c r="F64" s="1204"/>
      <c r="G64" s="423" t="e">
        <f>K24+K30+K37+K43+K49</f>
        <v>#REF!</v>
      </c>
    </row>
    <row r="65" spans="1:11 16384:16384">
      <c r="C65" s="1478" t="s">
        <v>863</v>
      </c>
      <c r="D65" s="1479"/>
      <c r="E65" s="1479"/>
      <c r="F65" s="1480"/>
      <c r="G65" s="751" t="e">
        <f>G64*0.035</f>
        <v>#REF!</v>
      </c>
    </row>
    <row r="66" spans="1:11 16384:16384">
      <c r="C66" s="1204" t="s">
        <v>162</v>
      </c>
      <c r="D66" s="1204"/>
      <c r="E66" s="1204"/>
      <c r="F66" s="1204"/>
      <c r="G66" s="423" t="e">
        <f>K57</f>
        <v>#REF!</v>
      </c>
    </row>
    <row r="67" spans="1:11 16384:16384">
      <c r="C67" s="1204" t="s">
        <v>20</v>
      </c>
      <c r="D67" s="1204"/>
      <c r="E67" s="1204"/>
      <c r="F67" s="1204"/>
      <c r="G67" s="423" t="e">
        <f>G64+G66+G65</f>
        <v>#REF!</v>
      </c>
    </row>
    <row r="68" spans="1:11 16384:16384">
      <c r="C68" s="1244" t="s">
        <v>163</v>
      </c>
      <c r="D68" s="1244"/>
      <c r="E68" s="1244"/>
      <c r="F68" s="1244"/>
      <c r="G68" s="424" t="e">
        <f>G63+G67</f>
        <v>#REF!</v>
      </c>
    </row>
    <row r="69" spans="1:11 16384:16384" ht="17" thickBot="1">
      <c r="C69" s="1245" t="s">
        <v>164</v>
      </c>
      <c r="D69" s="1245"/>
      <c r="E69" s="1245"/>
      <c r="F69" s="1245"/>
      <c r="G69" s="431" t="e">
        <f>G60*0.03</f>
        <v>#REF!</v>
      </c>
      <c r="I69" s="139"/>
      <c r="J69" s="140"/>
    </row>
    <row r="70" spans="1:11 16384:16384" ht="16" thickBot="1">
      <c r="C70" s="1246" t="s">
        <v>165</v>
      </c>
      <c r="D70" s="1247"/>
      <c r="E70" s="1247"/>
      <c r="F70" s="1248"/>
      <c r="G70" s="432" t="e">
        <f>G68+G69</f>
        <v>#REF!</v>
      </c>
      <c r="XFD70" s="36" t="e">
        <f>SUM(A70:XFC70)</f>
        <v>#REF!</v>
      </c>
    </row>
    <row r="71" spans="1:11 16384:16384">
      <c r="A71" s="141"/>
      <c r="B71" s="141"/>
      <c r="H71" s="141"/>
      <c r="I71" s="141"/>
      <c r="J71" s="141"/>
      <c r="K71" s="141"/>
    </row>
    <row r="72" spans="1:11 16384:16384">
      <c r="A72" s="141"/>
      <c r="B72" s="141"/>
      <c r="C72" s="141"/>
      <c r="D72" s="141"/>
      <c r="E72" s="141"/>
      <c r="F72" s="142"/>
      <c r="G72" s="143"/>
      <c r="H72" s="141"/>
      <c r="I72" s="141"/>
      <c r="J72" s="141"/>
      <c r="K72" s="141"/>
    </row>
    <row r="73" spans="1:11 16384:16384">
      <c r="A73" s="141"/>
      <c r="B73" s="141"/>
      <c r="C73" s="141"/>
      <c r="D73" s="141"/>
      <c r="E73" s="141"/>
      <c r="F73" s="142"/>
      <c r="G73" s="144"/>
      <c r="H73" s="141"/>
      <c r="I73" s="141"/>
      <c r="J73" s="141"/>
      <c r="K73" s="141"/>
    </row>
    <row r="74" spans="1:11 16384:16384" ht="14" customHeight="1">
      <c r="A74" s="141"/>
      <c r="B74" s="141"/>
      <c r="C74" s="141"/>
      <c r="D74" s="141"/>
      <c r="E74" s="141"/>
      <c r="F74" s="142"/>
      <c r="G74" s="145"/>
      <c r="H74" s="141"/>
      <c r="I74" s="141"/>
      <c r="J74" s="141"/>
      <c r="K74" s="141"/>
    </row>
    <row r="75" spans="1:11 16384:16384">
      <c r="C75" s="141"/>
      <c r="D75" s="141"/>
      <c r="E75" s="141"/>
      <c r="F75" s="142"/>
      <c r="G75" s="144"/>
    </row>
    <row r="76" spans="1:11 16384:16384">
      <c r="F76" s="146"/>
      <c r="G76" s="147"/>
    </row>
    <row r="77" spans="1:11 16384:16384">
      <c r="G77" s="148"/>
    </row>
    <row r="78" spans="1:11 16384:16384" ht="14" customHeight="1">
      <c r="G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>
      <c r="C83" s="149"/>
    </row>
    <row r="84" spans="1:7">
      <c r="C84" s="147"/>
    </row>
    <row r="85" spans="1:7" s="141" customFormat="1">
      <c r="A85"/>
      <c r="B85"/>
      <c r="C85" s="149"/>
      <c r="D85"/>
      <c r="E85"/>
      <c r="F85"/>
      <c r="G85"/>
    </row>
    <row r="86" spans="1:7" s="141" customFormat="1">
      <c r="A86"/>
      <c r="B86"/>
      <c r="C86" s="147"/>
      <c r="D86"/>
      <c r="E86"/>
      <c r="F86"/>
      <c r="G86"/>
    </row>
    <row r="87" spans="1:7" s="141" customFormat="1">
      <c r="A87"/>
      <c r="B87"/>
      <c r="C87" s="36"/>
      <c r="D87"/>
      <c r="E87"/>
      <c r="F87"/>
      <c r="G87"/>
    </row>
    <row r="88" spans="1:7" s="141" customFormat="1">
      <c r="A88"/>
      <c r="B88"/>
      <c r="C88"/>
      <c r="D88"/>
      <c r="E88"/>
      <c r="F88"/>
      <c r="G88"/>
    </row>
  </sheetData>
  <mergeCells count="44">
    <mergeCell ref="C68:F68"/>
    <mergeCell ref="C69:F69"/>
    <mergeCell ref="C70:F70"/>
    <mergeCell ref="C67:F67"/>
    <mergeCell ref="A38:E38"/>
    <mergeCell ref="C64:F64"/>
    <mergeCell ref="C66:F66"/>
    <mergeCell ref="C60:F60"/>
    <mergeCell ref="C61:F61"/>
    <mergeCell ref="C62:F62"/>
    <mergeCell ref="C63:F63"/>
    <mergeCell ref="A44:E44"/>
    <mergeCell ref="D49:E49"/>
    <mergeCell ref="C65:F65"/>
    <mergeCell ref="A7:K7"/>
    <mergeCell ref="A12:B12"/>
    <mergeCell ref="D24:E24"/>
    <mergeCell ref="I24:J24"/>
    <mergeCell ref="A25:D25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9:J49"/>
    <mergeCell ref="A51:B51"/>
    <mergeCell ref="D57:E57"/>
    <mergeCell ref="I57:J57"/>
    <mergeCell ref="A8:G8"/>
    <mergeCell ref="D30:E30"/>
    <mergeCell ref="I30:J30"/>
    <mergeCell ref="A31:K31"/>
    <mergeCell ref="A32:E32"/>
    <mergeCell ref="D37:E37"/>
    <mergeCell ref="I37:J37"/>
    <mergeCell ref="D43:E43"/>
    <mergeCell ref="I43:J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1552-4DF5-4AAC-9B9F-D08C2A4FBF55}">
  <dimension ref="A1:XFD86"/>
  <sheetViews>
    <sheetView topLeftCell="A31" zoomScale="90" zoomScaleNormal="90" workbookViewId="0">
      <selection activeCell="G11" sqref="G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437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428</v>
      </c>
      <c r="H26" s="184" t="s">
        <v>63</v>
      </c>
      <c r="I26" s="491">
        <f>'Балки - КС и ПБКЛ'!I29</f>
        <v>1.92</v>
      </c>
      <c r="J26" s="308">
        <f>'Балки - ест. влахность'!J29</f>
        <v>17000</v>
      </c>
      <c r="K26" s="46">
        <f>I26*J26</f>
        <v>32640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41359.392405063292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428</v>
      </c>
      <c r="H32" s="182" t="s">
        <v>63</v>
      </c>
      <c r="I32" s="421">
        <f>'Балки - КС и ПБКЛ'!I37</f>
        <v>0.77999999999999992</v>
      </c>
      <c r="J32" s="210">
        <f>'Балки - ест. влахность'!J36</f>
        <v>17000</v>
      </c>
      <c r="K32" s="157">
        <f>I32*J32</f>
        <v>13259.999999999998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39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 t="s">
        <v>152</v>
      </c>
      <c r="B35" s="173" t="s">
        <v>883</v>
      </c>
      <c r="C35" s="174" t="s">
        <v>148</v>
      </c>
      <c r="D35" s="161">
        <f>I32/0.06*3</f>
        <v>38.999999999999993</v>
      </c>
      <c r="E35" s="161">
        <f>data!J129</f>
        <v>45</v>
      </c>
      <c r="F35" s="39">
        <f t="shared" ref="F35" si="3">D35*E35</f>
        <v>1754.9999999999998</v>
      </c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4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34755</v>
      </c>
      <c r="G36" s="119"/>
      <c r="H36" s="120"/>
      <c r="I36" s="1254" t="s">
        <v>146</v>
      </c>
      <c r="J36" s="1254"/>
      <c r="K36" s="118">
        <f>SUM(K32:K35)</f>
        <v>20616.987341772154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428</v>
      </c>
      <c r="H38" s="182" t="s">
        <v>63</v>
      </c>
      <c r="I38" s="421">
        <f>'Балки - КС и ПБКЛ'!I43</f>
        <v>0</v>
      </c>
      <c r="J38" s="210">
        <f>'Балки - ест. влахность'!J42</f>
        <v>17000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9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 t="s">
        <v>152</v>
      </c>
      <c r="B41" s="163" t="s">
        <v>883</v>
      </c>
      <c r="C41" s="164" t="s">
        <v>148</v>
      </c>
      <c r="D41" s="103">
        <f>I38/0.06*3</f>
        <v>0</v>
      </c>
      <c r="E41" s="103">
        <f>data!J129</f>
        <v>45</v>
      </c>
      <c r="F41" s="39">
        <f t="shared" ref="F41" si="5">D41*E41</f>
        <v>0</v>
      </c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6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428</v>
      </c>
      <c r="H44" s="182" t="s">
        <v>63</v>
      </c>
      <c r="I44" s="421">
        <f>'Балки - КС и ПБКЛ'!I49</f>
        <v>0</v>
      </c>
      <c r="J44" s="210">
        <f>'Балки - ест. влахность'!J48</f>
        <v>17000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9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 t="s">
        <v>152</v>
      </c>
      <c r="B47" s="163" t="s">
        <v>883</v>
      </c>
      <c r="C47" s="164" t="s">
        <v>148</v>
      </c>
      <c r="D47" s="103">
        <f>I44/0.06*3</f>
        <v>0</v>
      </c>
      <c r="E47" s="103">
        <f>data!J129</f>
        <v>45</v>
      </c>
      <c r="F47" s="39">
        <f t="shared" ref="F47" si="7">D47*E47</f>
        <v>0</v>
      </c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8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D13+I22+I26+I32+I38+I44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9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9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9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F24+F30+F36+F55+F42+F48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K24+K30+K36+K42+K48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C66:F66"/>
    <mergeCell ref="C67:F67"/>
    <mergeCell ref="C68:F68"/>
    <mergeCell ref="C65:F65"/>
    <mergeCell ref="A37:E37"/>
    <mergeCell ref="C62:F62"/>
    <mergeCell ref="C64:F64"/>
    <mergeCell ref="C58:F58"/>
    <mergeCell ref="C59:F59"/>
    <mergeCell ref="C60:F60"/>
    <mergeCell ref="C61:F61"/>
    <mergeCell ref="A43:E43"/>
    <mergeCell ref="D48:E48"/>
    <mergeCell ref="C63:F63"/>
    <mergeCell ref="A7:K7"/>
    <mergeCell ref="A12:B12"/>
    <mergeCell ref="D24:E24"/>
    <mergeCell ref="I24:J24"/>
    <mergeCell ref="A25:D25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49:B49"/>
    <mergeCell ref="D55:E55"/>
    <mergeCell ref="I55:J55"/>
    <mergeCell ref="A8:G8"/>
    <mergeCell ref="D30:E30"/>
    <mergeCell ref="I30:J30"/>
    <mergeCell ref="A31:E31"/>
    <mergeCell ref="D36:E36"/>
    <mergeCell ref="I36:J36"/>
    <mergeCell ref="D42:E42"/>
    <mergeCell ref="I42:J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06A5-03AD-438A-B7D4-FDFED0113D69}">
  <dimension ref="A1:XFD86"/>
  <sheetViews>
    <sheetView topLeftCell="A46" zoomScale="90" zoomScaleNormal="90" workbookViewId="0">
      <selection activeCell="A12" sqref="A12:B12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438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428</v>
      </c>
      <c r="H26" s="184" t="s">
        <v>63</v>
      </c>
      <c r="I26" s="491">
        <f>'Балки - КС и ПБКЛ'!I29</f>
        <v>1.92</v>
      </c>
      <c r="J26" s="308">
        <f>'Балки - ест. влахность'!J29</f>
        <v>17000</v>
      </c>
      <c r="K26" s="46">
        <f>I26*J26</f>
        <v>32640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41359.392405063292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428</v>
      </c>
      <c r="H32" s="182" t="s">
        <v>63</v>
      </c>
      <c r="I32" s="421">
        <f>'Балки - КС и ПБКЛ'!I37</f>
        <v>0.77999999999999992</v>
      </c>
      <c r="J32" s="210">
        <f>'Балки - ест. влахность'!J36</f>
        <v>17000</v>
      </c>
      <c r="K32" s="157">
        <f>I32*J32</f>
        <v>13259.999999999998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39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 t="s">
        <v>152</v>
      </c>
      <c r="B35" s="173" t="s">
        <v>883</v>
      </c>
      <c r="C35" s="174" t="s">
        <v>148</v>
      </c>
      <c r="D35" s="161">
        <f>I32/0.06*3</f>
        <v>38.999999999999993</v>
      </c>
      <c r="E35" s="161">
        <f>data!J129</f>
        <v>45</v>
      </c>
      <c r="F35" s="39">
        <f t="shared" ref="F35" si="3">D35*E35</f>
        <v>1754.9999999999998</v>
      </c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4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34755</v>
      </c>
      <c r="G36" s="119"/>
      <c r="H36" s="120"/>
      <c r="I36" s="1254" t="s">
        <v>146</v>
      </c>
      <c r="J36" s="1254"/>
      <c r="K36" s="118">
        <f>SUM(K32:K35)</f>
        <v>20616.987341772154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428</v>
      </c>
      <c r="H38" s="182" t="s">
        <v>63</v>
      </c>
      <c r="I38" s="421">
        <f>'Балки - КС и ПБКЛ'!I43</f>
        <v>0</v>
      </c>
      <c r="J38" s="210">
        <f>'Балки - ест. влахность'!J42</f>
        <v>17000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9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 t="s">
        <v>152</v>
      </c>
      <c r="B41" s="163" t="s">
        <v>883</v>
      </c>
      <c r="C41" s="164" t="s">
        <v>148</v>
      </c>
      <c r="D41" s="103">
        <f>I38/0.06*3</f>
        <v>0</v>
      </c>
      <c r="E41" s="103">
        <f>data!J129</f>
        <v>45</v>
      </c>
      <c r="F41" s="39">
        <f t="shared" ref="F41" si="5">D41*E41</f>
        <v>0</v>
      </c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6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428</v>
      </c>
      <c r="H44" s="182" t="s">
        <v>63</v>
      </c>
      <c r="I44" s="421">
        <f>'Балки - КС и ПБКЛ'!I49</f>
        <v>0</v>
      </c>
      <c r="J44" s="210">
        <f>'Балки - ест. влахность'!J48</f>
        <v>17000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9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 t="s">
        <v>152</v>
      </c>
      <c r="B47" s="163" t="s">
        <v>883</v>
      </c>
      <c r="C47" s="164" t="s">
        <v>148</v>
      </c>
      <c r="D47" s="103">
        <f>I44/0.06*3</f>
        <v>0</v>
      </c>
      <c r="E47" s="103">
        <f>data!J129</f>
        <v>45</v>
      </c>
      <c r="F47" s="39">
        <f t="shared" ref="F47" si="7">D47*E47</f>
        <v>0</v>
      </c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8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D13+I22+I26+I32+I38+I44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9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9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9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F24+F30+F36+F55+F42+F48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K24+K30+K36+K42+K48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C66:F66"/>
    <mergeCell ref="C67:F67"/>
    <mergeCell ref="C68:F68"/>
    <mergeCell ref="C65:F65"/>
    <mergeCell ref="A37:E37"/>
    <mergeCell ref="C62:F62"/>
    <mergeCell ref="C64:F64"/>
    <mergeCell ref="C58:F58"/>
    <mergeCell ref="C59:F59"/>
    <mergeCell ref="C60:F60"/>
    <mergeCell ref="C61:F61"/>
    <mergeCell ref="A43:E43"/>
    <mergeCell ref="D48:E48"/>
    <mergeCell ref="C63:F63"/>
    <mergeCell ref="A7:K7"/>
    <mergeCell ref="A12:B12"/>
    <mergeCell ref="D24:E24"/>
    <mergeCell ref="I24:J24"/>
    <mergeCell ref="A25:D25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49:B49"/>
    <mergeCell ref="D55:E55"/>
    <mergeCell ref="I55:J55"/>
    <mergeCell ref="A8:G8"/>
    <mergeCell ref="D30:E30"/>
    <mergeCell ref="I30:J30"/>
    <mergeCell ref="A31:E31"/>
    <mergeCell ref="D36:E36"/>
    <mergeCell ref="I36:J36"/>
    <mergeCell ref="D42:E42"/>
    <mergeCell ref="I42:J42"/>
  </mergeCells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1F45-CE34-4B3B-ACD5-21F6A94885ED}">
  <dimension ref="A1:XFD86"/>
  <sheetViews>
    <sheetView topLeftCell="A49" zoomScale="90" zoomScaleNormal="90" workbookViewId="0">
      <selection activeCell="D16" sqref="D16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436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428</v>
      </c>
      <c r="H26" s="184" t="s">
        <v>63</v>
      </c>
      <c r="I26" s="491">
        <f>'Балки - КС и ПБКЛ'!I29</f>
        <v>1.92</v>
      </c>
      <c r="J26" s="308">
        <f>'Балки - ест. влахность'!J29</f>
        <v>17000</v>
      </c>
      <c r="K26" s="46">
        <f>I26*J26</f>
        <v>32640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41359.392405063292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428</v>
      </c>
      <c r="H32" s="182" t="s">
        <v>63</v>
      </c>
      <c r="I32" s="421">
        <f>'Балки - КС и ПБКЛ'!I37</f>
        <v>0.77999999999999992</v>
      </c>
      <c r="J32" s="210">
        <f>'Балки - ест. влахность'!J36</f>
        <v>17000</v>
      </c>
      <c r="K32" s="157">
        <f>I32*J32</f>
        <v>13259.999999999998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39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 t="s">
        <v>152</v>
      </c>
      <c r="B35" s="173" t="s">
        <v>883</v>
      </c>
      <c r="C35" s="174" t="s">
        <v>148</v>
      </c>
      <c r="D35" s="161">
        <f>I32/0.06*3</f>
        <v>38.999999999999993</v>
      </c>
      <c r="E35" s="161">
        <f>data!J129</f>
        <v>45</v>
      </c>
      <c r="F35" s="39">
        <f t="shared" ref="F35" si="3">D35*E35</f>
        <v>1754.9999999999998</v>
      </c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4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34755</v>
      </c>
      <c r="G36" s="119"/>
      <c r="H36" s="120"/>
      <c r="I36" s="1254" t="s">
        <v>146</v>
      </c>
      <c r="J36" s="1254"/>
      <c r="K36" s="118">
        <f>SUM(K32:K35)</f>
        <v>20616.987341772154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428</v>
      </c>
      <c r="H38" s="182" t="s">
        <v>63</v>
      </c>
      <c r="I38" s="421">
        <f>'Балки - КС и ПБКЛ'!I43</f>
        <v>0</v>
      </c>
      <c r="J38" s="210">
        <f>'Балки - ест. влахность'!J42</f>
        <v>17000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9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 t="s">
        <v>152</v>
      </c>
      <c r="B41" s="163" t="s">
        <v>883</v>
      </c>
      <c r="C41" s="164" t="s">
        <v>148</v>
      </c>
      <c r="D41" s="103">
        <f>I38/0.06*3</f>
        <v>0</v>
      </c>
      <c r="E41" s="103">
        <f>data!J129</f>
        <v>45</v>
      </c>
      <c r="F41" s="39">
        <f t="shared" ref="F41" si="5">D41*E41</f>
        <v>0</v>
      </c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6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428</v>
      </c>
      <c r="H44" s="182" t="s">
        <v>63</v>
      </c>
      <c r="I44" s="421">
        <f>'Балки - КС и ПБКЛ'!I49</f>
        <v>0</v>
      </c>
      <c r="J44" s="210">
        <f>'Балки - ест. влахность'!J48</f>
        <v>17000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9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 t="s">
        <v>152</v>
      </c>
      <c r="B47" s="163" t="s">
        <v>883</v>
      </c>
      <c r="C47" s="164" t="s">
        <v>148</v>
      </c>
      <c r="D47" s="103">
        <f>I44/0.06*3</f>
        <v>0</v>
      </c>
      <c r="E47" s="103">
        <f>data!J129</f>
        <v>45</v>
      </c>
      <c r="F47" s="39">
        <f t="shared" ref="F47" si="7">D47*E47</f>
        <v>0</v>
      </c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8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D13+I22+I26+I32+I38+I44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9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9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9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F24+F30+F36+F55+F42+F48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K24+K30+K36+K42+K48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7:K7"/>
    <mergeCell ref="A12:B12"/>
    <mergeCell ref="D36:E36"/>
    <mergeCell ref="I36:J36"/>
    <mergeCell ref="D24:E24"/>
    <mergeCell ref="I24:J24"/>
    <mergeCell ref="A25:D25"/>
    <mergeCell ref="D30:E30"/>
    <mergeCell ref="I30:J30"/>
    <mergeCell ref="A31:E31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9:B49"/>
    <mergeCell ref="D55:E55"/>
    <mergeCell ref="I55:J55"/>
    <mergeCell ref="C58:F58"/>
    <mergeCell ref="A8:G8"/>
    <mergeCell ref="A37:E37"/>
    <mergeCell ref="D42:E42"/>
    <mergeCell ref="I42:J42"/>
    <mergeCell ref="A43:E43"/>
    <mergeCell ref="D48:E48"/>
    <mergeCell ref="I48:J4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3426-8F31-4E1A-B234-5FFFAB769E4D}">
  <dimension ref="A1:XFD86"/>
  <sheetViews>
    <sheetView topLeftCell="A46" zoomScale="90" zoomScaleNormal="90" workbookViewId="0">
      <selection activeCell="G20" sqref="G20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440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428</v>
      </c>
      <c r="H26" s="184" t="s">
        <v>63</v>
      </c>
      <c r="I26" s="491">
        <f>'Балки - КС и ПБКЛ'!I29</f>
        <v>1.92</v>
      </c>
      <c r="J26" s="308">
        <f>'Балки - ест. влахность'!J29</f>
        <v>17000</v>
      </c>
      <c r="K26" s="46">
        <f>I26*J26</f>
        <v>32640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41359.392405063292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428</v>
      </c>
      <c r="H32" s="182" t="s">
        <v>63</v>
      </c>
      <c r="I32" s="421">
        <f>'Балки - КС и ПБКЛ'!I37</f>
        <v>0.77999999999999992</v>
      </c>
      <c r="J32" s="210">
        <f>'Балки - ест. влахность'!J36</f>
        <v>17000</v>
      </c>
      <c r="K32" s="157">
        <f>I32*J32</f>
        <v>13259.999999999998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39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 t="s">
        <v>152</v>
      </c>
      <c r="B35" s="173" t="s">
        <v>883</v>
      </c>
      <c r="C35" s="174" t="s">
        <v>148</v>
      </c>
      <c r="D35" s="161">
        <f>I32/0.06*3</f>
        <v>38.999999999999993</v>
      </c>
      <c r="E35" s="161">
        <f>data!J129</f>
        <v>45</v>
      </c>
      <c r="F35" s="39">
        <f t="shared" ref="F35" si="3">D35*E35</f>
        <v>1754.9999999999998</v>
      </c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4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34755</v>
      </c>
      <c r="G36" s="119"/>
      <c r="H36" s="120"/>
      <c r="I36" s="1254" t="s">
        <v>146</v>
      </c>
      <c r="J36" s="1254"/>
      <c r="K36" s="118">
        <f>SUM(K32:K35)</f>
        <v>20616.987341772154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428</v>
      </c>
      <c r="H38" s="182" t="s">
        <v>63</v>
      </c>
      <c r="I38" s="421">
        <f>'Балки - КС и ПБКЛ'!I43</f>
        <v>0</v>
      </c>
      <c r="J38" s="210">
        <f>'Балки - ест. влахность'!J42</f>
        <v>17000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9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 t="s">
        <v>152</v>
      </c>
      <c r="B41" s="163" t="s">
        <v>883</v>
      </c>
      <c r="C41" s="164" t="s">
        <v>148</v>
      </c>
      <c r="D41" s="103">
        <f>I38/0.06*3</f>
        <v>0</v>
      </c>
      <c r="E41" s="103">
        <f>data!J129</f>
        <v>45</v>
      </c>
      <c r="F41" s="39">
        <f t="shared" ref="F41" si="5">D41*E41</f>
        <v>0</v>
      </c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6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428</v>
      </c>
      <c r="H44" s="182" t="s">
        <v>63</v>
      </c>
      <c r="I44" s="421">
        <f>'Балки - КС и ПБКЛ'!I49</f>
        <v>0</v>
      </c>
      <c r="J44" s="210">
        <f>'Балки - ест. влахность'!J48</f>
        <v>17000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9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 t="s">
        <v>152</v>
      </c>
      <c r="B47" s="163" t="s">
        <v>883</v>
      </c>
      <c r="C47" s="164" t="s">
        <v>148</v>
      </c>
      <c r="D47" s="103">
        <f>I44/0.06*3</f>
        <v>0</v>
      </c>
      <c r="E47" s="103">
        <f>data!J129</f>
        <v>45</v>
      </c>
      <c r="F47" s="39">
        <f t="shared" ref="F47" si="7">D47*E47</f>
        <v>0</v>
      </c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8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D13+I22+I26+I32+I38+I44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9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9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9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F24+F30+F36+F55+F42+F48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K24+K30+K36+K42+K48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7:K7"/>
    <mergeCell ref="A12:B12"/>
    <mergeCell ref="D36:E36"/>
    <mergeCell ref="I36:J36"/>
    <mergeCell ref="D24:E24"/>
    <mergeCell ref="I24:J24"/>
    <mergeCell ref="A25:D25"/>
    <mergeCell ref="D30:E30"/>
    <mergeCell ref="I30:J30"/>
    <mergeCell ref="A31:E31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9:B49"/>
    <mergeCell ref="D55:E55"/>
    <mergeCell ref="I55:J55"/>
    <mergeCell ref="C58:F58"/>
    <mergeCell ref="A8:G8"/>
    <mergeCell ref="A37:E37"/>
    <mergeCell ref="D42:E42"/>
    <mergeCell ref="I42:J42"/>
    <mergeCell ref="A43:E43"/>
    <mergeCell ref="D48:E48"/>
    <mergeCell ref="I48:J4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0266-6F12-469B-8731-11C8FB7F3C60}">
  <dimension ref="A1:XFD86"/>
  <sheetViews>
    <sheetView zoomScale="90" zoomScaleNormal="90" workbookViewId="0">
      <selection activeCell="F15" sqref="F15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441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428</v>
      </c>
      <c r="H26" s="184" t="s">
        <v>63</v>
      </c>
      <c r="I26" s="491">
        <f>'Балки - КС и ПБКЛ'!I29</f>
        <v>1.92</v>
      </c>
      <c r="J26" s="308">
        <f>'Балки - ест. влахность'!J29</f>
        <v>17000</v>
      </c>
      <c r="K26" s="46">
        <f>I26*J26</f>
        <v>32640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41359.392405063292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428</v>
      </c>
      <c r="H32" s="182" t="s">
        <v>63</v>
      </c>
      <c r="I32" s="421">
        <f>'Балки - КС и ПБКЛ'!I37</f>
        <v>0.77999999999999992</v>
      </c>
      <c r="J32" s="210">
        <f>'Балки - ест. влахность'!J36</f>
        <v>17000</v>
      </c>
      <c r="K32" s="157">
        <f>I32*J32</f>
        <v>13259.999999999998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39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 t="s">
        <v>152</v>
      </c>
      <c r="B35" s="173" t="s">
        <v>883</v>
      </c>
      <c r="C35" s="174" t="s">
        <v>148</v>
      </c>
      <c r="D35" s="161">
        <f>I32/0.06*3</f>
        <v>38.999999999999993</v>
      </c>
      <c r="E35" s="161">
        <f>data!J129</f>
        <v>45</v>
      </c>
      <c r="F35" s="39">
        <f t="shared" ref="F35" si="3">D35*E35</f>
        <v>1754.9999999999998</v>
      </c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4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34755</v>
      </c>
      <c r="G36" s="119"/>
      <c r="H36" s="120"/>
      <c r="I36" s="1254" t="s">
        <v>146</v>
      </c>
      <c r="J36" s="1254"/>
      <c r="K36" s="118">
        <f>SUM(K32:K35)</f>
        <v>20616.987341772154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428</v>
      </c>
      <c r="H38" s="182" t="s">
        <v>63</v>
      </c>
      <c r="I38" s="421">
        <f>'Балки - КС и ПБКЛ'!I43</f>
        <v>0</v>
      </c>
      <c r="J38" s="210">
        <f>'Балки - ест. влахность'!J42</f>
        <v>17000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9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 t="s">
        <v>152</v>
      </c>
      <c r="B41" s="163" t="s">
        <v>883</v>
      </c>
      <c r="C41" s="164" t="s">
        <v>148</v>
      </c>
      <c r="D41" s="103">
        <f>I38/0.06*3</f>
        <v>0</v>
      </c>
      <c r="E41" s="103">
        <f>data!J129</f>
        <v>45</v>
      </c>
      <c r="F41" s="39">
        <f t="shared" ref="F41" si="5">D41*E41</f>
        <v>0</v>
      </c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6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428</v>
      </c>
      <c r="H44" s="182" t="s">
        <v>63</v>
      </c>
      <c r="I44" s="421">
        <f>'Балки - КС и ПБКЛ'!I49</f>
        <v>0</v>
      </c>
      <c r="J44" s="210">
        <f>'Балки - ест. влахность'!J48</f>
        <v>17000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9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 t="s">
        <v>152</v>
      </c>
      <c r="B47" s="163" t="s">
        <v>883</v>
      </c>
      <c r="C47" s="164" t="s">
        <v>148</v>
      </c>
      <c r="D47" s="103">
        <f>I44/0.06*3</f>
        <v>0</v>
      </c>
      <c r="E47" s="103">
        <f>data!J129</f>
        <v>45</v>
      </c>
      <c r="F47" s="39">
        <f t="shared" ref="F47" si="7">D47*E47</f>
        <v>0</v>
      </c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8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D13+I22+I26+I32+I38+I44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9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9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9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F24+F30+F36+F55+F42+F48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K24+K30+K36+K42+K48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7:K7"/>
    <mergeCell ref="A12:B12"/>
    <mergeCell ref="D36:E36"/>
    <mergeCell ref="I36:J36"/>
    <mergeCell ref="D24:E24"/>
    <mergeCell ref="I24:J24"/>
    <mergeCell ref="A25:D25"/>
    <mergeCell ref="D30:E30"/>
    <mergeCell ref="I30:J30"/>
    <mergeCell ref="A31:E31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9:B49"/>
    <mergeCell ref="D55:E55"/>
    <mergeCell ref="I55:J55"/>
    <mergeCell ref="C58:F58"/>
    <mergeCell ref="A8:G8"/>
    <mergeCell ref="A37:E37"/>
    <mergeCell ref="D42:E42"/>
    <mergeCell ref="I42:J42"/>
    <mergeCell ref="A43:E43"/>
    <mergeCell ref="D48:E48"/>
    <mergeCell ref="I48:J4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5C22-D752-45C6-888A-43AAE2B3DBA6}">
  <dimension ref="A1:XFD86"/>
  <sheetViews>
    <sheetView topLeftCell="A16" zoomScale="90" zoomScaleNormal="90" workbookViewId="0">
      <selection activeCell="A7" sqref="A7:K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439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21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178</v>
      </c>
      <c r="H18" s="82" t="s">
        <v>85</v>
      </c>
      <c r="I18" s="159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4"/>
      <c r="E19" s="44"/>
      <c r="F19" s="45"/>
      <c r="G19" s="81" t="s">
        <v>149</v>
      </c>
      <c r="H19" s="82" t="s">
        <v>144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 t="s">
        <v>174</v>
      </c>
      <c r="B20" s="37" t="s">
        <v>139</v>
      </c>
      <c r="C20" s="43" t="s">
        <v>85</v>
      </c>
      <c r="D20" s="46" t="e">
        <f>I20</f>
        <v>#REF!</v>
      </c>
      <c r="E20" s="44" t="e">
        <f>#REF!</f>
        <v>#REF!</v>
      </c>
      <c r="F20" s="45" t="e">
        <f>D20*E20</f>
        <v>#REF!</v>
      </c>
      <c r="G20" s="81" t="s">
        <v>140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80"/>
      <c r="B21" s="37"/>
      <c r="C21" s="43"/>
      <c r="D21" s="46"/>
      <c r="E21" s="44"/>
      <c r="F21" s="45"/>
      <c r="G21" s="81" t="s">
        <v>141</v>
      </c>
      <c r="H21" s="82" t="s">
        <v>85</v>
      </c>
      <c r="I21" s="82" t="e">
        <f>#REF!</f>
        <v>#REF!</v>
      </c>
      <c r="J21" s="82" t="e">
        <f>#REF!</f>
        <v>#REF!</v>
      </c>
      <c r="K21" s="39" t="e">
        <f t="shared" si="0"/>
        <v>#REF!</v>
      </c>
    </row>
    <row r="22" spans="1:11">
      <c r="A22" s="203" t="s">
        <v>194</v>
      </c>
      <c r="B22" s="90" t="s">
        <v>142</v>
      </c>
      <c r="C22" s="184" t="s">
        <v>138</v>
      </c>
      <c r="D22" s="46" t="e">
        <f>#REF!</f>
        <v>#REF!</v>
      </c>
      <c r="E22" s="46" t="e">
        <f>#REF!</f>
        <v>#REF!</v>
      </c>
      <c r="F22" s="45" t="e">
        <f>D22*E22</f>
        <v>#REF!</v>
      </c>
      <c r="G22" s="81" t="s">
        <v>143</v>
      </c>
      <c r="H22" s="82" t="s">
        <v>63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203"/>
      <c r="B23" s="90"/>
      <c r="C23" s="184"/>
      <c r="D23" s="46"/>
      <c r="E23" s="46"/>
      <c r="F23" s="45"/>
      <c r="G23" s="81" t="s">
        <v>173</v>
      </c>
      <c r="H23" s="82" t="s">
        <v>144</v>
      </c>
      <c r="I23" s="82" t="e">
        <f>#REF!</f>
        <v>#REF!</v>
      </c>
      <c r="J23" s="82" t="e">
        <f>#REF!</f>
        <v>#REF!</v>
      </c>
      <c r="K23" s="82" t="e">
        <f>I23*J23</f>
        <v>#REF!</v>
      </c>
    </row>
    <row r="24" spans="1:11">
      <c r="A24" s="83"/>
      <c r="B24" s="84"/>
      <c r="C24" s="85"/>
      <c r="D24" s="1284" t="s">
        <v>145</v>
      </c>
      <c r="E24" s="1268"/>
      <c r="F24" s="86" t="e">
        <f>SUM(F13:F23)</f>
        <v>#REF!</v>
      </c>
      <c r="G24" s="87"/>
      <c r="H24" s="88"/>
      <c r="I24" s="1268" t="s">
        <v>146</v>
      </c>
      <c r="J24" s="1268"/>
      <c r="K24" s="134" t="e">
        <f>SUM(K13:K23)</f>
        <v>#REF!</v>
      </c>
    </row>
    <row r="25" spans="1:11">
      <c r="A25" s="1236" t="s">
        <v>317</v>
      </c>
      <c r="B25" s="1236"/>
      <c r="C25" s="1236"/>
      <c r="D25" s="1236"/>
      <c r="E25" s="88"/>
      <c r="F25" s="88"/>
      <c r="G25" s="87"/>
      <c r="H25" s="88"/>
      <c r="I25" s="88"/>
      <c r="J25" s="88"/>
      <c r="K25" s="88"/>
    </row>
    <row r="26" spans="1:11">
      <c r="A26" s="80" t="s">
        <v>134</v>
      </c>
      <c r="B26" s="37" t="s">
        <v>147</v>
      </c>
      <c r="C26" s="43" t="s">
        <v>148</v>
      </c>
      <c r="D26" s="226">
        <f>'Балки - КС и ПБКЛ'!D29</f>
        <v>85.3</v>
      </c>
      <c r="E26" s="44">
        <f>'Балки - КС и ПБКЛ'!E37</f>
        <v>600</v>
      </c>
      <c r="F26" s="44">
        <f>D26*E26</f>
        <v>51180</v>
      </c>
      <c r="G26" s="90" t="s">
        <v>428</v>
      </c>
      <c r="H26" s="184" t="s">
        <v>63</v>
      </c>
      <c r="I26" s="491">
        <f>'Балки - КС и ПБКЛ'!I29</f>
        <v>1.92</v>
      </c>
      <c r="J26" s="308">
        <f>'Балки - ест. влахность'!J29</f>
        <v>17000</v>
      </c>
      <c r="K26" s="46">
        <f>I26*J26</f>
        <v>32640</v>
      </c>
    </row>
    <row r="27" spans="1:11">
      <c r="A27" s="80"/>
      <c r="B27" s="37"/>
      <c r="C27" s="43"/>
      <c r="D27" s="226"/>
      <c r="E27" s="44"/>
      <c r="F27" s="44"/>
      <c r="G27" s="94" t="s">
        <v>87</v>
      </c>
      <c r="H27" s="95" t="s">
        <v>85</v>
      </c>
      <c r="I27" s="845">
        <f>'Балки - КС и ПБКЛ'!I30</f>
        <v>64</v>
      </c>
      <c r="J27" s="308">
        <f>'Балки - КС и ПБКЛ'!J30</f>
        <v>65</v>
      </c>
      <c r="K27" s="46">
        <f>I27*J27</f>
        <v>4160</v>
      </c>
    </row>
    <row r="28" spans="1:11">
      <c r="A28" s="80"/>
      <c r="B28" s="96"/>
      <c r="C28" s="97"/>
      <c r="D28" s="98"/>
      <c r="E28" s="98"/>
      <c r="F28" s="44"/>
      <c r="G28" s="224" t="s">
        <v>141</v>
      </c>
      <c r="H28" s="184" t="s">
        <v>85</v>
      </c>
      <c r="I28" s="491">
        <f>'Балки - КС и ПБКЛ'!I31</f>
        <v>256</v>
      </c>
      <c r="J28" s="46">
        <f>'Балки - КС и ПБКЛ'!J31</f>
        <v>13</v>
      </c>
      <c r="K28" s="46">
        <f t="shared" ref="K28:K29" si="1">I28*J28</f>
        <v>3328</v>
      </c>
    </row>
    <row r="29" spans="1:11">
      <c r="A29" s="80" t="s">
        <v>152</v>
      </c>
      <c r="B29" s="101" t="s">
        <v>883</v>
      </c>
      <c r="C29" s="97" t="s">
        <v>148</v>
      </c>
      <c r="D29" s="98">
        <f>I26/0.06*3</f>
        <v>96</v>
      </c>
      <c r="E29" s="102">
        <f>data!J129</f>
        <v>45</v>
      </c>
      <c r="F29" s="44">
        <f t="shared" ref="F29" si="2">D29*E29</f>
        <v>4320</v>
      </c>
      <c r="G29" s="390" t="s">
        <v>149</v>
      </c>
      <c r="H29" s="184" t="s">
        <v>144</v>
      </c>
      <c r="I29" s="870">
        <f>'Балки - КС и ПБКЛ'!I32</f>
        <v>3.240506329113924</v>
      </c>
      <c r="J29" s="396">
        <f>'Балки - КС и ПБКЛ'!J32</f>
        <v>380</v>
      </c>
      <c r="K29" s="46">
        <f t="shared" si="1"/>
        <v>1231.3924050632911</v>
      </c>
    </row>
    <row r="30" spans="1:11">
      <c r="A30" s="83"/>
      <c r="B30" s="84"/>
      <c r="C30" s="85"/>
      <c r="D30" s="1284" t="s">
        <v>145</v>
      </c>
      <c r="E30" s="1268"/>
      <c r="F30" s="86">
        <f>SUM(F26:F29)</f>
        <v>55500</v>
      </c>
      <c r="G30" s="87"/>
      <c r="H30" s="88"/>
      <c r="I30" s="1268" t="s">
        <v>146</v>
      </c>
      <c r="J30" s="1268"/>
      <c r="K30" s="134">
        <f>SUM(K26:K29)</f>
        <v>41359.392405063292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428</v>
      </c>
      <c r="H32" s="182" t="s">
        <v>63</v>
      </c>
      <c r="I32" s="421">
        <f>'Балки - КС и ПБКЛ'!I37</f>
        <v>0.77999999999999992</v>
      </c>
      <c r="J32" s="210">
        <f>'Балки - ест. влахность'!J36</f>
        <v>17000</v>
      </c>
      <c r="K32" s="157">
        <f>I32*J32</f>
        <v>13259.999999999998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39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 t="s">
        <v>152</v>
      </c>
      <c r="B35" s="173" t="s">
        <v>883</v>
      </c>
      <c r="C35" s="174" t="s">
        <v>148</v>
      </c>
      <c r="D35" s="161">
        <f>I32/0.06*3</f>
        <v>38.999999999999993</v>
      </c>
      <c r="E35" s="161">
        <f>data!J129</f>
        <v>45</v>
      </c>
      <c r="F35" s="39">
        <f t="shared" ref="F35" si="3">D35*E35</f>
        <v>1754.9999999999998</v>
      </c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4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34755</v>
      </c>
      <c r="G36" s="119"/>
      <c r="H36" s="120"/>
      <c r="I36" s="1254" t="s">
        <v>146</v>
      </c>
      <c r="J36" s="1254"/>
      <c r="K36" s="118">
        <f>SUM(K32:K35)</f>
        <v>20616.987341772154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428</v>
      </c>
      <c r="H38" s="182" t="s">
        <v>63</v>
      </c>
      <c r="I38" s="421">
        <f>'Балки - КС и ПБКЛ'!I43</f>
        <v>0</v>
      </c>
      <c r="J38" s="210">
        <f>'Балки - ест. влахность'!J42</f>
        <v>17000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9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 t="s">
        <v>152</v>
      </c>
      <c r="B41" s="163" t="s">
        <v>883</v>
      </c>
      <c r="C41" s="164" t="s">
        <v>148</v>
      </c>
      <c r="D41" s="103">
        <f>I38/0.06*3</f>
        <v>0</v>
      </c>
      <c r="E41" s="103">
        <f>data!J129</f>
        <v>45</v>
      </c>
      <c r="F41" s="39">
        <f t="shared" ref="F41" si="5">D41*E41</f>
        <v>0</v>
      </c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6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428</v>
      </c>
      <c r="H44" s="182" t="s">
        <v>63</v>
      </c>
      <c r="I44" s="421">
        <f>'Балки - КС и ПБКЛ'!I49</f>
        <v>0</v>
      </c>
      <c r="J44" s="210">
        <f>'Балки - ест. влахность'!J48</f>
        <v>17000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9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 t="s">
        <v>152</v>
      </c>
      <c r="B47" s="163" t="s">
        <v>883</v>
      </c>
      <c r="C47" s="164" t="s">
        <v>148</v>
      </c>
      <c r="D47" s="103">
        <f>I44/0.06*3</f>
        <v>0</v>
      </c>
      <c r="E47" s="103">
        <f>data!J129</f>
        <v>45</v>
      </c>
      <c r="F47" s="39">
        <f t="shared" ref="F47" si="7">D47*E47</f>
        <v>0</v>
      </c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8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D13+I22+I26+I32+I38+I44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9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9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9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9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F24+F30+F36+F55+F42+F48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K24+K30+K36+K42+K48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7:K7"/>
    <mergeCell ref="A12:B12"/>
    <mergeCell ref="D36:E36"/>
    <mergeCell ref="I36:J36"/>
    <mergeCell ref="D24:E24"/>
    <mergeCell ref="I24:J24"/>
    <mergeCell ref="A25:D25"/>
    <mergeCell ref="D30:E30"/>
    <mergeCell ref="I30:J30"/>
    <mergeCell ref="A31:E31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9:B49"/>
    <mergeCell ref="D55:E55"/>
    <mergeCell ref="I55:J55"/>
    <mergeCell ref="C58:F58"/>
    <mergeCell ref="A8:G8"/>
    <mergeCell ref="A37:E37"/>
    <mergeCell ref="D42:E42"/>
    <mergeCell ref="I42:J42"/>
    <mergeCell ref="A43:E43"/>
    <mergeCell ref="D48:E48"/>
    <mergeCell ref="I48:J4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9EBC-23B4-44E5-ACDC-391681094FD8}">
  <dimension ref="A1:XFD86"/>
  <sheetViews>
    <sheetView topLeftCell="A14" zoomScale="90" zoomScaleNormal="90" workbookViewId="0">
      <selection activeCell="E17" sqref="E1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442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КС и ПБКЛ'!I29</f>
        <v>1.92</v>
      </c>
      <c r="J25" s="308">
        <f>'Балки - КС и ПБКЛ'!J29</f>
        <v>24000</v>
      </c>
      <c r="K25" s="46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46">
        <f>'Балки - КС и ПБКЛ'!J31</f>
        <v>13</v>
      </c>
      <c r="K27" s="46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062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748">
        <f>data!D145</f>
        <v>3500</v>
      </c>
      <c r="K29" s="1062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88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428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428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428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A10D-44F4-417D-8429-5292AD658AB6}">
  <dimension ref="A1:XFD86"/>
  <sheetViews>
    <sheetView zoomScale="90" zoomScaleNormal="90" workbookViewId="0">
      <selection activeCell="A4" sqref="A4:B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445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КС и ПБКЛ'!I29</f>
        <v>1.92</v>
      </c>
      <c r="J25" s="308">
        <f>'Балки - КС и ПБКЛ'!J29</f>
        <v>24000</v>
      </c>
      <c r="K25" s="46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46">
        <f>'Балки - КС и ПБКЛ'!J31</f>
        <v>13</v>
      </c>
      <c r="K27" s="46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062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748">
        <f>data!D145</f>
        <v>3500</v>
      </c>
      <c r="K29" s="1062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88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428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428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428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2809-CFBE-4C27-863E-41D3025878DC}">
  <dimension ref="A1:XFD86"/>
  <sheetViews>
    <sheetView topLeftCell="A40" zoomScale="90" zoomScaleNormal="90" workbookViewId="0">
      <selection activeCell="D4" sqref="D4:F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446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308">
        <f>'Балки - КС и ПБКЛ'!J29</f>
        <v>24000</v>
      </c>
      <c r="K25" s="46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46">
        <f>'Балки - КС и ПБКЛ'!J31</f>
        <v>13</v>
      </c>
      <c r="K27" s="46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062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748">
        <f>data!D145</f>
        <v>3500</v>
      </c>
      <c r="K29" s="1062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88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8022-5F15-4739-A006-391FE8AB1D78}">
  <dimension ref="A1:XFD86"/>
  <sheetViews>
    <sheetView topLeftCell="A43" zoomScale="90" zoomScaleNormal="90" workbookViewId="0">
      <selection activeCell="B20" sqref="B20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447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1064">
        <f>'Балки - КС и ПБКЛ'!J29</f>
        <v>24000</v>
      </c>
      <c r="K25" s="157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1064">
        <f>'Балки - КС и ПБКЛ'!J30</f>
        <v>65</v>
      </c>
      <c r="K26" s="157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1065">
        <f>'Балки - КС и ПБКЛ'!J31</f>
        <v>13</v>
      </c>
      <c r="K27" s="157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57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1066">
        <f>data!D145</f>
        <v>3500</v>
      </c>
      <c r="K29" s="157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13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E7C4-3AA5-4237-A00A-16E43B941FA5}">
  <dimension ref="A1:XFD86"/>
  <sheetViews>
    <sheetView topLeftCell="A46" zoomScale="90" zoomScaleNormal="90" workbookViewId="0">
      <selection activeCell="C19" sqref="C19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449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1064">
        <f>'Балки - КС и ПБКЛ'!J29</f>
        <v>24000</v>
      </c>
      <c r="K25" s="157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1064">
        <f>'Балки - КС и ПБКЛ'!J30</f>
        <v>65</v>
      </c>
      <c r="K26" s="157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1065">
        <f>'Балки - КС и ПБКЛ'!J31</f>
        <v>13</v>
      </c>
      <c r="K27" s="157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57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1066">
        <f>data!D145</f>
        <v>3500</v>
      </c>
      <c r="K29" s="157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13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AAA2-4EDC-4B0D-81A2-B1CB6053658C}">
  <dimension ref="A1:XFD86"/>
  <sheetViews>
    <sheetView topLeftCell="A31" zoomScale="90" zoomScaleNormal="90" workbookViewId="0">
      <selection activeCell="A12" sqref="A12:B12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448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1064">
        <f>'Балки - КС и ПБКЛ'!J29</f>
        <v>24000</v>
      </c>
      <c r="K25" s="157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1064">
        <f>'Балки - КС и ПБКЛ'!J30</f>
        <v>65</v>
      </c>
      <c r="K26" s="157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1065">
        <f>'Балки - КС и ПБКЛ'!J31</f>
        <v>13</v>
      </c>
      <c r="K27" s="157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57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1066">
        <f>data!D145</f>
        <v>3500</v>
      </c>
      <c r="K29" s="157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13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83A0-81C5-4DF0-AFB8-1F059062F2CF}">
  <dimension ref="A1:XFD86"/>
  <sheetViews>
    <sheetView topLeftCell="A43" zoomScale="90" zoomScaleNormal="90" workbookViewId="0">
      <selection activeCell="I64" sqref="I6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450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1064">
        <f>'Балки - КС и ПБКЛ'!J29</f>
        <v>24000</v>
      </c>
      <c r="K25" s="157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1064">
        <f>'Балки - КС и ПБКЛ'!J30</f>
        <v>65</v>
      </c>
      <c r="K26" s="157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1065">
        <f>'Балки - КС и ПБКЛ'!J31</f>
        <v>13</v>
      </c>
      <c r="K27" s="157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57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1066">
        <f>data!D145</f>
        <v>3500</v>
      </c>
      <c r="K29" s="157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13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A4D-4426-42D3-8022-58F2B584F37D}">
  <dimension ref="A1:XFD86"/>
  <sheetViews>
    <sheetView zoomScale="90" zoomScaleNormal="90" workbookViewId="0">
      <selection activeCell="C18" sqref="C18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451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308">
        <f>'Балки - КС и ПБКЛ'!J29</f>
        <v>24000</v>
      </c>
      <c r="K25" s="46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46">
        <f>'Балки - КС и ПБКЛ'!J31</f>
        <v>13</v>
      </c>
      <c r="K27" s="46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062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748">
        <f>data!D145</f>
        <v>3500</v>
      </c>
      <c r="K29" s="1062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88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0F46-9676-46D8-A04A-67AC6A3FA701}">
  <dimension ref="A1:XFD86"/>
  <sheetViews>
    <sheetView topLeftCell="A31" zoomScale="90" zoomScaleNormal="90" workbookViewId="0">
      <selection activeCell="G79" sqref="G79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452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308">
        <f>'Балки - КС и ПБКЛ'!J29</f>
        <v>24000</v>
      </c>
      <c r="K25" s="46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46">
        <f>'Балки - КС и ПБКЛ'!J31</f>
        <v>13</v>
      </c>
      <c r="K27" s="46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062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748">
        <f>data!D145</f>
        <v>3500</v>
      </c>
      <c r="K29" s="1062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88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A6CD-34E5-40FF-8437-E103CC4639C1}">
  <dimension ref="A1:XFD86"/>
  <sheetViews>
    <sheetView topLeftCell="A46" zoomScale="90" zoomScaleNormal="90" workbookViewId="0">
      <selection activeCell="D45" sqref="D45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453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308">
        <f>'Балки - КС и ПБКЛ'!J29</f>
        <v>24000</v>
      </c>
      <c r="K25" s="46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46">
        <f>'Балки - КС и ПБКЛ'!J31</f>
        <v>13</v>
      </c>
      <c r="K27" s="46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062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748">
        <f>data!D145</f>
        <v>3500</v>
      </c>
      <c r="K29" s="1062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88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DE23-ED0F-409F-B686-96547104F0A7}">
  <dimension ref="A1:XFD86"/>
  <sheetViews>
    <sheetView topLeftCell="A34" zoomScale="90" zoomScaleNormal="90" workbookViewId="0">
      <selection activeCell="D17" sqref="D1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454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308">
        <f>'Балки - КС и ПБКЛ'!J29</f>
        <v>24000</v>
      </c>
      <c r="K25" s="46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46">
        <f>'Балки - КС и ПБКЛ'!J31</f>
        <v>13</v>
      </c>
      <c r="K27" s="46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062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748">
        <f>data!D145</f>
        <v>3500</v>
      </c>
      <c r="K29" s="1062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88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56" t="s">
        <v>145</v>
      </c>
      <c r="E55" s="1257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4BD1-6A85-4EBD-9398-7B8D45CCCDEC}">
  <dimension ref="A1:XFD86"/>
  <sheetViews>
    <sheetView zoomScale="90" zoomScaleNormal="90" workbookViewId="0">
      <selection activeCell="E27" sqref="E2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455</v>
      </c>
      <c r="H13" s="182" t="s">
        <v>63</v>
      </c>
      <c r="I13" s="421" t="e">
        <f>D13</f>
        <v>#REF!</v>
      </c>
      <c r="J13" s="210" t="e">
        <f>#REF!</f>
        <v>#REF!</v>
      </c>
      <c r="K13" s="157" t="e">
        <f t="shared" ref="K13:K20" si="0">I13*J13</f>
        <v>#REF!</v>
      </c>
    </row>
    <row r="14" spans="1:11">
      <c r="A14" s="181" t="s">
        <v>152</v>
      </c>
      <c r="B14" s="155" t="s">
        <v>191</v>
      </c>
      <c r="C14" s="182" t="s">
        <v>86</v>
      </c>
      <c r="D14" s="190" t="e">
        <f>#REF!</f>
        <v>#REF!</v>
      </c>
      <c r="E14" s="157" t="e">
        <f>#REF!</f>
        <v>#REF!</v>
      </c>
      <c r="F14" s="40" t="e">
        <f>D14*E14</f>
        <v>#REF!</v>
      </c>
      <c r="G14" s="155" t="s">
        <v>135</v>
      </c>
      <c r="H14" s="182" t="s">
        <v>136</v>
      </c>
      <c r="I14" s="190" t="e">
        <f>D14</f>
        <v>#REF!</v>
      </c>
      <c r="J14" s="210" t="e">
        <f>#REF!</f>
        <v>#REF!</v>
      </c>
      <c r="K14" s="157" t="e">
        <f t="shared" si="0"/>
        <v>#REF!</v>
      </c>
    </row>
    <row r="15" spans="1:11">
      <c r="A15" s="181"/>
      <c r="B15" s="155"/>
      <c r="C15" s="182"/>
      <c r="D15" s="157"/>
      <c r="E15" s="157"/>
      <c r="F15" s="40"/>
      <c r="G15" s="191" t="s">
        <v>166</v>
      </c>
      <c r="H15" s="425" t="s">
        <v>168</v>
      </c>
      <c r="I15" s="867" t="e">
        <f>#REF!</f>
        <v>#REF!</v>
      </c>
      <c r="J15" s="868" t="e">
        <f>#REF!</f>
        <v>#REF!</v>
      </c>
      <c r="K15" s="157" t="e">
        <f t="shared" si="0"/>
        <v>#REF!</v>
      </c>
    </row>
    <row r="16" spans="1:11">
      <c r="A16" s="167"/>
      <c r="B16" s="273"/>
      <c r="C16" s="41"/>
      <c r="D16" s="42"/>
      <c r="E16" s="42"/>
      <c r="F16" s="274"/>
      <c r="G16" s="152" t="s">
        <v>137</v>
      </c>
      <c r="H16" s="153" t="s">
        <v>85</v>
      </c>
      <c r="I16" s="158" t="e">
        <f>#REF!</f>
        <v>#REF!</v>
      </c>
      <c r="J16" s="82" t="e">
        <f>#REF!</f>
        <v>#REF!</v>
      </c>
      <c r="K16" s="39" t="e">
        <f t="shared" si="0"/>
        <v>#REF!</v>
      </c>
    </row>
    <row r="17" spans="1:11">
      <c r="A17" s="80"/>
      <c r="B17" s="37"/>
      <c r="C17" s="43"/>
      <c r="D17" s="44"/>
      <c r="E17" s="44"/>
      <c r="F17" s="45"/>
      <c r="G17" s="81" t="s">
        <v>178</v>
      </c>
      <c r="H17" s="82" t="s">
        <v>85</v>
      </c>
      <c r="I17" s="159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/>
      <c r="B18" s="37"/>
      <c r="C18" s="43"/>
      <c r="D18" s="44"/>
      <c r="E18" s="44"/>
      <c r="F18" s="45"/>
      <c r="G18" s="81" t="s">
        <v>149</v>
      </c>
      <c r="H18" s="82" t="s">
        <v>144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 t="s">
        <v>174</v>
      </c>
      <c r="B19" s="37" t="s">
        <v>139</v>
      </c>
      <c r="C19" s="43" t="s">
        <v>85</v>
      </c>
      <c r="D19" s="46" t="e">
        <f>I19</f>
        <v>#REF!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 t="e">
        <f>#REF!</f>
        <v>#REF!</v>
      </c>
      <c r="K20" s="39" t="e">
        <f t="shared" si="0"/>
        <v>#REF!</v>
      </c>
    </row>
    <row r="21" spans="1:11">
      <c r="A21" s="203" t="s">
        <v>194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КС и ПБКЛ'!D29</f>
        <v>85.3</v>
      </c>
      <c r="E25" s="44">
        <f>'Балки - КС и ПБКЛ'!E37</f>
        <v>600</v>
      </c>
      <c r="F25" s="44">
        <f>D25*E25</f>
        <v>51180</v>
      </c>
      <c r="G25" s="90" t="s">
        <v>179</v>
      </c>
      <c r="H25" s="184" t="s">
        <v>63</v>
      </c>
      <c r="I25" s="491">
        <f>'Балки - КС и ПБКЛ'!I29</f>
        <v>1.92</v>
      </c>
      <c r="J25" s="308">
        <f>'Балки - КС и ПБКЛ'!J29</f>
        <v>24000</v>
      </c>
      <c r="K25" s="46">
        <f>I25*J25</f>
        <v>46080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КС и ПБКЛ'!I30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КС и ПБКЛ'!I31</f>
        <v>256</v>
      </c>
      <c r="J27" s="46">
        <f>'Балки - КС и ПБКЛ'!J31</f>
        <v>13</v>
      </c>
      <c r="K27" s="46">
        <f t="shared" ref="K27:K29" si="1">I27*J27</f>
        <v>3328</v>
      </c>
    </row>
    <row r="28" spans="1:11">
      <c r="A28" s="875"/>
      <c r="B28" s="876"/>
      <c r="C28" s="877"/>
      <c r="D28" s="878"/>
      <c r="E28" s="879"/>
      <c r="F28" s="880"/>
      <c r="G28" s="881" t="s">
        <v>149</v>
      </c>
      <c r="H28" s="882" t="s">
        <v>144</v>
      </c>
      <c r="I28" s="1060">
        <f>'Балки - КС и ПБКЛ'!I32</f>
        <v>3.240506329113924</v>
      </c>
      <c r="J28" s="1061">
        <f>'Балки - КС и ПБКЛ'!J32</f>
        <v>380</v>
      </c>
      <c r="K28" s="1062">
        <f t="shared" si="1"/>
        <v>1231.3924050632911</v>
      </c>
    </row>
    <row r="29" spans="1:11" ht="31">
      <c r="A29" s="874" t="s">
        <v>152</v>
      </c>
      <c r="B29" s="885" t="s">
        <v>879</v>
      </c>
      <c r="C29" s="886" t="s">
        <v>148</v>
      </c>
      <c r="D29" s="887">
        <f>(I25+I32+I38+I44)/0.06*3</f>
        <v>135</v>
      </c>
      <c r="E29" s="887">
        <f>data!J129</f>
        <v>45</v>
      </c>
      <c r="F29" s="887">
        <f>D29*E29</f>
        <v>6075</v>
      </c>
      <c r="G29" s="872" t="s">
        <v>613</v>
      </c>
      <c r="H29" s="847" t="s">
        <v>85</v>
      </c>
      <c r="I29" s="1063" t="e">
        <f>#REF!</f>
        <v>#REF!</v>
      </c>
      <c r="J29" s="748">
        <f>data!D145</f>
        <v>3500</v>
      </c>
      <c r="K29" s="1062" t="e">
        <f t="shared" si="1"/>
        <v>#REF!</v>
      </c>
    </row>
    <row r="30" spans="1:11">
      <c r="A30" s="83"/>
      <c r="B30" s="84"/>
      <c r="C30" s="85"/>
      <c r="D30" s="1284" t="s">
        <v>145</v>
      </c>
      <c r="E30" s="1268"/>
      <c r="F30" s="883">
        <f>SUM(F25:F29)</f>
        <v>57255</v>
      </c>
      <c r="G30" s="87"/>
      <c r="H30" s="88"/>
      <c r="I30" s="1268" t="s">
        <v>146</v>
      </c>
      <c r="J30" s="1268"/>
      <c r="K30" s="884" t="e">
        <f>SUM(K25:K29)</f>
        <v>#REF!</v>
      </c>
    </row>
    <row r="31" spans="1:11">
      <c r="A31" s="1233" t="s">
        <v>318</v>
      </c>
      <c r="B31" s="1233"/>
      <c r="C31" s="1233"/>
      <c r="D31" s="1233"/>
      <c r="E31" s="1233"/>
      <c r="F31" s="160"/>
      <c r="G31" s="1029"/>
      <c r="H31" s="120"/>
      <c r="I31" s="1052"/>
      <c r="J31" s="1048"/>
      <c r="K31" s="67"/>
    </row>
    <row r="32" spans="1:11">
      <c r="A32" s="74">
        <v>1</v>
      </c>
      <c r="B32" s="75" t="s">
        <v>147</v>
      </c>
      <c r="C32" s="38" t="s">
        <v>148</v>
      </c>
      <c r="D32" s="189">
        <f>'Балки - КС и ПБКЛ'!D37</f>
        <v>55</v>
      </c>
      <c r="E32" s="39">
        <f>'Балки - КС и ПБКЛ'!E37</f>
        <v>600</v>
      </c>
      <c r="F32" s="39">
        <f>D32*E32</f>
        <v>33000</v>
      </c>
      <c r="G32" s="155" t="s">
        <v>179</v>
      </c>
      <c r="H32" s="182" t="s">
        <v>63</v>
      </c>
      <c r="I32" s="421">
        <f>'Балки - КС и ПБКЛ'!I37</f>
        <v>0.77999999999999992</v>
      </c>
      <c r="J32" s="210">
        <f>'Балки - КС и ПБКЛ'!J37</f>
        <v>24000</v>
      </c>
      <c r="K32" s="157">
        <f>I32*J32</f>
        <v>18719.999999999996</v>
      </c>
    </row>
    <row r="33" spans="1:11">
      <c r="A33" s="74"/>
      <c r="B33" s="75"/>
      <c r="C33" s="38"/>
      <c r="D33" s="189"/>
      <c r="E33" s="39"/>
      <c r="F33" s="39"/>
      <c r="G33" s="175" t="s">
        <v>87</v>
      </c>
      <c r="H33" s="176" t="s">
        <v>85</v>
      </c>
      <c r="I33" s="421">
        <f>'Балки - КС и ПБКЛ'!I38</f>
        <v>54</v>
      </c>
      <c r="J33" s="210">
        <f>'Балки - КС и ПБКЛ'!J38</f>
        <v>65</v>
      </c>
      <c r="K33" s="157">
        <f>I33*J33</f>
        <v>3510</v>
      </c>
    </row>
    <row r="34" spans="1:11">
      <c r="A34" s="74"/>
      <c r="B34" s="163"/>
      <c r="C34" s="164"/>
      <c r="D34" s="103"/>
      <c r="E34" s="103"/>
      <c r="F34" s="103"/>
      <c r="G34" s="223" t="s">
        <v>141</v>
      </c>
      <c r="H34" s="182" t="s">
        <v>85</v>
      </c>
      <c r="I34" s="421">
        <f>'Балки - КС и ПБКЛ'!I39</f>
        <v>216</v>
      </c>
      <c r="J34" s="157">
        <f>'Балки - КС и ПБКЛ'!J39</f>
        <v>13</v>
      </c>
      <c r="K34" s="157">
        <f>I34*J34</f>
        <v>2808</v>
      </c>
    </row>
    <row r="35" spans="1:11">
      <c r="A35" s="172"/>
      <c r="B35" s="173"/>
      <c r="C35" s="174"/>
      <c r="D35" s="161"/>
      <c r="E35" s="161"/>
      <c r="F35" s="161"/>
      <c r="G35" s="391" t="s">
        <v>149</v>
      </c>
      <c r="H35" s="392" t="s">
        <v>144</v>
      </c>
      <c r="I35" s="871">
        <f>'Балки - КС и ПБКЛ'!I40</f>
        <v>2.7341772151898733</v>
      </c>
      <c r="J35" s="348">
        <f>'Балки - КС и ПБКЛ'!J40</f>
        <v>380</v>
      </c>
      <c r="K35" s="869">
        <f t="shared" ref="K35" si="2">I35*J35</f>
        <v>1038.9873417721519</v>
      </c>
    </row>
    <row r="36" spans="1:11">
      <c r="A36" s="116"/>
      <c r="B36" s="117"/>
      <c r="C36" s="66"/>
      <c r="D36" s="1253" t="s">
        <v>145</v>
      </c>
      <c r="E36" s="1253"/>
      <c r="F36" s="118">
        <f>SUM(F32:F35)</f>
        <v>33000</v>
      </c>
      <c r="G36" s="119"/>
      <c r="H36" s="120"/>
      <c r="I36" s="1254" t="s">
        <v>146</v>
      </c>
      <c r="J36" s="1254"/>
      <c r="K36" s="118">
        <f>SUM(K32:K35)</f>
        <v>26076.987341772146</v>
      </c>
    </row>
    <row r="37" spans="1:11">
      <c r="A37" s="1233" t="s">
        <v>319</v>
      </c>
      <c r="B37" s="1233"/>
      <c r="C37" s="1233"/>
      <c r="D37" s="1233"/>
      <c r="E37" s="1233"/>
      <c r="F37" s="160"/>
      <c r="G37" s="1029"/>
      <c r="H37" s="120"/>
      <c r="I37" s="1052"/>
      <c r="J37" s="1048"/>
      <c r="K37" s="67"/>
    </row>
    <row r="38" spans="1:11">
      <c r="A38" s="74">
        <v>1</v>
      </c>
      <c r="B38" s="75" t="s">
        <v>147</v>
      </c>
      <c r="C38" s="38" t="s">
        <v>148</v>
      </c>
      <c r="D38" s="189">
        <f>'Балки - КС и ПБКЛ'!D43</f>
        <v>80</v>
      </c>
      <c r="E38" s="39">
        <f>'Балки - КС и ПБКЛ'!E43</f>
        <v>600</v>
      </c>
      <c r="F38" s="39">
        <f>D38*E38</f>
        <v>48000</v>
      </c>
      <c r="G38" s="155" t="s">
        <v>179</v>
      </c>
      <c r="H38" s="182" t="s">
        <v>63</v>
      </c>
      <c r="I38" s="421">
        <f>'Балки - КС и ПБКЛ'!I43</f>
        <v>0</v>
      </c>
      <c r="J38" s="210">
        <f>'Балки - КС и ПБКЛ'!J43</f>
        <v>24000</v>
      </c>
      <c r="K38" s="157">
        <f>I38*J38</f>
        <v>0</v>
      </c>
    </row>
    <row r="39" spans="1:11">
      <c r="A39" s="74"/>
      <c r="B39" s="75"/>
      <c r="C39" s="38"/>
      <c r="D39" s="189"/>
      <c r="E39" s="39"/>
      <c r="F39" s="39"/>
      <c r="G39" s="175" t="s">
        <v>87</v>
      </c>
      <c r="H39" s="176" t="s">
        <v>85</v>
      </c>
      <c r="I39" s="421">
        <f>'Балки - КС и ПБКЛ'!I44</f>
        <v>0</v>
      </c>
      <c r="J39" s="210">
        <f>'Балки - КС и ПБКЛ'!J44</f>
        <v>65</v>
      </c>
      <c r="K39" s="157">
        <f>I39*J39</f>
        <v>0</v>
      </c>
    </row>
    <row r="40" spans="1:11">
      <c r="A40" s="167"/>
      <c r="B40" s="177"/>
      <c r="C40" s="178"/>
      <c r="D40" s="179"/>
      <c r="E40" s="179"/>
      <c r="F40" s="388"/>
      <c r="G40" s="223" t="s">
        <v>141</v>
      </c>
      <c r="H40" s="182" t="s">
        <v>85</v>
      </c>
      <c r="I40" s="421">
        <f>'Балки - КС и ПБКЛ'!I45</f>
        <v>0</v>
      </c>
      <c r="J40" s="157">
        <f>'Балки - КС и ПБКЛ'!J45</f>
        <v>13</v>
      </c>
      <c r="K40" s="157">
        <f>I40*J40</f>
        <v>0</v>
      </c>
    </row>
    <row r="41" spans="1:11">
      <c r="A41" s="162"/>
      <c r="B41" s="163"/>
      <c r="C41" s="164"/>
      <c r="D41" s="103"/>
      <c r="E41" s="103"/>
      <c r="F41" s="389"/>
      <c r="G41" s="223" t="s">
        <v>149</v>
      </c>
      <c r="H41" s="182" t="s">
        <v>144</v>
      </c>
      <c r="I41" s="584">
        <f>'Балки - КС и ПБКЛ'!I46</f>
        <v>0</v>
      </c>
      <c r="J41" s="157">
        <f>'Балки - КС и ПБКЛ'!J46</f>
        <v>380</v>
      </c>
      <c r="K41" s="157">
        <f t="shared" ref="K41" si="3">I41*J41</f>
        <v>0</v>
      </c>
    </row>
    <row r="42" spans="1:11">
      <c r="A42" s="116"/>
      <c r="B42" s="117"/>
      <c r="C42" s="66"/>
      <c r="D42" s="1253" t="s">
        <v>145</v>
      </c>
      <c r="E42" s="1253"/>
      <c r="F42" s="118">
        <f>SUM(F38:F41)</f>
        <v>48000</v>
      </c>
      <c r="G42" s="119"/>
      <c r="H42" s="120"/>
      <c r="I42" s="1254" t="s">
        <v>146</v>
      </c>
      <c r="J42" s="1254"/>
      <c r="K42" s="118">
        <f>SUM(K38:K41)</f>
        <v>0</v>
      </c>
    </row>
    <row r="43" spans="1:11">
      <c r="A43" s="1233" t="s">
        <v>320</v>
      </c>
      <c r="B43" s="1233"/>
      <c r="C43" s="1233"/>
      <c r="D43" s="1233"/>
      <c r="E43" s="1233"/>
      <c r="F43" s="160"/>
      <c r="G43" s="1029"/>
      <c r="H43" s="120"/>
      <c r="I43" s="1052"/>
      <c r="J43" s="1048"/>
      <c r="K43" s="67"/>
    </row>
    <row r="44" spans="1:11">
      <c r="A44" s="74">
        <v>1</v>
      </c>
      <c r="B44" s="75" t="s">
        <v>147</v>
      </c>
      <c r="C44" s="38" t="s">
        <v>148</v>
      </c>
      <c r="D44" s="189">
        <f>'Балки - КС и ПБКЛ'!D49</f>
        <v>19.88</v>
      </c>
      <c r="E44" s="39">
        <f>'Балки - КС и ПБКЛ'!E49</f>
        <v>600</v>
      </c>
      <c r="F44" s="39">
        <f>D44*E44</f>
        <v>11928</v>
      </c>
      <c r="G44" s="155" t="s">
        <v>179</v>
      </c>
      <c r="H44" s="182" t="s">
        <v>63</v>
      </c>
      <c r="I44" s="421">
        <f>'Балки - КС и ПБКЛ'!I49</f>
        <v>0</v>
      </c>
      <c r="J44" s="210">
        <f>'Балки - КС и ПБКЛ'!J49</f>
        <v>24000</v>
      </c>
      <c r="K44" s="157">
        <f>I44*J44</f>
        <v>0</v>
      </c>
    </row>
    <row r="45" spans="1:11">
      <c r="A45" s="74"/>
      <c r="B45" s="75"/>
      <c r="C45" s="38"/>
      <c r="D45" s="189"/>
      <c r="E45" s="39"/>
      <c r="F45" s="39"/>
      <c r="G45" s="175" t="s">
        <v>87</v>
      </c>
      <c r="H45" s="176" t="s">
        <v>85</v>
      </c>
      <c r="I45" s="421">
        <f>'Балки - КС и ПБКЛ'!I50</f>
        <v>0</v>
      </c>
      <c r="J45" s="210">
        <f>'Балки - КС и ПБКЛ'!J50</f>
        <v>65</v>
      </c>
      <c r="K45" s="157">
        <f>I45*J45</f>
        <v>0</v>
      </c>
    </row>
    <row r="46" spans="1:11">
      <c r="A46" s="167"/>
      <c r="B46" s="177"/>
      <c r="C46" s="178"/>
      <c r="D46" s="179"/>
      <c r="E46" s="179"/>
      <c r="F46" s="388"/>
      <c r="G46" s="223" t="s">
        <v>141</v>
      </c>
      <c r="H46" s="182" t="s">
        <v>85</v>
      </c>
      <c r="I46" s="421">
        <f>'Балки - КС и ПБКЛ'!I51</f>
        <v>0</v>
      </c>
      <c r="J46" s="157">
        <f>'Балки - КС и ПБКЛ'!J51</f>
        <v>13</v>
      </c>
      <c r="K46" s="157">
        <f>I46*J46</f>
        <v>0</v>
      </c>
    </row>
    <row r="47" spans="1:11">
      <c r="A47" s="162"/>
      <c r="B47" s="163"/>
      <c r="C47" s="164"/>
      <c r="D47" s="103"/>
      <c r="E47" s="103"/>
      <c r="F47" s="389"/>
      <c r="G47" s="223" t="s">
        <v>149</v>
      </c>
      <c r="H47" s="182" t="s">
        <v>144</v>
      </c>
      <c r="I47" s="584">
        <f>'Балки - КС и ПБКЛ'!I52</f>
        <v>0</v>
      </c>
      <c r="J47" s="157">
        <f>'Балки - КС и ПБКЛ'!J52</f>
        <v>380</v>
      </c>
      <c r="K47" s="157">
        <f t="shared" ref="K47" si="4">I47*J47</f>
        <v>0</v>
      </c>
    </row>
    <row r="48" spans="1:11">
      <c r="A48" s="116"/>
      <c r="B48" s="117"/>
      <c r="C48" s="66"/>
      <c r="D48" s="1253" t="s">
        <v>145</v>
      </c>
      <c r="E48" s="1253"/>
      <c r="F48" s="118">
        <f>SUM(F44:F47)</f>
        <v>11928</v>
      </c>
      <c r="G48" s="119"/>
      <c r="H48" s="120"/>
      <c r="I48" s="1254" t="s">
        <v>146</v>
      </c>
      <c r="J48" s="1254"/>
      <c r="K48" s="118">
        <f>SUM(K44:K47)</f>
        <v>0</v>
      </c>
    </row>
    <row r="49" spans="1:11">
      <c r="A49" s="1239" t="s">
        <v>195</v>
      </c>
      <c r="B49" s="1239"/>
      <c r="C49" s="120"/>
      <c r="D49" s="121"/>
      <c r="E49" s="121"/>
      <c r="F49" s="122"/>
      <c r="G49" s="119"/>
      <c r="H49" s="120"/>
      <c r="I49" s="123"/>
      <c r="J49" s="123"/>
      <c r="K49" s="122"/>
    </row>
    <row r="50" spans="1:11" ht="15" customHeight="1">
      <c r="A50" s="124" t="s">
        <v>134</v>
      </c>
      <c r="B50" s="125" t="s">
        <v>150</v>
      </c>
      <c r="C50" s="124" t="s">
        <v>63</v>
      </c>
      <c r="D50" s="124" t="e">
        <f>D13+I21+I25+I32+I38+I44</f>
        <v>#REF!</v>
      </c>
      <c r="E50" s="126" t="e">
        <f>#REF!</f>
        <v>#REF!</v>
      </c>
      <c r="F50" s="124" t="e">
        <f>D50*E50</f>
        <v>#REF!</v>
      </c>
      <c r="G50" s="127" t="s">
        <v>151</v>
      </c>
      <c r="H50" s="182" t="s">
        <v>138</v>
      </c>
      <c r="I50" s="421" t="e">
        <f>#REF!</f>
        <v>#REF!</v>
      </c>
      <c r="J50" s="109" t="e">
        <f>#REF!</f>
        <v>#REF!</v>
      </c>
      <c r="K50" s="124" t="e">
        <f t="shared" ref="K50:K54" si="5">I50*J50</f>
        <v>#REF!</v>
      </c>
    </row>
    <row r="51" spans="1:11">
      <c r="A51" s="124" t="s">
        <v>152</v>
      </c>
      <c r="B51" s="125" t="s">
        <v>153</v>
      </c>
      <c r="C51" s="124" t="s">
        <v>154</v>
      </c>
      <c r="D51" s="124">
        <f>data!I127</f>
        <v>1</v>
      </c>
      <c r="E51" s="126">
        <f>data!J127</f>
        <v>2000</v>
      </c>
      <c r="F51" s="124">
        <f>D51*E51</f>
        <v>2000</v>
      </c>
      <c r="G51" s="127"/>
      <c r="H51" s="124"/>
      <c r="I51" s="129"/>
      <c r="J51" s="129"/>
      <c r="K51" s="124"/>
    </row>
    <row r="52" spans="1:11">
      <c r="A52" s="124"/>
      <c r="B52" s="125"/>
      <c r="C52" s="124"/>
      <c r="D52" s="130"/>
      <c r="E52" s="131"/>
      <c r="F52" s="132"/>
      <c r="G52" s="128" t="s">
        <v>322</v>
      </c>
      <c r="H52" s="124" t="s">
        <v>155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197</v>
      </c>
      <c r="H53" s="124" t="s">
        <v>156</v>
      </c>
      <c r="I53" s="129" t="e">
        <f>#REF!</f>
        <v>#REF!</v>
      </c>
      <c r="J53" s="124" t="e">
        <f>#REF!</f>
        <v>#REF!</v>
      </c>
      <c r="K53" s="124" t="e">
        <f t="shared" si="5"/>
        <v>#REF!</v>
      </c>
    </row>
    <row r="54" spans="1:11">
      <c r="A54" s="124"/>
      <c r="B54" s="125"/>
      <c r="C54" s="124"/>
      <c r="D54" s="130"/>
      <c r="E54" s="131"/>
      <c r="F54" s="132"/>
      <c r="G54" s="127" t="s">
        <v>196</v>
      </c>
      <c r="H54" s="124" t="s">
        <v>156</v>
      </c>
      <c r="I54" s="133" t="e">
        <f>#REF!</f>
        <v>#REF!</v>
      </c>
      <c r="J54" s="133" t="e">
        <f>#REF!</f>
        <v>#REF!</v>
      </c>
      <c r="K54" s="124" t="e">
        <f t="shared" si="5"/>
        <v>#REF!</v>
      </c>
    </row>
    <row r="55" spans="1:11">
      <c r="A55" s="120"/>
      <c r="B55" s="119"/>
      <c r="C55" s="120"/>
      <c r="D55" s="1240" t="s">
        <v>145</v>
      </c>
      <c r="E55" s="1241"/>
      <c r="F55" s="132" t="e">
        <f>SUM(F50:F54)</f>
        <v>#REF!</v>
      </c>
      <c r="G55" s="119"/>
      <c r="H55" s="120"/>
      <c r="I55" s="1242" t="s">
        <v>157</v>
      </c>
      <c r="J55" s="1243"/>
      <c r="K55" s="132" t="e">
        <f>SUM(K50:K54)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8" spans="1:11">
      <c r="C58" s="1204" t="s">
        <v>158</v>
      </c>
      <c r="D58" s="1204"/>
      <c r="E58" s="1204"/>
      <c r="F58" s="1204"/>
      <c r="G58" s="423" t="e">
        <f>F23+F30+F36+F55+F42+F48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160</v>
      </c>
      <c r="D60" s="1204"/>
      <c r="E60" s="1204"/>
      <c r="F60" s="1204"/>
      <c r="G60" s="423" t="e">
        <f>G58*0.16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K23+K30+K36+K42+K48</f>
        <v>#REF!</v>
      </c>
    </row>
    <row r="63" spans="1:11">
      <c r="C63" s="1478" t="s">
        <v>863</v>
      </c>
      <c r="D63" s="1479"/>
      <c r="E63" s="1479"/>
      <c r="F63" s="1480"/>
      <c r="G63" s="751" t="e">
        <f>G62*0.035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  <c r="XFD68" s="36" t="e">
        <f>SUM(A68:XFC68)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4" customHeight="1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>
      <c r="F74" s="146"/>
      <c r="G74" s="147"/>
    </row>
    <row r="75" spans="1:11 16384:16384">
      <c r="G75" s="148"/>
    </row>
    <row r="76" spans="1:11 16384:16384" ht="14" customHeight="1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7">
      <c r="C81" s="149"/>
    </row>
    <row r="82" spans="1:7">
      <c r="C82" s="147"/>
    </row>
    <row r="83" spans="1:7" s="141" customFormat="1">
      <c r="A83"/>
      <c r="B83"/>
      <c r="C83" s="149"/>
      <c r="D83"/>
      <c r="E83"/>
      <c r="F83"/>
      <c r="G83"/>
    </row>
    <row r="84" spans="1:7" s="141" customFormat="1">
      <c r="A84"/>
      <c r="B84"/>
      <c r="C84" s="147"/>
      <c r="D84"/>
      <c r="E84"/>
      <c r="F84"/>
      <c r="G84"/>
    </row>
    <row r="85" spans="1:7" s="141" customFormat="1">
      <c r="A85"/>
      <c r="B85"/>
      <c r="C85" s="36"/>
      <c r="D85"/>
      <c r="E85"/>
      <c r="F85"/>
      <c r="G85"/>
    </row>
    <row r="86" spans="1:7" s="141" customFormat="1">
      <c r="A86"/>
      <c r="B86"/>
      <c r="C86"/>
      <c r="D86"/>
      <c r="E86"/>
      <c r="F86"/>
      <c r="G86"/>
    </row>
  </sheetData>
  <mergeCells count="43">
    <mergeCell ref="A49:B49"/>
    <mergeCell ref="D55:E55"/>
    <mergeCell ref="I55:J55"/>
    <mergeCell ref="C58:F58"/>
    <mergeCell ref="C68:F68"/>
    <mergeCell ref="C67:F67"/>
    <mergeCell ref="C65:F65"/>
    <mergeCell ref="C66:F66"/>
    <mergeCell ref="C59:F59"/>
    <mergeCell ref="C60:F60"/>
    <mergeCell ref="C61:F61"/>
    <mergeCell ref="C62:F62"/>
    <mergeCell ref="C64:F64"/>
    <mergeCell ref="C63:F63"/>
    <mergeCell ref="A12:B12"/>
    <mergeCell ref="D36:E36"/>
    <mergeCell ref="I36:J36"/>
    <mergeCell ref="D23:E23"/>
    <mergeCell ref="I23:J23"/>
    <mergeCell ref="A24:D24"/>
    <mergeCell ref="D30:E30"/>
    <mergeCell ref="I30:J30"/>
    <mergeCell ref="A31:E31"/>
    <mergeCell ref="A37:E37"/>
    <mergeCell ref="D42:E42"/>
    <mergeCell ref="I42:J42"/>
    <mergeCell ref="A43:E43"/>
    <mergeCell ref="D48:E48"/>
    <mergeCell ref="I48:J4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DEF9-232B-4225-96AD-DFF9A02AF74F}">
  <dimension ref="A1:XFD85"/>
  <sheetViews>
    <sheetView zoomScale="90" zoomScaleNormal="90" workbookViewId="0">
      <selection activeCell="D17" sqref="D1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5.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456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19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влахность'!E42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1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1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E24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КС и ПБКЛ'!I37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КС и ПБКЛ'!I38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КС и ПБКЛ'!I39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173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КС и ПБКЛ'!I40</f>
        <v>2.7341772151898733</v>
      </c>
      <c r="J33" s="348">
        <f>'Балки - КС и ПБКЛ'!J40</f>
        <v>380</v>
      </c>
      <c r="K33" s="869">
        <f t="shared" ref="K33" si="2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E30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КС и ПБКЛ'!I43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КС и ПБКЛ'!I44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КС и ПБКЛ'!I45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16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КС и ПБКЛ'!I46</f>
        <v>0</v>
      </c>
      <c r="J39" s="157">
        <f>'Балки - КС и ПБКЛ'!J46</f>
        <v>380</v>
      </c>
      <c r="K39" s="157">
        <f t="shared" ref="K39" si="3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E36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КС и ПБКЛ'!I49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КС и ПБКЛ'!I50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КС и ПБКЛ'!I51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16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КС и ПБКЛ'!I52</f>
        <v>0</v>
      </c>
      <c r="J45" s="157">
        <f>'Балки - КС и ПБКЛ'!J52</f>
        <v>380</v>
      </c>
      <c r="K45" s="157">
        <f t="shared" ref="K45" si="4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2" si="5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5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5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ref="K53" si="6">I53*J53</f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6AC5-1E63-4C58-8693-400C7D8453F6}">
  <dimension ref="A1:XFD85"/>
  <sheetViews>
    <sheetView topLeftCell="A40" zoomScale="90" zoomScaleNormal="90" workbookViewId="0">
      <selection activeCell="F47" sqref="F4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484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19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КС и ПБКЛ'!D29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КС и ПБКЛ'!I29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КС и ПБКЛ'!I30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КС и ПБКЛ'!I31</f>
        <v>256</v>
      </c>
      <c r="J26" s="46">
        <f>'Балки - КС и ПБКЛ'!J31</f>
        <v>13</v>
      </c>
      <c r="K26" s="46">
        <f t="shared" ref="K26:K27" si="1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КС и ПБКЛ'!I32</f>
        <v>3.240506329113924</v>
      </c>
      <c r="J27" s="396">
        <f>'Балки - КС и ПБКЛ'!J32</f>
        <v>380</v>
      </c>
      <c r="K27" s="46">
        <f t="shared" si="1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КС и ПБКЛ'!D37</f>
        <v>55</v>
      </c>
      <c r="E30" s="39">
        <f>E24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КС и ПБКЛ'!I37</f>
        <v>0.77999999999999992</v>
      </c>
      <c r="J30" s="210">
        <f>'Балки - ест. влахность'!J42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КС и ПБКЛ'!I38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КС и ПБКЛ'!I39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173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КС и ПБКЛ'!I40</f>
        <v>2.7341772151898733</v>
      </c>
      <c r="J33" s="348">
        <f>'Балки - КС и ПБКЛ'!J40</f>
        <v>380</v>
      </c>
      <c r="K33" s="869">
        <f t="shared" ref="K33" si="2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КС и ПБКЛ'!D43</f>
        <v>80</v>
      </c>
      <c r="E36" s="39">
        <f>E30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КС и ПБКЛ'!I43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КС и ПБКЛ'!I44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КС и ПБКЛ'!I45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16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КС и ПБКЛ'!I46</f>
        <v>0</v>
      </c>
      <c r="J39" s="157">
        <f>'Балки - КС и ПБКЛ'!J46</f>
        <v>380</v>
      </c>
      <c r="K39" s="157">
        <f t="shared" ref="K39" si="3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КС и ПБКЛ'!D49</f>
        <v>19.88</v>
      </c>
      <c r="E42" s="39">
        <f>E36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КС и ПБКЛ'!I49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КС и ПБКЛ'!I50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КС и ПБКЛ'!I51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16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КС и ПБКЛ'!I52</f>
        <v>0</v>
      </c>
      <c r="J45" s="157">
        <f>'Балки - КС и ПБКЛ'!J52</f>
        <v>380</v>
      </c>
      <c r="K45" s="157">
        <f t="shared" ref="K45" si="4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5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5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5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5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B4B5-9B9E-4A92-820E-23667E66AE38}">
  <dimension ref="A1:XFD85"/>
  <sheetViews>
    <sheetView topLeftCell="A42" zoomScale="90" zoomScaleNormal="90" workbookViewId="0">
      <selection activeCell="B13" sqref="B1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485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19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КС и ПБКЛ'!D29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КС и ПБКЛ'!I29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КС и ПБКЛ'!I30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КС и ПБКЛ'!I31</f>
        <v>256</v>
      </c>
      <c r="J26" s="46">
        <f>'Балки - КС и ПБКЛ'!J31</f>
        <v>13</v>
      </c>
      <c r="K26" s="46">
        <f t="shared" ref="K26:K27" si="1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КС и ПБКЛ'!I32</f>
        <v>3.240506329113924</v>
      </c>
      <c r="J27" s="396">
        <f>'Балки - КС и ПБКЛ'!J32</f>
        <v>380</v>
      </c>
      <c r="K27" s="46">
        <f t="shared" si="1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КС и ПБКЛ'!D37</f>
        <v>55</v>
      </c>
      <c r="E30" s="39">
        <f>E24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КС и ПБКЛ'!I37</f>
        <v>0.77999999999999992</v>
      </c>
      <c r="J30" s="210">
        <f>'Балки - ест. влахность'!J42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КС и ПБКЛ'!I38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КС и ПБКЛ'!I39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173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КС и ПБКЛ'!I40</f>
        <v>2.7341772151898733</v>
      </c>
      <c r="J33" s="348">
        <f>'Балки - КС и ПБКЛ'!J40</f>
        <v>380</v>
      </c>
      <c r="K33" s="869">
        <f t="shared" ref="K33" si="2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КС и ПБКЛ'!D43</f>
        <v>80</v>
      </c>
      <c r="E36" s="39">
        <f>E30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КС и ПБКЛ'!I43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КС и ПБКЛ'!I44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КС и ПБКЛ'!I45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16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КС и ПБКЛ'!I46</f>
        <v>0</v>
      </c>
      <c r="J39" s="157">
        <f>'Балки - КС и ПБКЛ'!J46</f>
        <v>380</v>
      </c>
      <c r="K39" s="157">
        <f t="shared" ref="K39" si="3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КС и ПБКЛ'!D49</f>
        <v>19.88</v>
      </c>
      <c r="E42" s="39">
        <f>E36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КС и ПБКЛ'!I49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КС и ПБКЛ'!I50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КС и ПБКЛ'!I51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16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КС и ПБКЛ'!I52</f>
        <v>0</v>
      </c>
      <c r="J45" s="157">
        <f>'Балки - КС и ПБКЛ'!J52</f>
        <v>380</v>
      </c>
      <c r="K45" s="157">
        <f t="shared" ref="K45" si="4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5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5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5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5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AE1E-DAEB-48E8-9248-13855E1804C7}">
  <dimension ref="A1:XFD85"/>
  <sheetViews>
    <sheetView topLeftCell="A31" workbookViewId="0">
      <selection activeCell="D15" sqref="D15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486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19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КС и ПБКЛ'!D29</f>
        <v>85.3</v>
      </c>
      <c r="E24" s="44">
        <f>'Балки - КС и ПБКЛ'!E37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КС и ПБКЛ'!I29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КС и ПБКЛ'!I30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КС и ПБКЛ'!I31</f>
        <v>256</v>
      </c>
      <c r="J26" s="46">
        <f>'Балки - КС и ПБКЛ'!J31</f>
        <v>13</v>
      </c>
      <c r="K26" s="46">
        <f t="shared" ref="K26:K27" si="1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КС и ПБКЛ'!I32</f>
        <v>3.240506329113924</v>
      </c>
      <c r="J27" s="396">
        <f>'Балки - КС и ПБКЛ'!J32</f>
        <v>380</v>
      </c>
      <c r="K27" s="46">
        <f t="shared" si="1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КС и ПБКЛ'!D37</f>
        <v>55</v>
      </c>
      <c r="E30" s="39">
        <f>'Балки - КС и ПБКЛ'!E37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КС и ПБКЛ'!I37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КС и ПБКЛ'!I38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КС и ПБКЛ'!I39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173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КС и ПБКЛ'!I40</f>
        <v>2.7341772151898733</v>
      </c>
      <c r="J33" s="348">
        <f>'Балки - КС и ПБКЛ'!J40</f>
        <v>380</v>
      </c>
      <c r="K33" s="869">
        <f t="shared" ref="K33" si="2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КС и ПБКЛ'!D43</f>
        <v>80</v>
      </c>
      <c r="E36" s="39">
        <f>'Балки - КС и ПБКЛ'!E43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КС и ПБКЛ'!I43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КС и ПБКЛ'!I44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КС и ПБКЛ'!I45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16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КС и ПБКЛ'!I46</f>
        <v>0</v>
      </c>
      <c r="J39" s="157">
        <f>'Балки - КС и ПБКЛ'!J46</f>
        <v>380</v>
      </c>
      <c r="K39" s="157">
        <f t="shared" ref="K39" si="3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КС и ПБКЛ'!D49</f>
        <v>19.88</v>
      </c>
      <c r="E42" s="39">
        <f>'Балки - КС и ПБКЛ'!E49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КС и ПБКЛ'!I49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КС и ПБКЛ'!I50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КС и ПБКЛ'!I51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16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КС и ПБКЛ'!I52</f>
        <v>0</v>
      </c>
      <c r="J45" s="157">
        <f>'Балки - КС и ПБКЛ'!J52</f>
        <v>380</v>
      </c>
      <c r="K45" s="157">
        <f t="shared" ref="K45" si="4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5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5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5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5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63EE-ACC3-4157-8107-AA5EE1C83655}">
  <dimension ref="A1:XFD85"/>
  <sheetViews>
    <sheetView topLeftCell="A49" workbookViewId="0">
      <selection activeCell="C17" sqref="C1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487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19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КС и ПБКЛ'!D29</f>
        <v>85.3</v>
      </c>
      <c r="E24" s="44">
        <f>'Балки - КС и ПБКЛ'!E37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КС и ПБКЛ'!I29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КС и ПБКЛ'!I30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КС и ПБКЛ'!I31</f>
        <v>256</v>
      </c>
      <c r="J26" s="46">
        <f>'Балки - КС и ПБКЛ'!J31</f>
        <v>13</v>
      </c>
      <c r="K26" s="46">
        <f t="shared" ref="K26:K27" si="1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КС и ПБКЛ'!I32</f>
        <v>3.240506329113924</v>
      </c>
      <c r="J27" s="396">
        <f>'Балки - КС и ПБКЛ'!J32</f>
        <v>380</v>
      </c>
      <c r="K27" s="46">
        <f t="shared" si="1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КС и ПБКЛ'!D37</f>
        <v>55</v>
      </c>
      <c r="E30" s="39">
        <f>'Балки - КС и ПБКЛ'!E37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КС и ПБКЛ'!I37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КС и ПБКЛ'!I38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КС и ПБКЛ'!I39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173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КС и ПБКЛ'!I40</f>
        <v>2.7341772151898733</v>
      </c>
      <c r="J33" s="348">
        <f>'Балки - КС и ПБКЛ'!J40</f>
        <v>380</v>
      </c>
      <c r="K33" s="869">
        <f t="shared" ref="K33" si="2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КС и ПБКЛ'!D43</f>
        <v>80</v>
      </c>
      <c r="E36" s="39">
        <f>'Балки - КС и ПБКЛ'!E43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КС и ПБКЛ'!I43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КС и ПБКЛ'!I44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КС и ПБКЛ'!I45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16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КС и ПБКЛ'!I46</f>
        <v>0</v>
      </c>
      <c r="J39" s="157">
        <f>'Балки - КС и ПБКЛ'!J46</f>
        <v>380</v>
      </c>
      <c r="K39" s="157">
        <f t="shared" ref="K39" si="3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КС и ПБКЛ'!D49</f>
        <v>19.88</v>
      </c>
      <c r="E42" s="39">
        <f>'Балки - КС и ПБКЛ'!E49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КС и ПБКЛ'!I49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КС и ПБКЛ'!I50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КС и ПБКЛ'!I51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16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КС и ПБКЛ'!I52</f>
        <v>0</v>
      </c>
      <c r="J45" s="157">
        <f>'Балки - КС и ПБКЛ'!J52</f>
        <v>380</v>
      </c>
      <c r="K45" s="157">
        <f t="shared" ref="K45" si="4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5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5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5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5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71DF-7B1B-4442-9F00-4F6F32212F62}">
  <dimension ref="A1:XFD85"/>
  <sheetViews>
    <sheetView topLeftCell="A37" zoomScale="90" zoomScaleNormal="90" workbookViewId="0">
      <selection activeCell="C14" sqref="C1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488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 t="shared" ref="K13:K19" si="0"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si="0"/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si="0"/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0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0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0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0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1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1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173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2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16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3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16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4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5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5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5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5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5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9B1D-1B10-4543-8B95-26D2A8558D1B}">
  <dimension ref="A1:XFD85"/>
  <sheetViews>
    <sheetView topLeftCell="A34" zoomScale="90" zoomScaleNormal="90" workbookViewId="0">
      <selection activeCell="C16" sqref="C16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490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173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16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16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2D45-AAE5-4EA3-953F-70E03E836EBF}">
  <dimension ref="A1:XFD85"/>
  <sheetViews>
    <sheetView topLeftCell="A46" zoomScale="90" zoomScaleNormal="90" workbookViewId="0">
      <selection activeCell="D16" sqref="D16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491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5F74-DA47-4663-9E16-E0BCFE89247E}">
  <dimension ref="A1:XFD85"/>
  <sheetViews>
    <sheetView topLeftCell="A43" zoomScale="90" zoomScaleNormal="90" workbookViewId="0">
      <selection activeCell="C20" sqref="C20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492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F690-3BE8-4375-ADA0-DDDEF25C30B0}">
  <dimension ref="A1:XFD85"/>
  <sheetViews>
    <sheetView topLeftCell="A31" zoomScale="90" zoomScaleNormal="90" workbookViewId="0">
      <selection activeCell="C14" sqref="C1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493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F0AD-CC95-4372-B681-9455AD1F0D73}">
  <dimension ref="A1:XFD85"/>
  <sheetViews>
    <sheetView topLeftCell="A43" zoomScale="90" zoomScaleNormal="90" workbookViewId="0">
      <selection activeCell="D16" sqref="D16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885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489" t="s">
        <v>146</v>
      </c>
      <c r="J34" s="1489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22" t="s">
        <v>145</v>
      </c>
      <c r="E54" s="1490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D791-84A0-4D81-AF96-3F08E2A190C2}">
  <dimension ref="A1:XFD85"/>
  <sheetViews>
    <sheetView topLeftCell="A43" zoomScale="90" zoomScaleNormal="90" workbookViewId="0">
      <selection activeCell="B14" sqref="B1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489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12A0-E2E9-4569-A79B-DE46FF6BE951}">
  <dimension ref="A1:XFD85"/>
  <sheetViews>
    <sheetView topLeftCell="A43" zoomScale="90" zoomScaleNormal="90" workbookViewId="0">
      <selection activeCell="C17" sqref="C1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494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C291-D4E7-4278-9325-C5A24193A074}">
  <dimension ref="A1:XFD85"/>
  <sheetViews>
    <sheetView topLeftCell="A40" zoomScale="90" zoomScaleNormal="90" workbookViewId="0">
      <selection activeCell="B17" sqref="B1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495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B8CF-EE54-4228-A6C3-66A7884B31CC}">
  <dimension ref="A1:XFD85"/>
  <sheetViews>
    <sheetView topLeftCell="A40" zoomScale="90" zoomScaleNormal="90" workbookViewId="0">
      <selection activeCell="C17" sqref="C1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496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EB72-952F-4996-8E5E-D6F744857864}">
  <dimension ref="A1:XFD85"/>
  <sheetViews>
    <sheetView zoomScale="90" zoomScaleNormal="90" workbookViewId="0">
      <selection activeCell="C14" sqref="C1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497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E7E-3C82-4280-855D-482163A286DA}">
  <dimension ref="A1:XFD85"/>
  <sheetViews>
    <sheetView topLeftCell="A3" zoomScale="90" zoomScaleNormal="90" workbookViewId="0">
      <selection activeCell="B15" sqref="B15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498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3876-E496-491C-938A-5E89E5C78BEC}">
  <dimension ref="A1:XFD85"/>
  <sheetViews>
    <sheetView topLeftCell="A43" zoomScale="90" zoomScaleNormal="90" workbookViewId="0">
      <selection activeCell="D16" sqref="D16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52" t="s">
        <v>118</v>
      </c>
      <c r="B5" s="52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124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74" t="s">
        <v>134</v>
      </c>
      <c r="B13" s="75" t="s">
        <v>857</v>
      </c>
      <c r="C13" s="38" t="s">
        <v>63</v>
      </c>
      <c r="D13" s="39" t="e">
        <f>#REF!</f>
        <v>#REF!</v>
      </c>
      <c r="E13" s="39" t="e">
        <f>#REF!</f>
        <v>#REF!</v>
      </c>
      <c r="F13" s="40" t="e">
        <f>D13*E13</f>
        <v>#REF!</v>
      </c>
      <c r="G13" s="155" t="s">
        <v>499</v>
      </c>
      <c r="H13" s="182" t="s">
        <v>63</v>
      </c>
      <c r="I13" s="421" t="e">
        <f>#REF!</f>
        <v>#REF!</v>
      </c>
      <c r="J13" s="210" t="e">
        <f>#REF!</f>
        <v>#REF!</v>
      </c>
      <c r="K13" s="157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181" t="s">
        <v>152</v>
      </c>
      <c r="B15" s="155" t="s">
        <v>191</v>
      </c>
      <c r="C15" s="182" t="s">
        <v>86</v>
      </c>
      <c r="D15" s="190" t="e">
        <f>#REF!</f>
        <v>#REF!</v>
      </c>
      <c r="E15" s="157" t="e">
        <f>#REF!</f>
        <v>#REF!</v>
      </c>
      <c r="F15" s="40" t="e">
        <f>D15*E15</f>
        <v>#REF!</v>
      </c>
      <c r="G15" s="155" t="s">
        <v>135</v>
      </c>
      <c r="H15" s="182" t="s">
        <v>136</v>
      </c>
      <c r="I15" s="190" t="e">
        <f>D15</f>
        <v>#REF!</v>
      </c>
      <c r="J15" s="210" t="e">
        <f>#REF!</f>
        <v>#REF!</v>
      </c>
      <c r="K15" s="157" t="e">
        <f t="shared" ref="K15:K19" si="1">I15*J15</f>
        <v>#REF!</v>
      </c>
    </row>
    <row r="16" spans="1:11">
      <c r="A16" s="181"/>
      <c r="B16" s="155"/>
      <c r="C16" s="182"/>
      <c r="D16" s="157"/>
      <c r="E16" s="157"/>
      <c r="F16" s="40"/>
      <c r="G16" s="191" t="s">
        <v>166</v>
      </c>
      <c r="H16" s="425" t="s">
        <v>168</v>
      </c>
      <c r="I16" s="867" t="e">
        <f>#REF!</f>
        <v>#REF!</v>
      </c>
      <c r="J16" s="868" t="e">
        <f>#REF!</f>
        <v>#REF!</v>
      </c>
      <c r="K16" s="157" t="e">
        <f t="shared" si="1"/>
        <v>#REF!</v>
      </c>
    </row>
    <row r="17" spans="1:11">
      <c r="A17" s="167"/>
      <c r="B17" s="273"/>
      <c r="C17" s="41"/>
      <c r="D17" s="42"/>
      <c r="E17" s="42"/>
      <c r="F17" s="274"/>
      <c r="G17" s="152" t="s">
        <v>137</v>
      </c>
      <c r="H17" s="153" t="s">
        <v>85</v>
      </c>
      <c r="I17" s="158" t="e">
        <f>#REF!</f>
        <v>#REF!</v>
      </c>
      <c r="J17" s="82" t="e">
        <f>#REF!</f>
        <v>#REF!</v>
      </c>
      <c r="K17" s="39" t="e">
        <f t="shared" si="1"/>
        <v>#REF!</v>
      </c>
    </row>
    <row r="18" spans="1:11">
      <c r="A18" s="80" t="s">
        <v>174</v>
      </c>
      <c r="B18" s="37" t="s">
        <v>139</v>
      </c>
      <c r="C18" s="43" t="s">
        <v>85</v>
      </c>
      <c r="D18" s="46" t="e">
        <f>I18</f>
        <v>#REF!</v>
      </c>
      <c r="E18" s="44" t="e">
        <f>#REF!</f>
        <v>#REF!</v>
      </c>
      <c r="F18" s="45" t="e">
        <f>D18*E18</f>
        <v>#REF!</v>
      </c>
      <c r="G18" s="81" t="s">
        <v>140</v>
      </c>
      <c r="H18" s="82" t="s">
        <v>85</v>
      </c>
      <c r="I18" s="82" t="e">
        <f>#REF!</f>
        <v>#REF!</v>
      </c>
      <c r="J18" s="82" t="e">
        <f>#REF!</f>
        <v>#REF!</v>
      </c>
      <c r="K18" s="39" t="e">
        <f t="shared" si="1"/>
        <v>#REF!</v>
      </c>
    </row>
    <row r="19" spans="1:11">
      <c r="A19" s="80"/>
      <c r="B19" s="37"/>
      <c r="C19" s="43"/>
      <c r="D19" s="46"/>
      <c r="E19" s="44"/>
      <c r="F19" s="45"/>
      <c r="G19" s="81" t="s">
        <v>141</v>
      </c>
      <c r="H19" s="82" t="s">
        <v>85</v>
      </c>
      <c r="I19" s="82" t="e">
        <f>#REF!</f>
        <v>#REF!</v>
      </c>
      <c r="J19" s="82" t="e">
        <f>#REF!</f>
        <v>#REF!</v>
      </c>
      <c r="K19" s="39" t="e">
        <f t="shared" si="1"/>
        <v>#REF!</v>
      </c>
    </row>
    <row r="20" spans="1:11">
      <c r="A20" s="203" t="s">
        <v>194</v>
      </c>
      <c r="B20" s="90" t="s">
        <v>142</v>
      </c>
      <c r="C20" s="184" t="s">
        <v>138</v>
      </c>
      <c r="D20" s="46" t="e">
        <f>#REF!</f>
        <v>#REF!</v>
      </c>
      <c r="E20" s="46" t="e">
        <f>#REF!</f>
        <v>#REF!</v>
      </c>
      <c r="F20" s="45" t="e">
        <f>D20*E20</f>
        <v>#REF!</v>
      </c>
      <c r="G20" s="81" t="s">
        <v>143</v>
      </c>
      <c r="H20" s="82" t="s">
        <v>63</v>
      </c>
      <c r="I20" s="82" t="e">
        <f>#REF!</f>
        <v>#REF!</v>
      </c>
      <c r="J20" s="82" t="e">
        <f>#REF!</f>
        <v>#REF!</v>
      </c>
      <c r="K20" s="82" t="e">
        <f>I20*J20</f>
        <v>#REF!</v>
      </c>
    </row>
    <row r="21" spans="1:11">
      <c r="A21" s="203"/>
      <c r="B21" s="90"/>
      <c r="C21" s="184"/>
      <c r="D21" s="46"/>
      <c r="E21" s="46"/>
      <c r="F21" s="45"/>
      <c r="G21" s="81" t="s">
        <v>173</v>
      </c>
      <c r="H21" s="82" t="s">
        <v>144</v>
      </c>
      <c r="I21" s="82" t="e">
        <f>#REF!</f>
        <v>#REF!</v>
      </c>
      <c r="J21" s="82" t="e">
        <f>#REF!</f>
        <v>#REF!</v>
      </c>
      <c r="K21" s="82" t="e">
        <f>I21*J21</f>
        <v>#REF!</v>
      </c>
    </row>
    <row r="22" spans="1:11">
      <c r="A22" s="83"/>
      <c r="B22" s="84"/>
      <c r="C22" s="85"/>
      <c r="D22" s="1284" t="s">
        <v>145</v>
      </c>
      <c r="E22" s="1268"/>
      <c r="F22" s="86" t="e">
        <f>SUM(F13:F21)</f>
        <v>#REF!</v>
      </c>
      <c r="G22" s="87"/>
      <c r="H22" s="88"/>
      <c r="I22" s="1268" t="s">
        <v>146</v>
      </c>
      <c r="J22" s="1268"/>
      <c r="K22" s="134" t="e">
        <f>SUM(K13:K21)</f>
        <v>#REF!</v>
      </c>
    </row>
    <row r="23" spans="1:11">
      <c r="A23" s="1236" t="s">
        <v>317</v>
      </c>
      <c r="B23" s="1236"/>
      <c r="C23" s="1236"/>
      <c r="D23" s="1236"/>
      <c r="E23" s="88"/>
      <c r="F23" s="88"/>
      <c r="G23" s="87"/>
      <c r="H23" s="88"/>
      <c r="I23" s="88"/>
      <c r="J23" s="88"/>
      <c r="K23" s="88"/>
    </row>
    <row r="24" spans="1:11">
      <c r="A24" s="80" t="s">
        <v>134</v>
      </c>
      <c r="B24" s="37" t="s">
        <v>147</v>
      </c>
      <c r="C24" s="43" t="s">
        <v>148</v>
      </c>
      <c r="D24" s="226">
        <f>'Балки - ест. влахность'!D29</f>
        <v>85.3</v>
      </c>
      <c r="E24" s="44">
        <f>'Балки - ест. влахность'!E29</f>
        <v>600</v>
      </c>
      <c r="F24" s="44">
        <f>D24*E24</f>
        <v>51180</v>
      </c>
      <c r="G24" s="90" t="s">
        <v>428</v>
      </c>
      <c r="H24" s="184" t="s">
        <v>63</v>
      </c>
      <c r="I24" s="491">
        <f>'Балки - ест. влахность'!I29</f>
        <v>1.92</v>
      </c>
      <c r="J24" s="308">
        <f>'Балки - ест. влахность'!J29</f>
        <v>17000</v>
      </c>
      <c r="K24" s="46">
        <f>I24*J24</f>
        <v>32640</v>
      </c>
    </row>
    <row r="25" spans="1:11">
      <c r="A25" s="80"/>
      <c r="B25" s="37"/>
      <c r="C25" s="43"/>
      <c r="D25" s="226"/>
      <c r="E25" s="44"/>
      <c r="F25" s="44"/>
      <c r="G25" s="94" t="s">
        <v>87</v>
      </c>
      <c r="H25" s="95" t="s">
        <v>85</v>
      </c>
      <c r="I25" s="845">
        <f>'Балки - ест. влахность'!I30</f>
        <v>64</v>
      </c>
      <c r="J25" s="308">
        <f>'Балки - КС и ПБКЛ'!J30</f>
        <v>65</v>
      </c>
      <c r="K25" s="46">
        <f>I25*J25</f>
        <v>4160</v>
      </c>
    </row>
    <row r="26" spans="1:11">
      <c r="A26" s="80"/>
      <c r="B26" s="96"/>
      <c r="C26" s="97"/>
      <c r="D26" s="98"/>
      <c r="E26" s="98"/>
      <c r="F26" s="99"/>
      <c r="G26" s="224" t="s">
        <v>141</v>
      </c>
      <c r="H26" s="184" t="s">
        <v>85</v>
      </c>
      <c r="I26" s="491">
        <f>'Балки - ест. влахность'!I31</f>
        <v>256</v>
      </c>
      <c r="J26" s="46">
        <f>'Балки - КС и ПБКЛ'!J31</f>
        <v>13</v>
      </c>
      <c r="K26" s="46">
        <f t="shared" ref="K26:K27" si="2">I26*J26</f>
        <v>3328</v>
      </c>
    </row>
    <row r="27" spans="1:11">
      <c r="A27" s="80" t="s">
        <v>152</v>
      </c>
      <c r="B27" s="101" t="s">
        <v>878</v>
      </c>
      <c r="C27" s="97" t="s">
        <v>148</v>
      </c>
      <c r="D27" s="98">
        <f>I24/0.06*3</f>
        <v>96</v>
      </c>
      <c r="E27" s="102">
        <f>data!E206</f>
        <v>45</v>
      </c>
      <c r="F27" s="103">
        <f>D27*E27</f>
        <v>4320</v>
      </c>
      <c r="G27" s="390" t="s">
        <v>149</v>
      </c>
      <c r="H27" s="184" t="s">
        <v>144</v>
      </c>
      <c r="I27" s="870">
        <f>'Балки - ест. влахность'!I32</f>
        <v>3.240506329113924</v>
      </c>
      <c r="J27" s="396">
        <f>'Балки - КС и ПБКЛ'!J32</f>
        <v>380</v>
      </c>
      <c r="K27" s="46">
        <f t="shared" si="2"/>
        <v>1231.3924050632911</v>
      </c>
    </row>
    <row r="28" spans="1:11">
      <c r="A28" s="83"/>
      <c r="B28" s="84"/>
      <c r="C28" s="85"/>
      <c r="D28" s="1284" t="s">
        <v>145</v>
      </c>
      <c r="E28" s="1268"/>
      <c r="F28" s="86">
        <f>SUM(F24:F27)</f>
        <v>55500</v>
      </c>
      <c r="G28" s="87"/>
      <c r="H28" s="88"/>
      <c r="I28" s="1268" t="s">
        <v>146</v>
      </c>
      <c r="J28" s="1268"/>
      <c r="K28" s="134">
        <f>SUM(K24:K27)</f>
        <v>41359.392405063292</v>
      </c>
    </row>
    <row r="29" spans="1:11">
      <c r="A29" s="1233" t="s">
        <v>318</v>
      </c>
      <c r="B29" s="1233"/>
      <c r="C29" s="1233"/>
      <c r="D29" s="1233"/>
      <c r="E29" s="1233"/>
      <c r="F29" s="160"/>
      <c r="G29" s="1029"/>
      <c r="H29" s="120"/>
      <c r="I29" s="1052"/>
      <c r="J29" s="1048"/>
      <c r="K29" s="67"/>
    </row>
    <row r="30" spans="1:11">
      <c r="A30" s="74">
        <v>1</v>
      </c>
      <c r="B30" s="75" t="s">
        <v>147</v>
      </c>
      <c r="C30" s="38" t="s">
        <v>148</v>
      </c>
      <c r="D30" s="189">
        <f>'Балки - ест. влахность'!D36</f>
        <v>55</v>
      </c>
      <c r="E30" s="39">
        <f>'Балки - ест. влахность'!E36</f>
        <v>600</v>
      </c>
      <c r="F30" s="39">
        <f>D30*E30</f>
        <v>33000</v>
      </c>
      <c r="G30" s="155" t="s">
        <v>457</v>
      </c>
      <c r="H30" s="182" t="s">
        <v>63</v>
      </c>
      <c r="I30" s="421">
        <f>'Балки - ест. влахность'!I36</f>
        <v>0.77999999999999992</v>
      </c>
      <c r="J30" s="210">
        <f>'Балки - ест. влахность'!J36</f>
        <v>17000</v>
      </c>
      <c r="K30" s="157">
        <f>I30*J30</f>
        <v>13259.999999999998</v>
      </c>
    </row>
    <row r="31" spans="1:11">
      <c r="A31" s="74"/>
      <c r="B31" s="75"/>
      <c r="C31" s="38"/>
      <c r="D31" s="189"/>
      <c r="E31" s="39"/>
      <c r="F31" s="39"/>
      <c r="G31" s="175" t="s">
        <v>87</v>
      </c>
      <c r="H31" s="176" t="s">
        <v>85</v>
      </c>
      <c r="I31" s="421">
        <f>'Балки - ест. влахность'!I37</f>
        <v>54</v>
      </c>
      <c r="J31" s="210">
        <f>'Балки - КС и ПБКЛ'!J38</f>
        <v>65</v>
      </c>
      <c r="K31" s="157">
        <f>I31*J31</f>
        <v>3510</v>
      </c>
    </row>
    <row r="32" spans="1:11">
      <c r="A32" s="74"/>
      <c r="B32" s="163"/>
      <c r="C32" s="164"/>
      <c r="D32" s="103"/>
      <c r="E32" s="103"/>
      <c r="F32" s="103"/>
      <c r="G32" s="223" t="s">
        <v>141</v>
      </c>
      <c r="H32" s="182" t="s">
        <v>85</v>
      </c>
      <c r="I32" s="421">
        <f>'Балки - ест. влахность'!I38</f>
        <v>216</v>
      </c>
      <c r="J32" s="157">
        <f>'Балки - КС и ПБКЛ'!J39</f>
        <v>13</v>
      </c>
      <c r="K32" s="157">
        <f>I32*J32</f>
        <v>2808</v>
      </c>
    </row>
    <row r="33" spans="1:11">
      <c r="A33" s="172" t="s">
        <v>152</v>
      </c>
      <c r="B33" s="889" t="s">
        <v>878</v>
      </c>
      <c r="C33" s="174" t="s">
        <v>148</v>
      </c>
      <c r="D33" s="161">
        <f>I30/0.06*3</f>
        <v>38.999999999999993</v>
      </c>
      <c r="E33" s="161">
        <f>data!E206</f>
        <v>45</v>
      </c>
      <c r="F33" s="161">
        <f>D33*E33</f>
        <v>1754.9999999999998</v>
      </c>
      <c r="G33" s="391" t="s">
        <v>149</v>
      </c>
      <c r="H33" s="392" t="s">
        <v>144</v>
      </c>
      <c r="I33" s="871">
        <f>'Балки - ест. влахность'!I39</f>
        <v>2.7341772151898733</v>
      </c>
      <c r="J33" s="348">
        <f>'Балки - КС и ПБКЛ'!J40</f>
        <v>380</v>
      </c>
      <c r="K33" s="869">
        <f t="shared" ref="K33" si="3">I33*J33</f>
        <v>1038.9873417721519</v>
      </c>
    </row>
    <row r="34" spans="1:11">
      <c r="A34" s="116"/>
      <c r="B34" s="117"/>
      <c r="C34" s="66"/>
      <c r="D34" s="1253" t="s">
        <v>145</v>
      </c>
      <c r="E34" s="1253"/>
      <c r="F34" s="118">
        <f>SUM(F30:F33)</f>
        <v>34755</v>
      </c>
      <c r="G34" s="119"/>
      <c r="H34" s="120"/>
      <c r="I34" s="1254" t="s">
        <v>146</v>
      </c>
      <c r="J34" s="1254"/>
      <c r="K34" s="118">
        <f>SUM(K30:K33)</f>
        <v>20616.987341772154</v>
      </c>
    </row>
    <row r="35" spans="1:11">
      <c r="A35" s="1233" t="s">
        <v>319</v>
      </c>
      <c r="B35" s="1233"/>
      <c r="C35" s="1233"/>
      <c r="D35" s="1233"/>
      <c r="E35" s="1233"/>
      <c r="F35" s="160"/>
      <c r="G35" s="1029"/>
      <c r="H35" s="120"/>
      <c r="I35" s="1052"/>
      <c r="J35" s="1048"/>
      <c r="K35" s="67"/>
    </row>
    <row r="36" spans="1:11">
      <c r="A36" s="74">
        <v>1</v>
      </c>
      <c r="B36" s="75" t="s">
        <v>147</v>
      </c>
      <c r="C36" s="38" t="s">
        <v>148</v>
      </c>
      <c r="D36" s="189">
        <f>'Балки - ест. влахность'!D42</f>
        <v>80</v>
      </c>
      <c r="E36" s="39">
        <f>'Балки - ест. влахность'!E42</f>
        <v>600</v>
      </c>
      <c r="F36" s="39">
        <f>D36*E36</f>
        <v>48000</v>
      </c>
      <c r="G36" s="155" t="s">
        <v>428</v>
      </c>
      <c r="H36" s="182" t="s">
        <v>63</v>
      </c>
      <c r="I36" s="421">
        <f>'Балки - ест. влахность'!I42</f>
        <v>0</v>
      </c>
      <c r="J36" s="210">
        <f>'Балки - ест. влахность'!J42</f>
        <v>17000</v>
      </c>
      <c r="K36" s="157">
        <f>I36*J36</f>
        <v>0</v>
      </c>
    </row>
    <row r="37" spans="1:11">
      <c r="A37" s="74"/>
      <c r="B37" s="75"/>
      <c r="C37" s="38"/>
      <c r="D37" s="189"/>
      <c r="E37" s="39"/>
      <c r="F37" s="39"/>
      <c r="G37" s="175" t="s">
        <v>87</v>
      </c>
      <c r="H37" s="176" t="s">
        <v>85</v>
      </c>
      <c r="I37" s="421">
        <f>'Балки - ест. влахность'!I43</f>
        <v>0</v>
      </c>
      <c r="J37" s="210">
        <f>'Балки - КС и ПБКЛ'!J44</f>
        <v>65</v>
      </c>
      <c r="K37" s="157">
        <f>I37*J37</f>
        <v>0</v>
      </c>
    </row>
    <row r="38" spans="1:11">
      <c r="A38" s="167"/>
      <c r="B38" s="177"/>
      <c r="C38" s="178"/>
      <c r="D38" s="179"/>
      <c r="E38" s="179"/>
      <c r="F38" s="388"/>
      <c r="G38" s="223" t="s">
        <v>141</v>
      </c>
      <c r="H38" s="182" t="s">
        <v>85</v>
      </c>
      <c r="I38" s="421">
        <f>'Балки - ест. влахность'!I44</f>
        <v>0</v>
      </c>
      <c r="J38" s="157">
        <f>'Балки - КС и ПБКЛ'!J45</f>
        <v>13</v>
      </c>
      <c r="K38" s="157">
        <f>I38*J38</f>
        <v>0</v>
      </c>
    </row>
    <row r="39" spans="1:11">
      <c r="A39" s="162" t="s">
        <v>152</v>
      </c>
      <c r="B39" s="403" t="s">
        <v>878</v>
      </c>
      <c r="C39" s="164" t="s">
        <v>148</v>
      </c>
      <c r="D39" s="103">
        <f>I36/0.06*3</f>
        <v>0</v>
      </c>
      <c r="E39" s="103">
        <f>data!E206</f>
        <v>45</v>
      </c>
      <c r="F39" s="389">
        <f>D39*E39</f>
        <v>0</v>
      </c>
      <c r="G39" s="223" t="s">
        <v>149</v>
      </c>
      <c r="H39" s="182" t="s">
        <v>144</v>
      </c>
      <c r="I39" s="584">
        <f>'Балки - ест. влахность'!I45</f>
        <v>0</v>
      </c>
      <c r="J39" s="157">
        <f>'Балки - КС и ПБКЛ'!J46</f>
        <v>380</v>
      </c>
      <c r="K39" s="157">
        <f t="shared" ref="K39" si="4">I39*J39</f>
        <v>0</v>
      </c>
    </row>
    <row r="40" spans="1:11">
      <c r="A40" s="116"/>
      <c r="B40" s="117"/>
      <c r="C40" s="66"/>
      <c r="D40" s="1253" t="s">
        <v>145</v>
      </c>
      <c r="E40" s="1253"/>
      <c r="F40" s="118">
        <f>SUM(F36:F39)</f>
        <v>48000</v>
      </c>
      <c r="G40" s="119"/>
      <c r="H40" s="120"/>
      <c r="I40" s="1254" t="s">
        <v>146</v>
      </c>
      <c r="J40" s="1254"/>
      <c r="K40" s="118">
        <f>SUM(K36:K39)</f>
        <v>0</v>
      </c>
    </row>
    <row r="41" spans="1:11">
      <c r="A41" s="1233" t="s">
        <v>320</v>
      </c>
      <c r="B41" s="1233"/>
      <c r="C41" s="1233"/>
      <c r="D41" s="1233"/>
      <c r="E41" s="1233"/>
      <c r="F41" s="160"/>
      <c r="G41" s="1029"/>
      <c r="H41" s="120"/>
      <c r="I41" s="1052"/>
      <c r="J41" s="1048"/>
      <c r="K41" s="67"/>
    </row>
    <row r="42" spans="1:11">
      <c r="A42" s="74">
        <v>1</v>
      </c>
      <c r="B42" s="75" t="s">
        <v>147</v>
      </c>
      <c r="C42" s="38" t="s">
        <v>148</v>
      </c>
      <c r="D42" s="189">
        <f>'Балки - ест. влахность'!D48</f>
        <v>19.88</v>
      </c>
      <c r="E42" s="39">
        <f>'Балки - ест. влахность'!E48</f>
        <v>600</v>
      </c>
      <c r="F42" s="39">
        <f>D42*E42</f>
        <v>11928</v>
      </c>
      <c r="G42" s="155" t="s">
        <v>428</v>
      </c>
      <c r="H42" s="182" t="s">
        <v>63</v>
      </c>
      <c r="I42" s="421">
        <f>'Балки - ест. влахность'!I48</f>
        <v>0</v>
      </c>
      <c r="J42" s="210">
        <f>'Балки - ест. влахность'!J48</f>
        <v>17000</v>
      </c>
      <c r="K42" s="157">
        <f>I42*J42</f>
        <v>0</v>
      </c>
    </row>
    <row r="43" spans="1:11">
      <c r="A43" s="74"/>
      <c r="B43" s="75"/>
      <c r="C43" s="38"/>
      <c r="D43" s="189"/>
      <c r="E43" s="39"/>
      <c r="F43" s="39"/>
      <c r="G43" s="175" t="s">
        <v>87</v>
      </c>
      <c r="H43" s="176" t="s">
        <v>85</v>
      </c>
      <c r="I43" s="421">
        <f>'Балки - ест. влахность'!I49</f>
        <v>0</v>
      </c>
      <c r="J43" s="210">
        <f>'Балки - КС и ПБКЛ'!J50</f>
        <v>65</v>
      </c>
      <c r="K43" s="157">
        <f>I43*J43</f>
        <v>0</v>
      </c>
    </row>
    <row r="44" spans="1:11">
      <c r="A44" s="167"/>
      <c r="B44" s="177"/>
      <c r="C44" s="178"/>
      <c r="D44" s="179"/>
      <c r="E44" s="179"/>
      <c r="F44" s="388"/>
      <c r="G44" s="223" t="s">
        <v>141</v>
      </c>
      <c r="H44" s="182" t="s">
        <v>85</v>
      </c>
      <c r="I44" s="421">
        <f>'Балки - ест. влахность'!I50</f>
        <v>0</v>
      </c>
      <c r="J44" s="157">
        <f>'Балки - КС и ПБКЛ'!J51</f>
        <v>13</v>
      </c>
      <c r="K44" s="157">
        <f>I44*J44</f>
        <v>0</v>
      </c>
    </row>
    <row r="45" spans="1:11">
      <c r="A45" s="162" t="s">
        <v>152</v>
      </c>
      <c r="B45" s="403" t="s">
        <v>878</v>
      </c>
      <c r="C45" s="164" t="s">
        <v>148</v>
      </c>
      <c r="D45" s="103">
        <f>I42/0.06*3</f>
        <v>0</v>
      </c>
      <c r="E45" s="103">
        <f>data!E206</f>
        <v>45</v>
      </c>
      <c r="F45" s="389">
        <f>D45*E45</f>
        <v>0</v>
      </c>
      <c r="G45" s="223" t="s">
        <v>149</v>
      </c>
      <c r="H45" s="182" t="s">
        <v>144</v>
      </c>
      <c r="I45" s="584">
        <f>'Балки - ест. влахность'!I51</f>
        <v>0</v>
      </c>
      <c r="J45" s="157">
        <f>'Балки - КС и ПБКЛ'!J52</f>
        <v>380</v>
      </c>
      <c r="K45" s="157">
        <f t="shared" ref="K45" si="5">I45*J45</f>
        <v>0</v>
      </c>
    </row>
    <row r="46" spans="1:11">
      <c r="A46" s="116"/>
      <c r="B46" s="117"/>
      <c r="C46" s="66"/>
      <c r="D46" s="1253" t="s">
        <v>145</v>
      </c>
      <c r="E46" s="1253"/>
      <c r="F46" s="118">
        <f>SUM(F42:F45)</f>
        <v>11928</v>
      </c>
      <c r="G46" s="119"/>
      <c r="H46" s="120"/>
      <c r="I46" s="1254" t="s">
        <v>146</v>
      </c>
      <c r="J46" s="1254"/>
      <c r="K46" s="118">
        <f>SUM(K42:K45)</f>
        <v>0</v>
      </c>
    </row>
    <row r="47" spans="1:11">
      <c r="A47" s="1239" t="s">
        <v>195</v>
      </c>
      <c r="B47" s="1239"/>
      <c r="C47" s="120"/>
      <c r="D47" s="121"/>
      <c r="E47" s="121"/>
      <c r="F47" s="122"/>
      <c r="G47" s="119"/>
      <c r="H47" s="120"/>
      <c r="I47" s="123"/>
      <c r="J47" s="123"/>
      <c r="K47" s="122"/>
    </row>
    <row r="48" spans="1:11" ht="15" customHeight="1">
      <c r="A48" s="124" t="s">
        <v>134</v>
      </c>
      <c r="B48" s="125" t="s">
        <v>150</v>
      </c>
      <c r="C48" s="124" t="s">
        <v>63</v>
      </c>
      <c r="D48" s="124" t="e">
        <f>D13+I20+I24+I30+I36+I42</f>
        <v>#REF!</v>
      </c>
      <c r="E48" s="126" t="e">
        <f>#REF!</f>
        <v>#REF!</v>
      </c>
      <c r="F48" s="124" t="e">
        <f>D48*E48</f>
        <v>#REF!</v>
      </c>
      <c r="G48" s="127" t="s">
        <v>151</v>
      </c>
      <c r="H48" s="182" t="s">
        <v>138</v>
      </c>
      <c r="I48" s="421" t="e">
        <f>#REF!</f>
        <v>#REF!</v>
      </c>
      <c r="J48" s="109" t="e">
        <f>#REF!</f>
        <v>#REF!</v>
      </c>
      <c r="K48" s="124" t="e">
        <f t="shared" ref="K48:K53" si="6">I48*J48</f>
        <v>#REF!</v>
      </c>
    </row>
    <row r="49" spans="1:11">
      <c r="A49" s="124" t="s">
        <v>152</v>
      </c>
      <c r="B49" s="125" t="s">
        <v>153</v>
      </c>
      <c r="C49" s="124" t="s">
        <v>154</v>
      </c>
      <c r="D49" s="124">
        <f>data!I127</f>
        <v>1</v>
      </c>
      <c r="E49" s="126">
        <f>data!J127</f>
        <v>2000</v>
      </c>
      <c r="F49" s="124">
        <f>D49*E49</f>
        <v>2000</v>
      </c>
      <c r="G49" s="127"/>
      <c r="H49" s="124"/>
      <c r="I49" s="129"/>
      <c r="J49" s="129"/>
      <c r="K49" s="124"/>
    </row>
    <row r="50" spans="1:11">
      <c r="A50" s="124"/>
      <c r="B50" s="125"/>
      <c r="C50" s="124"/>
      <c r="D50" s="130"/>
      <c r="E50" s="131"/>
      <c r="F50" s="132"/>
      <c r="G50" s="128" t="s">
        <v>322</v>
      </c>
      <c r="H50" s="124" t="s">
        <v>155</v>
      </c>
      <c r="I50" s="133" t="e">
        <f>#REF!</f>
        <v>#REF!</v>
      </c>
      <c r="J50" s="133" t="e">
        <f>#REF!</f>
        <v>#REF!</v>
      </c>
      <c r="K50" s="124" t="e">
        <f t="shared" si="6"/>
        <v>#REF!</v>
      </c>
    </row>
    <row r="51" spans="1:11">
      <c r="A51" s="124"/>
      <c r="B51" s="125"/>
      <c r="C51" s="124"/>
      <c r="D51" s="130"/>
      <c r="E51" s="131"/>
      <c r="F51" s="132"/>
      <c r="G51" s="127" t="s">
        <v>197</v>
      </c>
      <c r="H51" s="124" t="s">
        <v>156</v>
      </c>
      <c r="I51" s="129" t="e">
        <f>#REF!</f>
        <v>#REF!</v>
      </c>
      <c r="J51" s="124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196</v>
      </c>
      <c r="H52" s="124" t="s">
        <v>156</v>
      </c>
      <c r="I52" s="133" t="e">
        <f>#REF!</f>
        <v>#REF!</v>
      </c>
      <c r="J52" s="133" t="e">
        <f>#REF!</f>
        <v>#REF!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0"/>
      <c r="F53" s="132"/>
      <c r="G53" s="125" t="s">
        <v>482</v>
      </c>
      <c r="H53" s="124" t="s">
        <v>155</v>
      </c>
      <c r="I53" s="133" t="e">
        <f>#REF!</f>
        <v>#REF!</v>
      </c>
      <c r="J53" s="133" t="e">
        <f>#REF!</f>
        <v>#REF!</v>
      </c>
      <c r="K53" s="124" t="e">
        <f t="shared" si="6"/>
        <v>#REF!</v>
      </c>
    </row>
    <row r="54" spans="1:11">
      <c r="A54" s="120"/>
      <c r="B54" s="119"/>
      <c r="C54" s="120"/>
      <c r="D54" s="1253" t="s">
        <v>145</v>
      </c>
      <c r="E54" s="1307"/>
      <c r="F54" s="118" t="e">
        <f>SUM(F48:F52)</f>
        <v>#REF!</v>
      </c>
      <c r="G54" s="119"/>
      <c r="H54" s="120"/>
      <c r="I54" s="1254" t="s">
        <v>157</v>
      </c>
      <c r="J54" s="1255"/>
      <c r="K54" s="118" t="e">
        <f>SUM(K48:K53)</f>
        <v>#REF!</v>
      </c>
    </row>
    <row r="55" spans="1:11">
      <c r="A55" s="120"/>
      <c r="B55" s="119"/>
      <c r="C55" s="120"/>
      <c r="D55" s="121"/>
      <c r="E55" s="121"/>
      <c r="F55" s="122"/>
      <c r="G55" s="119"/>
      <c r="H55" s="120"/>
      <c r="I55" s="123"/>
      <c r="J55" s="123"/>
      <c r="K55" s="122"/>
    </row>
    <row r="57" spans="1:11">
      <c r="C57" s="1204" t="s">
        <v>158</v>
      </c>
      <c r="D57" s="1204"/>
      <c r="E57" s="1204"/>
      <c r="F57" s="1204"/>
      <c r="G57" s="423" t="e">
        <f>F22+F28+F34+F54+F40+F46</f>
        <v>#REF!</v>
      </c>
    </row>
    <row r="58" spans="1:11">
      <c r="C58" s="1204" t="s">
        <v>159</v>
      </c>
      <c r="D58" s="1204"/>
      <c r="E58" s="1204"/>
      <c r="F58" s="1204"/>
      <c r="G58" s="423" t="e">
        <f>G57*0.03</f>
        <v>#REF!</v>
      </c>
    </row>
    <row r="59" spans="1:11">
      <c r="C59" s="1204" t="s">
        <v>160</v>
      </c>
      <c r="D59" s="1204"/>
      <c r="E59" s="1204"/>
      <c r="F59" s="1204"/>
      <c r="G59" s="423" t="e">
        <f>G57*0.16</f>
        <v>#REF!</v>
      </c>
    </row>
    <row r="60" spans="1:11">
      <c r="C60" s="1204" t="s">
        <v>20</v>
      </c>
      <c r="D60" s="1204"/>
      <c r="E60" s="1204"/>
      <c r="F60" s="1204"/>
      <c r="G60" s="423" t="e">
        <f>G57+G58+G59</f>
        <v>#REF!</v>
      </c>
    </row>
    <row r="61" spans="1:11">
      <c r="C61" s="1204" t="s">
        <v>161</v>
      </c>
      <c r="D61" s="1204"/>
      <c r="E61" s="1204"/>
      <c r="F61" s="1204"/>
      <c r="G61" s="423" t="e">
        <f>K22+K28+K34+K40+K46</f>
        <v>#REF!</v>
      </c>
    </row>
    <row r="62" spans="1:11">
      <c r="C62" s="1478" t="s">
        <v>863</v>
      </c>
      <c r="D62" s="1479"/>
      <c r="E62" s="1479"/>
      <c r="F62" s="1480"/>
      <c r="G62" s="751" t="e">
        <f>G61*0.035</f>
        <v>#REF!</v>
      </c>
    </row>
    <row r="63" spans="1:11">
      <c r="C63" s="1204" t="s">
        <v>162</v>
      </c>
      <c r="D63" s="1204"/>
      <c r="E63" s="1204"/>
      <c r="F63" s="1204"/>
      <c r="G63" s="423" t="e">
        <f>K54</f>
        <v>#REF!</v>
      </c>
    </row>
    <row r="64" spans="1:11">
      <c r="C64" s="1204" t="s">
        <v>20</v>
      </c>
      <c r="D64" s="1204"/>
      <c r="E64" s="1204"/>
      <c r="F64" s="1204"/>
      <c r="G64" s="423" t="e">
        <f>G61+G63+G62</f>
        <v>#REF!</v>
      </c>
    </row>
    <row r="65" spans="1:11 16384:16384">
      <c r="C65" s="1244" t="s">
        <v>163</v>
      </c>
      <c r="D65" s="1244"/>
      <c r="E65" s="1244"/>
      <c r="F65" s="1244"/>
      <c r="G65" s="424" t="e">
        <f>G60+G64</f>
        <v>#REF!</v>
      </c>
    </row>
    <row r="66" spans="1:11 16384:16384" ht="17" thickBot="1">
      <c r="C66" s="1245" t="s">
        <v>164</v>
      </c>
      <c r="D66" s="1245"/>
      <c r="E66" s="1245"/>
      <c r="F66" s="1245"/>
      <c r="G66" s="431" t="e">
        <f>G57*0.03</f>
        <v>#REF!</v>
      </c>
      <c r="I66" s="139"/>
      <c r="J66" s="140"/>
    </row>
    <row r="67" spans="1:11 16384:16384" ht="16" thickBot="1">
      <c r="C67" s="1246" t="s">
        <v>165</v>
      </c>
      <c r="D67" s="1247"/>
      <c r="E67" s="1247"/>
      <c r="F67" s="1248"/>
      <c r="G67" s="432" t="e">
        <f>G65+G66</f>
        <v>#REF!</v>
      </c>
      <c r="XFD67" s="36" t="e">
        <f>SUM(A67:XFC67)</f>
        <v>#REF!</v>
      </c>
    </row>
    <row r="68" spans="1:11 16384:16384">
      <c r="A68" s="141"/>
      <c r="B68" s="141"/>
      <c r="H68" s="141"/>
      <c r="I68" s="141"/>
      <c r="J68" s="141"/>
      <c r="K68" s="141"/>
    </row>
    <row r="69" spans="1:11 16384:16384">
      <c r="A69" s="141"/>
      <c r="B69" s="141"/>
      <c r="C69" s="141"/>
      <c r="D69" s="141"/>
      <c r="E69" s="141"/>
      <c r="F69" s="142"/>
      <c r="G69" s="143"/>
      <c r="H69" s="141"/>
      <c r="I69" s="141"/>
      <c r="J69" s="141"/>
      <c r="K69" s="141"/>
    </row>
    <row r="70" spans="1:11 16384:16384">
      <c r="A70" s="141"/>
      <c r="B70" s="141"/>
      <c r="C70" s="141"/>
      <c r="D70" s="141"/>
      <c r="E70" s="141"/>
      <c r="F70" s="142"/>
      <c r="G70" s="144"/>
      <c r="H70" s="141"/>
      <c r="I70" s="141"/>
      <c r="J70" s="141"/>
      <c r="K70" s="141"/>
    </row>
    <row r="71" spans="1:11 16384:16384" ht="14" customHeight="1">
      <c r="A71" s="141"/>
      <c r="B71" s="141"/>
      <c r="C71" s="141"/>
      <c r="D71" s="141"/>
      <c r="E71" s="141"/>
      <c r="F71" s="142"/>
      <c r="G71" s="145"/>
      <c r="H71" s="141"/>
      <c r="I71" s="141"/>
      <c r="J71" s="141"/>
      <c r="K71" s="141"/>
    </row>
    <row r="72" spans="1:11 16384:16384">
      <c r="C72" s="141"/>
      <c r="D72" s="141"/>
      <c r="E72" s="141"/>
      <c r="F72" s="142"/>
      <c r="G72" s="144"/>
    </row>
    <row r="73" spans="1:11 16384:16384">
      <c r="F73" s="146"/>
      <c r="G73" s="147"/>
    </row>
    <row r="74" spans="1:11 16384:16384">
      <c r="G74" s="148"/>
    </row>
    <row r="75" spans="1:11 16384:16384" ht="14" customHeight="1">
      <c r="G75" s="147"/>
    </row>
    <row r="76" spans="1:11 16384:16384">
      <c r="C76" s="149"/>
    </row>
    <row r="77" spans="1:11 16384:16384">
      <c r="C77" s="147"/>
    </row>
    <row r="78" spans="1:11 16384:16384">
      <c r="C78" s="149"/>
    </row>
    <row r="79" spans="1:11 16384:16384">
      <c r="C79" s="147"/>
    </row>
    <row r="80" spans="1:11 16384:16384">
      <c r="C80" s="149"/>
    </row>
    <row r="81" spans="1:7">
      <c r="C81" s="147"/>
    </row>
    <row r="82" spans="1:7" s="141" customFormat="1">
      <c r="A82"/>
      <c r="B82"/>
      <c r="C82" s="149"/>
      <c r="D82"/>
      <c r="E82"/>
      <c r="F82"/>
      <c r="G82"/>
    </row>
    <row r="83" spans="1:7" s="141" customFormat="1">
      <c r="A83"/>
      <c r="B83"/>
      <c r="C83" s="147"/>
      <c r="D83"/>
      <c r="E83"/>
      <c r="F83"/>
      <c r="G83"/>
    </row>
    <row r="84" spans="1:7" s="141" customFormat="1">
      <c r="A84"/>
      <c r="B84"/>
      <c r="C84" s="36"/>
      <c r="D84"/>
      <c r="E84"/>
      <c r="F84"/>
      <c r="G84"/>
    </row>
    <row r="85" spans="1:7" s="141" customFormat="1">
      <c r="A85"/>
      <c r="B85"/>
      <c r="C85"/>
      <c r="D85"/>
      <c r="E85"/>
      <c r="F85"/>
      <c r="G85"/>
    </row>
  </sheetData>
  <mergeCells count="43">
    <mergeCell ref="C64:F64"/>
    <mergeCell ref="C65:F65"/>
    <mergeCell ref="C66:F66"/>
    <mergeCell ref="C67:F67"/>
    <mergeCell ref="C57:F57"/>
    <mergeCell ref="C58:F58"/>
    <mergeCell ref="C59:F59"/>
    <mergeCell ref="C60:F60"/>
    <mergeCell ref="C61:F61"/>
    <mergeCell ref="C63:F63"/>
    <mergeCell ref="C62:F62"/>
    <mergeCell ref="A41:E41"/>
    <mergeCell ref="D46:E46"/>
    <mergeCell ref="I46:J46"/>
    <mergeCell ref="A47:B47"/>
    <mergeCell ref="D54:E54"/>
    <mergeCell ref="I54:J54"/>
    <mergeCell ref="A29:E29"/>
    <mergeCell ref="D34:E34"/>
    <mergeCell ref="I34:J34"/>
    <mergeCell ref="A35:E35"/>
    <mergeCell ref="D40:E40"/>
    <mergeCell ref="I40:J40"/>
    <mergeCell ref="A12:B12"/>
    <mergeCell ref="D22:E22"/>
    <mergeCell ref="I22:J22"/>
    <mergeCell ref="A23:D23"/>
    <mergeCell ref="D28:E28"/>
    <mergeCell ref="I28:J28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AABE-B7FA-44C9-903A-314144AE1481}">
  <dimension ref="A1:XFD176"/>
  <sheetViews>
    <sheetView topLeftCell="A46" zoomScale="90" zoomScaleNormal="90" workbookViewId="0">
      <selection activeCell="I64" sqref="I6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data!D231</f>
        <v>6000</v>
      </c>
      <c r="F13" s="746" t="e">
        <f>D13*E13</f>
        <v>#REF!</v>
      </c>
      <c r="G13" s="155" t="s">
        <v>937</v>
      </c>
      <c r="H13" s="847" t="s">
        <v>63</v>
      </c>
      <c r="I13" s="848" t="e">
        <f>#REF!</f>
        <v>#REF!</v>
      </c>
      <c r="J13" s="1067">
        <f>data!K214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921</v>
      </c>
      <c r="C15" s="38" t="s">
        <v>63</v>
      </c>
      <c r="D15" s="39" t="e">
        <f>#REF!</f>
        <v>#REF!</v>
      </c>
      <c r="E15" s="39">
        <f>data!E231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920</v>
      </c>
      <c r="H16" s="847" t="s">
        <v>136</v>
      </c>
      <c r="I16" s="848" t="e">
        <f>#REF!</f>
        <v>#REF!</v>
      </c>
      <c r="J16" s="849">
        <f>data!E215</f>
        <v>9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data!J214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data!I214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5:F65"/>
    <mergeCell ref="C66:F66"/>
    <mergeCell ref="C67:F67"/>
    <mergeCell ref="C68:F68"/>
    <mergeCell ref="C58:F58"/>
    <mergeCell ref="C59:F59"/>
    <mergeCell ref="C60:F60"/>
    <mergeCell ref="C61:F61"/>
    <mergeCell ref="C62:F62"/>
    <mergeCell ref="C64:F64"/>
    <mergeCell ref="C63:F63"/>
    <mergeCell ref="A42:E42"/>
    <mergeCell ref="D47:E47"/>
    <mergeCell ref="I47:J47"/>
    <mergeCell ref="A48:B48"/>
    <mergeCell ref="D55:E55"/>
    <mergeCell ref="I55:J55"/>
    <mergeCell ref="A30:E30"/>
    <mergeCell ref="D35:E35"/>
    <mergeCell ref="I35:J35"/>
    <mergeCell ref="A36:E36"/>
    <mergeCell ref="D41:E41"/>
    <mergeCell ref="I41:J41"/>
    <mergeCell ref="A12:B12"/>
    <mergeCell ref="D23:E23"/>
    <mergeCell ref="I23:J23"/>
    <mergeCell ref="A24:D24"/>
    <mergeCell ref="D29:E29"/>
    <mergeCell ref="I29:J29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  <mergeCell ref="A5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928E-5A2D-4164-B8C9-FD012196158E}">
  <dimension ref="A1:XFD176"/>
  <sheetViews>
    <sheetView topLeftCell="A40" zoomScale="90" zoomScaleNormal="90" workbookViewId="0">
      <selection activeCell="I61" sqref="I6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data!D232</f>
        <v>6000</v>
      </c>
      <c r="F13" s="746" t="e">
        <f>D13*E13</f>
        <v>#REF!</v>
      </c>
      <c r="G13" s="155" t="s">
        <v>940</v>
      </c>
      <c r="H13" s="847" t="s">
        <v>63</v>
      </c>
      <c r="I13" s="848" t="e">
        <f>#REF!</f>
        <v>#REF!</v>
      </c>
      <c r="J13" s="1067">
        <f>data!K215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922</v>
      </c>
      <c r="C15" s="38" t="s">
        <v>63</v>
      </c>
      <c r="D15" s="39" t="e">
        <f>#REF!</f>
        <v>#REF!</v>
      </c>
      <c r="E15" s="39">
        <f>data!E232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923</v>
      </c>
      <c r="H16" s="847" t="s">
        <v>136</v>
      </c>
      <c r="I16" s="904" t="e">
        <f>#REF!</f>
        <v>#REF!</v>
      </c>
      <c r="J16" s="849">
        <f>data!E216</f>
        <v>10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data!J215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data!I215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A4:B4"/>
    <mergeCell ref="D4:F4"/>
    <mergeCell ref="H4:K4"/>
    <mergeCell ref="A1:K1"/>
    <mergeCell ref="A2:K2"/>
    <mergeCell ref="A3:B3"/>
    <mergeCell ref="D3:F3"/>
    <mergeCell ref="H3:J3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30:E30"/>
    <mergeCell ref="D35:E35"/>
    <mergeCell ref="I35:J35"/>
    <mergeCell ref="A36:E36"/>
    <mergeCell ref="D41:E41"/>
    <mergeCell ref="I41:J41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C64:F64"/>
    <mergeCell ref="C65:F65"/>
    <mergeCell ref="C66:F66"/>
    <mergeCell ref="C67:F67"/>
    <mergeCell ref="C68:F6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B3C8-A394-4B7B-9AA8-E37EE9645A34}">
  <dimension ref="A1:XFD176"/>
  <sheetViews>
    <sheetView topLeftCell="A43" zoomScale="90" zoomScaleNormal="90" workbookViewId="0">
      <selection activeCell="I65" sqref="I65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data!D233</f>
        <v>6000</v>
      </c>
      <c r="F13" s="746" t="e">
        <f>D13*E13</f>
        <v>#REF!</v>
      </c>
      <c r="G13" s="155" t="s">
        <v>941</v>
      </c>
      <c r="H13" s="847" t="s">
        <v>63</v>
      </c>
      <c r="I13" s="848" t="e">
        <f>#REF!</f>
        <v>#REF!</v>
      </c>
      <c r="J13" s="1067">
        <f>data!K216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924</v>
      </c>
      <c r="C15" s="38" t="s">
        <v>63</v>
      </c>
      <c r="D15" s="39" t="e">
        <f>#REF!</f>
        <v>#REF!</v>
      </c>
      <c r="E15" s="39">
        <f>data!E233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data!E217</f>
        <v>10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data!J216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data!I216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A4:B4"/>
    <mergeCell ref="D4:F4"/>
    <mergeCell ref="H4:K4"/>
    <mergeCell ref="A1:K1"/>
    <mergeCell ref="A2:K2"/>
    <mergeCell ref="A3:B3"/>
    <mergeCell ref="D3:F3"/>
    <mergeCell ref="H3:J3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30:E30"/>
    <mergeCell ref="D35:E35"/>
    <mergeCell ref="I35:J35"/>
    <mergeCell ref="A36:E36"/>
    <mergeCell ref="D41:E41"/>
    <mergeCell ref="I41:J41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C64:F64"/>
    <mergeCell ref="C65:F65"/>
    <mergeCell ref="C66:F66"/>
    <mergeCell ref="C67:F67"/>
    <mergeCell ref="C68:F68"/>
  </mergeCells>
  <pageMargins left="0.7" right="0.7" top="0.75" bottom="0.75" header="0.3" footer="0.3"/>
  <pageSetup paperSize="9"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B85-0334-4C63-BA0C-C6D618591534}">
  <dimension ref="A1:XFD176"/>
  <sheetViews>
    <sheetView topLeftCell="A49" zoomScale="90" zoomScaleNormal="90" workbookViewId="0">
      <selection activeCell="G73" sqref="G7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data!D234</f>
        <v>6000</v>
      </c>
      <c r="F13" s="746" t="e">
        <f>D13*E13</f>
        <v>#REF!</v>
      </c>
      <c r="G13" s="155" t="s">
        <v>938</v>
      </c>
      <c r="H13" s="847" t="s">
        <v>63</v>
      </c>
      <c r="I13" s="848" t="e">
        <f>#REF!</f>
        <v>#REF!</v>
      </c>
      <c r="J13" s="1067">
        <f>data!K217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926</v>
      </c>
      <c r="C15" s="38" t="s">
        <v>63</v>
      </c>
      <c r="D15" s="39" t="e">
        <f>#REF!</f>
        <v>#REF!</v>
      </c>
      <c r="E15" s="39">
        <f>data!E234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925</v>
      </c>
      <c r="H16" s="847" t="s">
        <v>136</v>
      </c>
      <c r="I16" s="904" t="e">
        <f>#REF!</f>
        <v>#REF!</v>
      </c>
      <c r="J16" s="849">
        <f>data!E218</f>
        <v>11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data!J217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data!I217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590-9B84-4C40-9331-916D213A8998}">
  <dimension ref="A1:XFD176"/>
  <sheetViews>
    <sheetView topLeftCell="A49" zoomScale="90" zoomScaleNormal="90" workbookViewId="0">
      <selection activeCell="G76" sqref="G76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data!D235</f>
        <v>6000</v>
      </c>
      <c r="F13" s="746" t="e">
        <f>D13*E13</f>
        <v>#REF!</v>
      </c>
      <c r="G13" s="155" t="s">
        <v>939</v>
      </c>
      <c r="H13" s="847" t="s">
        <v>63</v>
      </c>
      <c r="I13" s="848" t="e">
        <f>#REF!</f>
        <v>#REF!</v>
      </c>
      <c r="J13" s="1067">
        <f>data!K218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928</v>
      </c>
      <c r="C15" s="38" t="s">
        <v>63</v>
      </c>
      <c r="D15" s="39" t="e">
        <f>#REF!</f>
        <v>#REF!</v>
      </c>
      <c r="E15" s="39">
        <f>data!E235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data!E219</f>
        <v>12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data!J218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data!I218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9E52-871B-477F-B39A-470DE649A0D0}">
  <dimension ref="A1:XFD176"/>
  <sheetViews>
    <sheetView topLeftCell="A31" zoomScale="90" zoomScaleNormal="90" workbookViewId="0">
      <selection activeCell="B59" sqref="B59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data!D236</f>
        <v>6000</v>
      </c>
      <c r="F13" s="746" t="e">
        <f>D13*E13</f>
        <v>#REF!</v>
      </c>
      <c r="G13" s="155" t="s">
        <v>942</v>
      </c>
      <c r="H13" s="847" t="s">
        <v>63</v>
      </c>
      <c r="I13" s="848" t="e">
        <f>#REF!</f>
        <v>#REF!</v>
      </c>
      <c r="J13" s="1067">
        <f>data!K219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929</v>
      </c>
      <c r="C15" s="38" t="s">
        <v>63</v>
      </c>
      <c r="D15" s="39" t="e">
        <f>#REF!</f>
        <v>#REF!</v>
      </c>
      <c r="E15" s="39">
        <f>data!E236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data!E220</f>
        <v>13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data!J219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data!I219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FD8-0F32-47F5-9582-D34BB2452413}">
  <dimension ref="A1:XFD176"/>
  <sheetViews>
    <sheetView topLeftCell="A46" zoomScale="90" zoomScaleNormal="90" workbookViewId="0">
      <selection activeCell="J68" sqref="J68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979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data!D237</f>
        <v>6000</v>
      </c>
      <c r="F13" s="746" t="e">
        <f>D13*E13</f>
        <v>#REF!</v>
      </c>
      <c r="G13" s="155" t="s">
        <v>943</v>
      </c>
      <c r="H13" s="847" t="s">
        <v>63</v>
      </c>
      <c r="I13" s="848" t="e">
        <f>#REF!</f>
        <v>#REF!</v>
      </c>
      <c r="J13" s="1067">
        <f>data!K220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930</v>
      </c>
      <c r="C15" s="38" t="s">
        <v>63</v>
      </c>
      <c r="D15" s="39" t="e">
        <f>#REF!</f>
        <v>#REF!</v>
      </c>
      <c r="E15" s="39">
        <f>data!E237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data!E221</f>
        <v>14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data!J220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data!I220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54D1-BBEA-4E76-BFEE-F20811FA6A09}">
  <dimension ref="A1:XFD176"/>
  <sheetViews>
    <sheetView zoomScale="90" zoomScaleNormal="90" workbookViewId="0">
      <selection activeCell="E16" sqref="E16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data!D238</f>
        <v>6000</v>
      </c>
      <c r="F13" s="746" t="e">
        <f>D13*E13</f>
        <v>#REF!</v>
      </c>
      <c r="G13" s="155" t="s">
        <v>944</v>
      </c>
      <c r="H13" s="847" t="s">
        <v>63</v>
      </c>
      <c r="I13" s="848" t="e">
        <f>#REF!</f>
        <v>#REF!</v>
      </c>
      <c r="J13" s="1067">
        <f>data!K221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931</v>
      </c>
      <c r="C15" s="38" t="s">
        <v>63</v>
      </c>
      <c r="D15" s="39" t="e">
        <f>#REF!</f>
        <v>#REF!</v>
      </c>
      <c r="E15" s="39">
        <f>data!E238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data!E222</f>
        <v>15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data!J221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data!I221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A4:B4"/>
    <mergeCell ref="D4:F4"/>
    <mergeCell ref="H4:K4"/>
    <mergeCell ref="A1:K1"/>
    <mergeCell ref="A2:K2"/>
    <mergeCell ref="A3:B3"/>
    <mergeCell ref="D3:F3"/>
    <mergeCell ref="H3:J3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30:E30"/>
    <mergeCell ref="D35:E35"/>
    <mergeCell ref="I35:J35"/>
    <mergeCell ref="A36:E36"/>
    <mergeCell ref="D41:E41"/>
    <mergeCell ref="I41:J41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C64:F64"/>
    <mergeCell ref="C65:F65"/>
    <mergeCell ref="C66:F66"/>
    <mergeCell ref="C67:F67"/>
    <mergeCell ref="C68:F6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096B-62CA-47E2-9A9E-2022BF6B9212}">
  <dimension ref="A1:XFD176"/>
  <sheetViews>
    <sheetView topLeftCell="A49" zoomScale="90" zoomScaleNormal="90" workbookViewId="0">
      <selection activeCell="B68" sqref="B68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data!D239</f>
        <v>6000</v>
      </c>
      <c r="F13" s="746" t="e">
        <f>D13*E13</f>
        <v>#REF!</v>
      </c>
      <c r="G13" s="155" t="s">
        <v>945</v>
      </c>
      <c r="H13" s="847" t="s">
        <v>63</v>
      </c>
      <c r="I13" s="848" t="e">
        <f>#REF!</f>
        <v>#REF!</v>
      </c>
      <c r="J13" s="1067">
        <f>data!K222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932</v>
      </c>
      <c r="C15" s="38" t="s">
        <v>63</v>
      </c>
      <c r="D15" s="39" t="e">
        <f>#REF!</f>
        <v>#REF!</v>
      </c>
      <c r="E15" s="39">
        <f>data!E239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data!E223</f>
        <v>16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data!J222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data!I222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A4:B4"/>
    <mergeCell ref="D4:F4"/>
    <mergeCell ref="H4:K4"/>
    <mergeCell ref="A1:K1"/>
    <mergeCell ref="A2:K2"/>
    <mergeCell ref="A3:B3"/>
    <mergeCell ref="D3:F3"/>
    <mergeCell ref="H3:J3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30:E30"/>
    <mergeCell ref="D35:E35"/>
    <mergeCell ref="I35:J35"/>
    <mergeCell ref="A36:E36"/>
    <mergeCell ref="D41:E41"/>
    <mergeCell ref="I41:J41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C64:F64"/>
    <mergeCell ref="C65:F65"/>
    <mergeCell ref="C66:F66"/>
    <mergeCell ref="C67:F67"/>
    <mergeCell ref="C68:F6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A94D-7176-4012-AE11-A47C3F24CE4A}">
  <dimension ref="A1:XFD176"/>
  <sheetViews>
    <sheetView zoomScale="90" zoomScaleNormal="90" workbookViewId="0">
      <selection activeCell="B67" sqref="B6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data!D240</f>
        <v>6000</v>
      </c>
      <c r="F13" s="746" t="e">
        <f>D13*E13</f>
        <v>#REF!</v>
      </c>
      <c r="G13" s="155" t="s">
        <v>946</v>
      </c>
      <c r="H13" s="847" t="s">
        <v>63</v>
      </c>
      <c r="I13" s="848" t="e">
        <f>#REF!</f>
        <v>#REF!</v>
      </c>
      <c r="J13" s="1067">
        <f>data!K223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933</v>
      </c>
      <c r="C15" s="38" t="s">
        <v>63</v>
      </c>
      <c r="D15" s="39" t="e">
        <f>#REF!</f>
        <v>#REF!</v>
      </c>
      <c r="E15" s="39">
        <f>data!E240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data!E224</f>
        <v>17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data!J223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data!I223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A4:B4"/>
    <mergeCell ref="D4:F4"/>
    <mergeCell ref="H4:K4"/>
    <mergeCell ref="A1:K1"/>
    <mergeCell ref="A2:K2"/>
    <mergeCell ref="A3:B3"/>
    <mergeCell ref="D3:F3"/>
    <mergeCell ref="H3:J3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30:E30"/>
    <mergeCell ref="D35:E35"/>
    <mergeCell ref="I35:J35"/>
    <mergeCell ref="A36:E36"/>
    <mergeCell ref="D41:E41"/>
    <mergeCell ref="I41:J41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C64:F64"/>
    <mergeCell ref="C65:F65"/>
    <mergeCell ref="C66:F66"/>
    <mergeCell ref="C67:F67"/>
    <mergeCell ref="C68:F6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5A80-4DB5-447A-AE75-DCB44E1F2F85}">
  <dimension ref="A1:XFD176"/>
  <sheetViews>
    <sheetView topLeftCell="A40" zoomScale="90" zoomScaleNormal="90" workbookViewId="0">
      <selection activeCell="J58" sqref="J58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data!D241</f>
        <v>6000</v>
      </c>
      <c r="F13" s="746" t="e">
        <f>D13*E13</f>
        <v>#REF!</v>
      </c>
      <c r="G13" s="155" t="s">
        <v>947</v>
      </c>
      <c r="H13" s="847" t="s">
        <v>63</v>
      </c>
      <c r="I13" s="848" t="e">
        <f>#REF!</f>
        <v>#REF!</v>
      </c>
      <c r="J13" s="1067">
        <f>data!K224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934</v>
      </c>
      <c r="C15" s="38" t="s">
        <v>63</v>
      </c>
      <c r="D15" s="39" t="e">
        <f>#REF!</f>
        <v>#REF!</v>
      </c>
      <c r="E15" s="39">
        <f>data!E241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data!E225</f>
        <v>18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data!J224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data!I224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AEA3-2853-42C1-94AB-F5D7011F4AF1}">
  <dimension ref="A1:XFD176"/>
  <sheetViews>
    <sheetView topLeftCell="A43" zoomScale="90" zoomScaleNormal="90" workbookViewId="0">
      <selection activeCell="J67" sqref="J6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data!D242</f>
        <v>6000</v>
      </c>
      <c r="F13" s="746" t="e">
        <f>D13*E13</f>
        <v>#REF!</v>
      </c>
      <c r="G13" s="155" t="s">
        <v>948</v>
      </c>
      <c r="H13" s="847" t="s">
        <v>63</v>
      </c>
      <c r="I13" s="848" t="e">
        <f>#REF!</f>
        <v>#REF!</v>
      </c>
      <c r="J13" s="1067">
        <f>data!K225</f>
        <v>8000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935</v>
      </c>
      <c r="C15" s="38" t="s">
        <v>63</v>
      </c>
      <c r="D15" s="39" t="e">
        <f>#REF!</f>
        <v>#REF!</v>
      </c>
      <c r="E15" s="39">
        <f>data!E242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data!E226</f>
        <v>19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data!J225</f>
        <v>70000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data!I225</f>
        <v>80000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FA90-D7D9-4787-BCD0-E76B8BC60ADF}">
  <dimension ref="A1:XFD176"/>
  <sheetViews>
    <sheetView topLeftCell="A43" zoomScale="90" zoomScaleNormal="90" workbookViewId="0">
      <selection activeCell="C14" sqref="C1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data!D245</f>
        <v>6000</v>
      </c>
      <c r="F13" s="746" t="e">
        <f>D13*E13</f>
        <v>#REF!</v>
      </c>
      <c r="G13" s="155" t="s">
        <v>936</v>
      </c>
      <c r="H13" s="847" t="s">
        <v>63</v>
      </c>
      <c r="I13" s="848" t="e">
        <f>#REF!</f>
        <v>#REF!</v>
      </c>
      <c r="J13" s="1067">
        <f>data!K227</f>
        <v>23000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922</v>
      </c>
      <c r="C15" s="38" t="s">
        <v>63</v>
      </c>
      <c r="D15" s="39" t="e">
        <f>#REF!</f>
        <v>#REF!</v>
      </c>
      <c r="E15" s="39">
        <f>data!E245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data!E216</f>
        <v>10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data!J227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data!I227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6750-BCA1-4605-8F96-E1B41768C157}">
  <dimension ref="A1:XFD176"/>
  <sheetViews>
    <sheetView topLeftCell="A43" zoomScale="90" zoomScaleNormal="90" workbookViewId="0">
      <selection activeCell="B63" sqref="B6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data!D246</f>
        <v>6000</v>
      </c>
      <c r="F13" s="746" t="e">
        <f>D13*E13</f>
        <v>#REF!</v>
      </c>
      <c r="G13" s="155" t="s">
        <v>949</v>
      </c>
      <c r="H13" s="847" t="s">
        <v>63</v>
      </c>
      <c r="I13" s="848" t="e">
        <f>#REF!</f>
        <v>#REF!</v>
      </c>
      <c r="J13" s="1067">
        <f>data!K228</f>
        <v>23000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924</v>
      </c>
      <c r="C15" s="38" t="s">
        <v>63</v>
      </c>
      <c r="D15" s="39" t="e">
        <f>#REF!</f>
        <v>#REF!</v>
      </c>
      <c r="E15" s="39">
        <f>data!E246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data!E217</f>
        <v>10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data!J228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data!I228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2183-F644-4B45-8144-43C38F870863}">
  <dimension ref="A1:XFD176"/>
  <sheetViews>
    <sheetView topLeftCell="A43" zoomScale="90" zoomScaleNormal="90" workbookViewId="0">
      <selection activeCell="G56" sqref="G56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data!D247</f>
        <v>6000</v>
      </c>
      <c r="F13" s="746" t="e">
        <f>D13*E13</f>
        <v>#REF!</v>
      </c>
      <c r="G13" s="155" t="s">
        <v>950</v>
      </c>
      <c r="H13" s="847" t="s">
        <v>63</v>
      </c>
      <c r="I13" s="848" t="e">
        <f>#REF!</f>
        <v>#REF!</v>
      </c>
      <c r="J13" s="1067">
        <f>data!K229</f>
        <v>23000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926</v>
      </c>
      <c r="C15" s="38" t="s">
        <v>63</v>
      </c>
      <c r="D15" s="39" t="e">
        <f>#REF!</f>
        <v>#REF!</v>
      </c>
      <c r="E15" s="39">
        <f>data!E247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data!E218</f>
        <v>11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data!J229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data!I229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  <pageSetup paperSize="9" orientation="portrait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94D6-97F8-4110-B7CD-FA0A30F8C431}">
  <dimension ref="A1:XFD176"/>
  <sheetViews>
    <sheetView topLeftCell="A40" zoomScale="90" zoomScaleNormal="90" workbookViewId="0">
      <selection activeCell="D15" sqref="D15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data!D248</f>
        <v>6000</v>
      </c>
      <c r="F13" s="746" t="e">
        <f>D13*E13</f>
        <v>#REF!</v>
      </c>
      <c r="G13" s="155" t="s">
        <v>951</v>
      </c>
      <c r="H13" s="847" t="s">
        <v>63</v>
      </c>
      <c r="I13" s="848" t="e">
        <f>#REF!</f>
        <v>#REF!</v>
      </c>
      <c r="J13" s="1067">
        <f>data!K230</f>
        <v>23500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928</v>
      </c>
      <c r="C15" s="38" t="s">
        <v>63</v>
      </c>
      <c r="D15" s="39" t="e">
        <f>#REF!</f>
        <v>#REF!</v>
      </c>
      <c r="E15" s="39">
        <f>data!E248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data!E219</f>
        <v>12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data!J230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data!I230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D059-B565-452A-B994-35D3E4127556}">
  <dimension ref="A1:XFD176"/>
  <sheetViews>
    <sheetView topLeftCell="A46" zoomScale="90" zoomScaleNormal="90" workbookViewId="0">
      <selection activeCell="B9" sqref="B9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data!D249</f>
        <v>6000</v>
      </c>
      <c r="F13" s="746" t="e">
        <f>D13*E13</f>
        <v>#REF!</v>
      </c>
      <c r="G13" s="155" t="s">
        <v>952</v>
      </c>
      <c r="H13" s="847" t="s">
        <v>63</v>
      </c>
      <c r="I13" s="848" t="e">
        <f>#REF!</f>
        <v>#REF!</v>
      </c>
      <c r="J13" s="1067">
        <f>data!K231</f>
        <v>23500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929</v>
      </c>
      <c r="C15" s="38" t="s">
        <v>63</v>
      </c>
      <c r="D15" s="39" t="e">
        <f>#REF!</f>
        <v>#REF!</v>
      </c>
      <c r="E15" s="39">
        <f>data!E249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data!E220</f>
        <v>13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data!J231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data!I231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D189-824E-4EF8-A96F-797A1D4CE0ED}">
  <dimension ref="A1:XFD176"/>
  <sheetViews>
    <sheetView zoomScale="90" zoomScaleNormal="90" workbookViewId="0">
      <selection activeCell="B10" sqref="B10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data!D250</f>
        <v>6000</v>
      </c>
      <c r="F13" s="746" t="e">
        <f>D13*E13</f>
        <v>#REF!</v>
      </c>
      <c r="G13" s="155" t="s">
        <v>953</v>
      </c>
      <c r="H13" s="847" t="s">
        <v>63</v>
      </c>
      <c r="I13" s="848" t="e">
        <f>#REF!</f>
        <v>#REF!</v>
      </c>
      <c r="J13" s="1067">
        <f>data!K232</f>
        <v>24000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930</v>
      </c>
      <c r="C15" s="38" t="s">
        <v>63</v>
      </c>
      <c r="D15" s="39" t="e">
        <f>#REF!</f>
        <v>#REF!</v>
      </c>
      <c r="E15" s="39">
        <f>data!E250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data!E221</f>
        <v>14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data!J232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data!I232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CCE-BA4D-468A-8D95-0F21FB1E7F56}">
  <dimension ref="A1:XFD176"/>
  <sheetViews>
    <sheetView zoomScale="90" zoomScaleNormal="90" workbookViewId="0">
      <selection activeCell="B63" sqref="B6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data!D251</f>
        <v>6000</v>
      </c>
      <c r="F13" s="746" t="e">
        <f>D13*E13</f>
        <v>#REF!</v>
      </c>
      <c r="G13" s="155" t="s">
        <v>954</v>
      </c>
      <c r="H13" s="847" t="s">
        <v>63</v>
      </c>
      <c r="I13" s="848" t="e">
        <f>#REF!</f>
        <v>#REF!</v>
      </c>
      <c r="J13" s="1067">
        <f>data!K233</f>
        <v>24000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931</v>
      </c>
      <c r="C15" s="38" t="s">
        <v>63</v>
      </c>
      <c r="D15" s="39" t="e">
        <f>#REF!</f>
        <v>#REF!</v>
      </c>
      <c r="E15" s="39">
        <f>data!E251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data!E222</f>
        <v>15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data!J233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data!I233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06D-2C49-481A-B66F-951A142F6DD6}">
  <dimension ref="A1:XFD176"/>
  <sheetViews>
    <sheetView zoomScale="90" zoomScaleNormal="90" workbookViewId="0">
      <selection activeCell="A4" sqref="A4:B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data!D252</f>
        <v>6000</v>
      </c>
      <c r="F13" s="746" t="e">
        <f>D13*E13</f>
        <v>#REF!</v>
      </c>
      <c r="G13" s="155" t="s">
        <v>955</v>
      </c>
      <c r="H13" s="847" t="s">
        <v>63</v>
      </c>
      <c r="I13" s="848" t="e">
        <f>#REF!</f>
        <v>#REF!</v>
      </c>
      <c r="J13" s="1067">
        <f>data!K234</f>
        <v>24000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932</v>
      </c>
      <c r="C15" s="38" t="s">
        <v>63</v>
      </c>
      <c r="D15" s="39" t="e">
        <f>#REF!</f>
        <v>#REF!</v>
      </c>
      <c r="E15" s="39">
        <f>data!E252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data!E223</f>
        <v>16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data!J234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data!I234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E06-CF5A-4F28-AC4E-1706522424CD}">
  <dimension ref="A1:XFD176"/>
  <sheetViews>
    <sheetView topLeftCell="A46" zoomScale="90" zoomScaleNormal="90" workbookViewId="0">
      <selection activeCell="A5" sqref="A5:B5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data!D253</f>
        <v>6000</v>
      </c>
      <c r="F13" s="746" t="e">
        <f>D13*E13</f>
        <v>#REF!</v>
      </c>
      <c r="G13" s="155" t="s">
        <v>956</v>
      </c>
      <c r="H13" s="847" t="s">
        <v>63</v>
      </c>
      <c r="I13" s="848" t="e">
        <f>#REF!</f>
        <v>#REF!</v>
      </c>
      <c r="J13" s="1067">
        <f>data!K235</f>
        <v>24000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933</v>
      </c>
      <c r="C15" s="38" t="s">
        <v>63</v>
      </c>
      <c r="D15" s="39" t="e">
        <f>#REF!</f>
        <v>#REF!</v>
      </c>
      <c r="E15" s="39">
        <f>data!E253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data!E224</f>
        <v>17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data!J235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data!I235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A14C-17F7-4218-A51A-59797C792062}">
  <dimension ref="A1:XFD176"/>
  <sheetViews>
    <sheetView zoomScale="90" zoomScaleNormal="90" workbookViewId="0">
      <selection activeCell="E74" sqref="E7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59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70"/>
      <c r="I12" s="71"/>
      <c r="J12" s="72"/>
      <c r="K12" s="73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data!D254</f>
        <v>6000</v>
      </c>
      <c r="F13" s="746" t="e">
        <f>D13*E13</f>
        <v>#REF!</v>
      </c>
      <c r="G13" s="155" t="s">
        <v>957</v>
      </c>
      <c r="H13" s="919" t="s">
        <v>63</v>
      </c>
      <c r="I13" s="917" t="e">
        <f>#REF!</f>
        <v>#REF!</v>
      </c>
      <c r="J13" s="920">
        <f>data!K236</f>
        <v>24000</v>
      </c>
      <c r="K13" s="921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934</v>
      </c>
      <c r="C15" s="38" t="s">
        <v>63</v>
      </c>
      <c r="D15" s="39" t="e">
        <f>#REF!</f>
        <v>#REF!</v>
      </c>
      <c r="E15" s="39">
        <f>data!E254</f>
        <v>5000</v>
      </c>
      <c r="F15" s="40" t="e">
        <f>D15*E15</f>
        <v>#REF!</v>
      </c>
      <c r="G15" s="155"/>
      <c r="H15" s="182"/>
      <c r="I15" s="77"/>
      <c r="J15" s="78"/>
      <c r="K15" s="79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33" t="e">
        <f>#REF!</f>
        <v>#REF!</v>
      </c>
      <c r="J16" s="918">
        <f>data!E225</f>
        <v>18</v>
      </c>
      <c r="K16" s="862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193" t="e">
        <f>#REF!</f>
        <v>#REF!</v>
      </c>
      <c r="J17" s="194">
        <f>data!D121</f>
        <v>60</v>
      </c>
      <c r="K17" s="79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154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154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154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89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204">
        <f>'Балки - ест. влахность'!I29</f>
        <v>1.92</v>
      </c>
      <c r="J25" s="92">
        <f>'Балки - ест. влахность'!J29</f>
        <v>17000</v>
      </c>
      <c r="K25" s="93">
        <f>I25*J25</f>
        <v>32640</v>
      </c>
    </row>
    <row r="26" spans="1:11">
      <c r="A26" s="80"/>
      <c r="B26" s="37"/>
      <c r="C26" s="43"/>
      <c r="D26" s="89"/>
      <c r="E26" s="44"/>
      <c r="F26" s="44"/>
      <c r="G26" s="94" t="s">
        <v>87</v>
      </c>
      <c r="H26" s="95" t="s">
        <v>85</v>
      </c>
      <c r="I26" s="205">
        <f>'Балки - ест. влахность'!I30</f>
        <v>64</v>
      </c>
      <c r="J26" s="92">
        <f>'Балки - КС и ПБКЛ'!J30</f>
        <v>65</v>
      </c>
      <c r="K26" s="93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204">
        <f>'Балки - ест. влахность'!I31</f>
        <v>256</v>
      </c>
      <c r="J27" s="93">
        <f>'Балки - КС и ПБКЛ'!J31</f>
        <v>13</v>
      </c>
      <c r="K27" s="93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206">
        <f>'Балки - ест. влахность'!I32</f>
        <v>3.240506329113924</v>
      </c>
      <c r="J28" s="105">
        <f>'Балки - КС и ПБКЛ'!J32</f>
        <v>380</v>
      </c>
      <c r="K28" s="93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68"/>
      <c r="H30" s="169"/>
      <c r="I30" s="170"/>
      <c r="J30" s="72"/>
      <c r="K30" s="73"/>
    </row>
    <row r="31" spans="1:11">
      <c r="A31" s="74">
        <v>1</v>
      </c>
      <c r="B31" s="75" t="s">
        <v>147</v>
      </c>
      <c r="C31" s="38" t="s">
        <v>148</v>
      </c>
      <c r="D31" s="171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77">
        <f>'Балки - ест. влахность'!I36</f>
        <v>0.77999999999999992</v>
      </c>
      <c r="J31" s="78">
        <f>'Балки - ест. влахность'!J36</f>
        <v>17000</v>
      </c>
      <c r="K31" s="79">
        <f>I31*J31</f>
        <v>13259.999999999998</v>
      </c>
    </row>
    <row r="32" spans="1:11">
      <c r="A32" s="74"/>
      <c r="B32" s="75"/>
      <c r="C32" s="38"/>
      <c r="D32" s="171"/>
      <c r="E32" s="39"/>
      <c r="F32" s="39"/>
      <c r="G32" s="175" t="s">
        <v>87</v>
      </c>
      <c r="H32" s="176" t="s">
        <v>85</v>
      </c>
      <c r="I32" s="77">
        <f>'Балки - ест. влахность'!I37</f>
        <v>54</v>
      </c>
      <c r="J32" s="78">
        <f>'Балки - КС и ПБКЛ'!J38</f>
        <v>65</v>
      </c>
      <c r="K32" s="79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77">
        <f>'Балки - ест. влахность'!I38</f>
        <v>216</v>
      </c>
      <c r="J33" s="79">
        <f>'Балки - КС и ПБКЛ'!J39</f>
        <v>13</v>
      </c>
      <c r="K33" s="79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213">
        <f>'Балки - ест. влахность'!I39</f>
        <v>2.7341772151898733</v>
      </c>
      <c r="J34" s="165">
        <f>'Балки - КС и ПБКЛ'!J40</f>
        <v>380</v>
      </c>
      <c r="K34" s="166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68"/>
      <c r="H36" s="169"/>
      <c r="I36" s="170"/>
      <c r="J36" s="72"/>
      <c r="K36" s="73"/>
    </row>
    <row r="37" spans="1:11">
      <c r="A37" s="74">
        <v>1</v>
      </c>
      <c r="B37" s="75" t="s">
        <v>147</v>
      </c>
      <c r="C37" s="38" t="s">
        <v>148</v>
      </c>
      <c r="D37" s="171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77">
        <f>'Балки - ест. влахность'!I42</f>
        <v>0</v>
      </c>
      <c r="J37" s="78">
        <f>'Балки - ест. влахность'!J42</f>
        <v>17000</v>
      </c>
      <c r="K37" s="79">
        <f>I37*J37</f>
        <v>0</v>
      </c>
    </row>
    <row r="38" spans="1:11">
      <c r="A38" s="74"/>
      <c r="B38" s="75"/>
      <c r="C38" s="38"/>
      <c r="D38" s="171"/>
      <c r="E38" s="39"/>
      <c r="F38" s="39"/>
      <c r="G38" s="175" t="s">
        <v>87</v>
      </c>
      <c r="H38" s="176" t="s">
        <v>85</v>
      </c>
      <c r="I38" s="77">
        <f>'Балки - ест. влахность'!I43</f>
        <v>0</v>
      </c>
      <c r="J38" s="78">
        <f>'Балки - КС и ПБКЛ'!J44</f>
        <v>65</v>
      </c>
      <c r="K38" s="79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77">
        <f>'Балки - ест. влахность'!I44</f>
        <v>0</v>
      </c>
      <c r="J39" s="79">
        <f>'Балки - КС и ПБКЛ'!J45</f>
        <v>13</v>
      </c>
      <c r="K39" s="79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358">
        <f>'Балки - ест. влахность'!I45</f>
        <v>0</v>
      </c>
      <c r="J40" s="79">
        <f>'Балки - КС и ПБКЛ'!J46</f>
        <v>380</v>
      </c>
      <c r="K40" s="79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68"/>
      <c r="H42" s="169"/>
      <c r="I42" s="170"/>
      <c r="J42" s="72"/>
      <c r="K42" s="73"/>
    </row>
    <row r="43" spans="1:11">
      <c r="A43" s="74">
        <v>1</v>
      </c>
      <c r="B43" s="75" t="s">
        <v>147</v>
      </c>
      <c r="C43" s="38" t="s">
        <v>148</v>
      </c>
      <c r="D43" s="171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77">
        <f>'Балки - ест. влахность'!I48</f>
        <v>0</v>
      </c>
      <c r="J43" s="78">
        <f>'Балки - ест. влахность'!J48</f>
        <v>17000</v>
      </c>
      <c r="K43" s="79">
        <f>I43*J43</f>
        <v>0</v>
      </c>
    </row>
    <row r="44" spans="1:11">
      <c r="A44" s="74"/>
      <c r="B44" s="75"/>
      <c r="C44" s="38"/>
      <c r="D44" s="171"/>
      <c r="E44" s="39"/>
      <c r="F44" s="39"/>
      <c r="G44" s="175" t="s">
        <v>87</v>
      </c>
      <c r="H44" s="176" t="s">
        <v>85</v>
      </c>
      <c r="I44" s="77">
        <f>'Балки - ест. влахность'!I49</f>
        <v>0</v>
      </c>
      <c r="J44" s="78">
        <f>'Балки - КС и ПБКЛ'!J50</f>
        <v>65</v>
      </c>
      <c r="K44" s="79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77">
        <f>'Балки - ест. влахность'!I50</f>
        <v>0</v>
      </c>
      <c r="J45" s="79">
        <f>'Балки - КС и ПБКЛ'!J51</f>
        <v>13</v>
      </c>
      <c r="K45" s="79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358">
        <f>'Балки - ест. влахность'!I51</f>
        <v>0</v>
      </c>
      <c r="J46" s="79">
        <f>'Балки - КС и ПБКЛ'!J52</f>
        <v>380</v>
      </c>
      <c r="K46" s="79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data!J236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data!I236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9B67-27C7-47CE-961F-5D17541BFA65}">
  <dimension ref="A1:XFD176"/>
  <sheetViews>
    <sheetView zoomScale="90" zoomScaleNormal="90" workbookViewId="0">
      <selection activeCell="A4" sqref="A4:B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data!D255</f>
        <v>6000</v>
      </c>
      <c r="F13" s="746" t="e">
        <f>D13*E13</f>
        <v>#REF!</v>
      </c>
      <c r="G13" s="155" t="s">
        <v>958</v>
      </c>
      <c r="H13" s="847" t="s">
        <v>63</v>
      </c>
      <c r="I13" s="848" t="e">
        <f>#REF!</f>
        <v>#REF!</v>
      </c>
      <c r="J13" s="1067">
        <f>data!K237</f>
        <v>24000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935</v>
      </c>
      <c r="C15" s="38" t="s">
        <v>63</v>
      </c>
      <c r="D15" s="39" t="e">
        <f>#REF!</f>
        <v>#REF!</v>
      </c>
      <c r="E15" s="39">
        <f>data!E255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data!E226</f>
        <v>19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data!J237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data!I237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E5CE-8AE1-4D23-A275-AB3366D0CC60}">
  <dimension ref="A1:XFD176"/>
  <sheetViews>
    <sheetView zoomScale="90" zoomScaleNormal="90" workbookViewId="0">
      <selection activeCell="A3" sqref="A3:B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data!D258</f>
        <v>6000</v>
      </c>
      <c r="F13" s="746" t="e">
        <f>D13*E13</f>
        <v>#REF!</v>
      </c>
      <c r="G13" s="155" t="s">
        <v>959</v>
      </c>
      <c r="H13" s="847" t="s">
        <v>63</v>
      </c>
      <c r="I13" s="848" t="e">
        <f>#REF!</f>
        <v>#REF!</v>
      </c>
      <c r="J13" s="1067">
        <f>data!K239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922</v>
      </c>
      <c r="C15" s="38" t="s">
        <v>63</v>
      </c>
      <c r="D15" s="39" t="e">
        <f>#REF!</f>
        <v>#REF!</v>
      </c>
      <c r="E15" s="39">
        <f>data!E258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data!E216</f>
        <v>10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data!J239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data!I239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C017-3FC8-4629-AAFD-0A473B85D7B1}">
  <dimension ref="A1:XFD176"/>
  <sheetViews>
    <sheetView zoomScale="90" zoomScaleNormal="90" workbookViewId="0">
      <selection activeCell="A4" sqref="A4:B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data!D259</f>
        <v>6000</v>
      </c>
      <c r="F13" s="746" t="e">
        <f>D13*E13</f>
        <v>#REF!</v>
      </c>
      <c r="G13" s="155" t="s">
        <v>960</v>
      </c>
      <c r="H13" s="847" t="s">
        <v>63</v>
      </c>
      <c r="I13" s="848" t="e">
        <f>#REF!</f>
        <v>#REF!</v>
      </c>
      <c r="J13" s="1067">
        <f>data!K240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924</v>
      </c>
      <c r="C15" s="38" t="s">
        <v>63</v>
      </c>
      <c r="D15" s="39" t="e">
        <f>#REF!</f>
        <v>#REF!</v>
      </c>
      <c r="E15" s="39">
        <f>data!E259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data!E217</f>
        <v>10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data!J240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data!I240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4065-A019-4A55-BFEC-22B6CE2B4B1E}">
  <dimension ref="A1:XFD176"/>
  <sheetViews>
    <sheetView zoomScale="90" zoomScaleNormal="90" workbookViewId="0">
      <selection activeCell="A3" sqref="A3:B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data!D260</f>
        <v>6000</v>
      </c>
      <c r="F13" s="746" t="e">
        <f>D13*E13</f>
        <v>#REF!</v>
      </c>
      <c r="G13" s="155" t="s">
        <v>959</v>
      </c>
      <c r="H13" s="847" t="s">
        <v>63</v>
      </c>
      <c r="I13" s="848" t="e">
        <f>#REF!</f>
        <v>#REF!</v>
      </c>
      <c r="J13" s="1067">
        <f>data!K241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922</v>
      </c>
      <c r="C15" s="38" t="s">
        <v>63</v>
      </c>
      <c r="D15" s="39" t="e">
        <f>#REF!</f>
        <v>#REF!</v>
      </c>
      <c r="E15" s="39">
        <f>data!E260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data!E218</f>
        <v>11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data!J241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data!I241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BD4B-0940-4B94-A9F9-C5764ED98CAA}">
  <dimension ref="A1:XFD176"/>
  <sheetViews>
    <sheetView zoomScale="90" zoomScaleNormal="90" workbookViewId="0">
      <selection activeCell="B58" sqref="B58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59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70"/>
      <c r="I12" s="71"/>
      <c r="J12" s="72"/>
      <c r="K12" s="73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data!D261</f>
        <v>6000</v>
      </c>
      <c r="F13" s="746" t="e">
        <f>D13*E13</f>
        <v>#REF!</v>
      </c>
      <c r="G13" s="155" t="s">
        <v>961</v>
      </c>
      <c r="H13" s="919" t="s">
        <v>63</v>
      </c>
      <c r="I13" s="917" t="e">
        <f>#REF!</f>
        <v>#REF!</v>
      </c>
      <c r="J13" s="920">
        <f>data!K242</f>
        <v>14000</v>
      </c>
      <c r="K13" s="921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928</v>
      </c>
      <c r="C15" s="38" t="s">
        <v>63</v>
      </c>
      <c r="D15" s="39" t="e">
        <f>#REF!</f>
        <v>#REF!</v>
      </c>
      <c r="E15" s="39">
        <f>data!E261</f>
        <v>5000</v>
      </c>
      <c r="F15" s="40" t="e">
        <f>D15*E15</f>
        <v>#REF!</v>
      </c>
      <c r="G15" s="155"/>
      <c r="H15" s="182"/>
      <c r="I15" s="77"/>
      <c r="J15" s="78"/>
      <c r="K15" s="79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33" t="e">
        <f>#REF!</f>
        <v>#REF!</v>
      </c>
      <c r="J16" s="918">
        <f>data!E219</f>
        <v>12</v>
      </c>
      <c r="K16" s="862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193" t="e">
        <f>#REF!</f>
        <v>#REF!</v>
      </c>
      <c r="J17" s="194">
        <f>data!D121</f>
        <v>60</v>
      </c>
      <c r="K17" s="79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154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154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154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89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204">
        <f>'Балки - ест. влахность'!I29</f>
        <v>1.92</v>
      </c>
      <c r="J25" s="92">
        <f>'Балки - ест. влахность'!J29</f>
        <v>17000</v>
      </c>
      <c r="K25" s="93">
        <f>I25*J25</f>
        <v>32640</v>
      </c>
    </row>
    <row r="26" spans="1:11">
      <c r="A26" s="80"/>
      <c r="B26" s="37"/>
      <c r="C26" s="43"/>
      <c r="D26" s="89"/>
      <c r="E26" s="44"/>
      <c r="F26" s="44"/>
      <c r="G26" s="94" t="s">
        <v>87</v>
      </c>
      <c r="H26" s="95" t="s">
        <v>85</v>
      </c>
      <c r="I26" s="205">
        <f>'Балки - ест. влахность'!I30</f>
        <v>64</v>
      </c>
      <c r="J26" s="92">
        <f>'Балки - КС и ПБКЛ'!J30</f>
        <v>65</v>
      </c>
      <c r="K26" s="93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204">
        <f>'Балки - ест. влахность'!I31</f>
        <v>256</v>
      </c>
      <c r="J27" s="93">
        <f>'Балки - КС и ПБКЛ'!J31</f>
        <v>13</v>
      </c>
      <c r="K27" s="93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206">
        <f>'Балки - ест. влахность'!I32</f>
        <v>3.240506329113924</v>
      </c>
      <c r="J28" s="105">
        <f>'Балки - КС и ПБКЛ'!J32</f>
        <v>380</v>
      </c>
      <c r="K28" s="93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68"/>
      <c r="H30" s="169"/>
      <c r="I30" s="170"/>
      <c r="J30" s="72"/>
      <c r="K30" s="73"/>
    </row>
    <row r="31" spans="1:11">
      <c r="A31" s="74">
        <v>1</v>
      </c>
      <c r="B31" s="75" t="s">
        <v>147</v>
      </c>
      <c r="C31" s="38" t="s">
        <v>148</v>
      </c>
      <c r="D31" s="171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77">
        <f>'Балки - ест. влахность'!I36</f>
        <v>0.77999999999999992</v>
      </c>
      <c r="J31" s="78">
        <f>'Балки - ест. влахность'!J36</f>
        <v>17000</v>
      </c>
      <c r="K31" s="79">
        <f>I31*J31</f>
        <v>13259.999999999998</v>
      </c>
    </row>
    <row r="32" spans="1:11">
      <c r="A32" s="74"/>
      <c r="B32" s="75"/>
      <c r="C32" s="38"/>
      <c r="D32" s="171"/>
      <c r="E32" s="39"/>
      <c r="F32" s="39"/>
      <c r="G32" s="175" t="s">
        <v>87</v>
      </c>
      <c r="H32" s="176" t="s">
        <v>85</v>
      </c>
      <c r="I32" s="77">
        <f>'Балки - ест. влахность'!I37</f>
        <v>54</v>
      </c>
      <c r="J32" s="78">
        <f>'Балки - КС и ПБКЛ'!J38</f>
        <v>65</v>
      </c>
      <c r="K32" s="79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77">
        <f>'Балки - ест. влахность'!I38</f>
        <v>216</v>
      </c>
      <c r="J33" s="79">
        <f>'Балки - КС и ПБКЛ'!J39</f>
        <v>13</v>
      </c>
      <c r="K33" s="79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213">
        <f>'Балки - ест. влахность'!I39</f>
        <v>2.7341772151898733</v>
      </c>
      <c r="J34" s="165">
        <f>'Балки - КС и ПБКЛ'!J40</f>
        <v>380</v>
      </c>
      <c r="K34" s="166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68"/>
      <c r="H36" s="169"/>
      <c r="I36" s="170"/>
      <c r="J36" s="72"/>
      <c r="K36" s="73"/>
    </row>
    <row r="37" spans="1:11">
      <c r="A37" s="74">
        <v>1</v>
      </c>
      <c r="B37" s="75" t="s">
        <v>147</v>
      </c>
      <c r="C37" s="38" t="s">
        <v>148</v>
      </c>
      <c r="D37" s="171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77">
        <f>'Балки - ест. влахность'!I42</f>
        <v>0</v>
      </c>
      <c r="J37" s="78">
        <f>'Балки - ест. влахность'!J42</f>
        <v>17000</v>
      </c>
      <c r="K37" s="79">
        <f>I37*J37</f>
        <v>0</v>
      </c>
    </row>
    <row r="38" spans="1:11">
      <c r="A38" s="74"/>
      <c r="B38" s="75"/>
      <c r="C38" s="38"/>
      <c r="D38" s="171"/>
      <c r="E38" s="39"/>
      <c r="F38" s="39"/>
      <c r="G38" s="175" t="s">
        <v>87</v>
      </c>
      <c r="H38" s="176" t="s">
        <v>85</v>
      </c>
      <c r="I38" s="77">
        <f>'Балки - ест. влахность'!I43</f>
        <v>0</v>
      </c>
      <c r="J38" s="78">
        <f>'Балки - КС и ПБКЛ'!J44</f>
        <v>65</v>
      </c>
      <c r="K38" s="79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77">
        <f>'Балки - ест. влахность'!I44</f>
        <v>0</v>
      </c>
      <c r="J39" s="79">
        <f>'Балки - КС и ПБКЛ'!J45</f>
        <v>13</v>
      </c>
      <c r="K39" s="79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358">
        <f>'Балки - ест. влахность'!I45</f>
        <v>0</v>
      </c>
      <c r="J40" s="79">
        <f>'Балки - КС и ПБКЛ'!J46</f>
        <v>380</v>
      </c>
      <c r="K40" s="79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68"/>
      <c r="H42" s="169"/>
      <c r="I42" s="170"/>
      <c r="J42" s="72"/>
      <c r="K42" s="73"/>
    </row>
    <row r="43" spans="1:11">
      <c r="A43" s="74">
        <v>1</v>
      </c>
      <c r="B43" s="75" t="s">
        <v>147</v>
      </c>
      <c r="C43" s="38" t="s">
        <v>148</v>
      </c>
      <c r="D43" s="171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77">
        <f>'Балки - ест. влахность'!I48</f>
        <v>0</v>
      </c>
      <c r="J43" s="78">
        <f>'Балки - ест. влахность'!J48</f>
        <v>17000</v>
      </c>
      <c r="K43" s="79">
        <f>I43*J43</f>
        <v>0</v>
      </c>
    </row>
    <row r="44" spans="1:11">
      <c r="A44" s="74"/>
      <c r="B44" s="75"/>
      <c r="C44" s="38"/>
      <c r="D44" s="171"/>
      <c r="E44" s="39"/>
      <c r="F44" s="39"/>
      <c r="G44" s="175" t="s">
        <v>87</v>
      </c>
      <c r="H44" s="176" t="s">
        <v>85</v>
      </c>
      <c r="I44" s="77">
        <f>'Балки - ест. влахность'!I49</f>
        <v>0</v>
      </c>
      <c r="J44" s="78">
        <f>'Балки - КС и ПБКЛ'!J50</f>
        <v>65</v>
      </c>
      <c r="K44" s="79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77">
        <f>'Балки - ест. влахность'!I50</f>
        <v>0</v>
      </c>
      <c r="J45" s="79">
        <f>'Балки - КС и ПБКЛ'!J51</f>
        <v>13</v>
      </c>
      <c r="K45" s="79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358">
        <f>'Балки - ест. влахность'!I51</f>
        <v>0</v>
      </c>
      <c r="J46" s="79">
        <f>'Балки - КС и ПБКЛ'!J52</f>
        <v>380</v>
      </c>
      <c r="K46" s="79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data!J242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data!I242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2A77-A6DC-47C0-B107-F9541955EA3B}">
  <dimension ref="A1:XFD176"/>
  <sheetViews>
    <sheetView zoomScale="90" zoomScaleNormal="90" workbookViewId="0">
      <selection activeCell="B10" sqref="B10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data!D262</f>
        <v>6000</v>
      </c>
      <c r="F13" s="746" t="e">
        <f>D13*E13</f>
        <v>#REF!</v>
      </c>
      <c r="G13" s="155" t="s">
        <v>959</v>
      </c>
      <c r="H13" s="847" t="s">
        <v>63</v>
      </c>
      <c r="I13" s="848" t="e">
        <f>#REF!</f>
        <v>#REF!</v>
      </c>
      <c r="J13" s="1067">
        <f>data!K243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922</v>
      </c>
      <c r="C15" s="38" t="s">
        <v>63</v>
      </c>
      <c r="D15" s="39" t="e">
        <f>#REF!</f>
        <v>#REF!</v>
      </c>
      <c r="E15" s="39">
        <f>data!E262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data!E220</f>
        <v>13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data!J243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data!I243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7314-6607-479A-BE1A-D2EB559F5C71}">
  <dimension ref="A1:XFD176"/>
  <sheetViews>
    <sheetView topLeftCell="A25" zoomScale="90" zoomScaleNormal="90" workbookViewId="0">
      <selection activeCell="A6" sqref="A6:B6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data!D263</f>
        <v>6000</v>
      </c>
      <c r="F13" s="746" t="e">
        <f>D13*E13</f>
        <v>#REF!</v>
      </c>
      <c r="G13" s="155" t="s">
        <v>962</v>
      </c>
      <c r="H13" s="847" t="s">
        <v>63</v>
      </c>
      <c r="I13" s="848" t="e">
        <f>#REF!</f>
        <v>#REF!</v>
      </c>
      <c r="J13" s="1067">
        <f>data!K244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930</v>
      </c>
      <c r="C15" s="38" t="s">
        <v>63</v>
      </c>
      <c r="D15" s="39" t="e">
        <f>#REF!</f>
        <v>#REF!</v>
      </c>
      <c r="E15" s="39">
        <f>data!E263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data!E221</f>
        <v>14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data!J244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data!I244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0CF-20C9-4AFF-911A-A5EED4D90B02}">
  <dimension ref="A1:XFD176"/>
  <sheetViews>
    <sheetView topLeftCell="A43" zoomScale="90" zoomScaleNormal="90" workbookViewId="0">
      <selection activeCell="B61" sqref="B6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data!D264</f>
        <v>6000</v>
      </c>
      <c r="F13" s="746" t="e">
        <f>D13*E13</f>
        <v>#REF!</v>
      </c>
      <c r="G13" s="155" t="s">
        <v>963</v>
      </c>
      <c r="H13" s="847" t="s">
        <v>63</v>
      </c>
      <c r="I13" s="848" t="e">
        <f>#REF!</f>
        <v>#REF!</v>
      </c>
      <c r="J13" s="1067">
        <f>data!K245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931</v>
      </c>
      <c r="C15" s="38" t="s">
        <v>63</v>
      </c>
      <c r="D15" s="39" t="e">
        <f>#REF!</f>
        <v>#REF!</v>
      </c>
      <c r="E15" s="39">
        <f>data!E264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data!E222</f>
        <v>15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data!J245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data!I245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924F-4F02-4EF9-BF51-5FAAE35DC4D6}">
  <dimension ref="A1:XFD176"/>
  <sheetViews>
    <sheetView zoomScale="90" zoomScaleNormal="90" workbookViewId="0">
      <selection activeCell="A2" sqref="A2:K2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data!D265</f>
        <v>6000</v>
      </c>
      <c r="F13" s="746" t="e">
        <f>D13*E13</f>
        <v>#REF!</v>
      </c>
      <c r="G13" s="155" t="s">
        <v>964</v>
      </c>
      <c r="H13" s="847" t="s">
        <v>63</v>
      </c>
      <c r="I13" s="848" t="e">
        <f>#REF!</f>
        <v>#REF!</v>
      </c>
      <c r="J13" s="1067">
        <f>data!K246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932</v>
      </c>
      <c r="C15" s="38" t="s">
        <v>63</v>
      </c>
      <c r="D15" s="39" t="e">
        <f>#REF!</f>
        <v>#REF!</v>
      </c>
      <c r="E15" s="39">
        <f>data!E265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data!E223</f>
        <v>16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data!J246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data!I246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1E0D-20B6-4E6D-8C1D-822991B10357}">
  <dimension ref="A1:XFD176"/>
  <sheetViews>
    <sheetView zoomScale="90" zoomScaleNormal="90" workbookViewId="0">
      <selection activeCell="C14" sqref="C14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data!D266</f>
        <v>6000</v>
      </c>
      <c r="F13" s="746" t="e">
        <f>D13*E13</f>
        <v>#REF!</v>
      </c>
      <c r="G13" s="155" t="s">
        <v>965</v>
      </c>
      <c r="H13" s="847" t="s">
        <v>63</v>
      </c>
      <c r="I13" s="848" t="e">
        <f>#REF!</f>
        <v>#REF!</v>
      </c>
      <c r="J13" s="1067">
        <f>data!K247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933</v>
      </c>
      <c r="C15" s="38" t="s">
        <v>63</v>
      </c>
      <c r="D15" s="39" t="e">
        <f>#REF!</f>
        <v>#REF!</v>
      </c>
      <c r="E15" s="39">
        <f>data!E266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data!E224</f>
        <v>17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data!J247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data!I247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E096-2FA4-4B39-8A80-331394BCC6C2}">
  <dimension ref="A1:XFD176"/>
  <sheetViews>
    <sheetView zoomScale="90" zoomScaleNormal="90" workbookViewId="0">
      <selection activeCell="C5" sqref="C5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data!D267</f>
        <v>6000</v>
      </c>
      <c r="F13" s="746" t="e">
        <f>D13*E13</f>
        <v>#REF!</v>
      </c>
      <c r="G13" s="155" t="s">
        <v>966</v>
      </c>
      <c r="H13" s="847" t="s">
        <v>63</v>
      </c>
      <c r="I13" s="848" t="e">
        <f>#REF!</f>
        <v>#REF!</v>
      </c>
      <c r="J13" s="1067">
        <f>data!K248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934</v>
      </c>
      <c r="C15" s="38" t="s">
        <v>63</v>
      </c>
      <c r="D15" s="39" t="e">
        <f>#REF!</f>
        <v>#REF!</v>
      </c>
      <c r="E15" s="39">
        <f>data!E267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data!E225</f>
        <v>18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data!J248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data!I248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D7E8-4F24-4B9F-BA8C-9F9A4B36B8E6}">
  <dimension ref="A1:XFD176"/>
  <sheetViews>
    <sheetView zoomScale="90" zoomScaleNormal="90" workbookViewId="0">
      <selection activeCell="A7" sqref="A7:K7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30" t="s">
        <v>112</v>
      </c>
      <c r="B1" s="1230"/>
      <c r="C1" s="1230"/>
      <c r="D1" s="1230"/>
      <c r="E1" s="1230"/>
      <c r="F1" s="1230"/>
      <c r="G1" s="1230"/>
      <c r="H1" s="1230"/>
      <c r="I1" s="1230"/>
      <c r="J1" s="1230"/>
      <c r="K1" s="1230"/>
    </row>
    <row r="2" spans="1:11">
      <c r="A2" s="1230" t="s">
        <v>113</v>
      </c>
      <c r="B2" s="1230"/>
      <c r="C2" s="1230"/>
      <c r="D2" s="1230"/>
      <c r="E2" s="1230"/>
      <c r="F2" s="1230"/>
      <c r="G2" s="1230"/>
      <c r="H2" s="1230"/>
      <c r="I2" s="1230"/>
      <c r="J2" s="1230"/>
      <c r="K2" s="1230"/>
    </row>
    <row r="3" spans="1:11">
      <c r="A3" s="1231" t="s">
        <v>114</v>
      </c>
      <c r="B3" s="1231"/>
      <c r="C3" s="49"/>
      <c r="D3" s="1232"/>
      <c r="E3" s="1232"/>
      <c r="F3" s="1232"/>
      <c r="G3" s="50"/>
      <c r="H3" s="1231" t="s">
        <v>115</v>
      </c>
      <c r="I3" s="1231"/>
      <c r="J3" s="1231"/>
      <c r="K3" s="51"/>
    </row>
    <row r="4" spans="1:11">
      <c r="A4" s="1217" t="s">
        <v>116</v>
      </c>
      <c r="B4" s="1217"/>
      <c r="C4" s="49"/>
      <c r="D4" s="1219"/>
      <c r="E4" s="1219"/>
      <c r="F4" s="1219"/>
      <c r="G4" s="50"/>
      <c r="H4" s="1217" t="s">
        <v>117</v>
      </c>
      <c r="I4" s="1217"/>
      <c r="J4" s="1217"/>
      <c r="K4" s="1217"/>
    </row>
    <row r="5" spans="1:11">
      <c r="A5" s="1220" t="s">
        <v>118</v>
      </c>
      <c r="B5" s="1220"/>
      <c r="C5" s="49"/>
      <c r="D5" s="1232"/>
      <c r="E5" s="1232"/>
      <c r="F5" s="1232"/>
      <c r="G5" s="50"/>
      <c r="H5" s="50"/>
      <c r="I5" s="53"/>
      <c r="J5" s="54" t="s">
        <v>119</v>
      </c>
      <c r="K5" s="55"/>
    </row>
    <row r="6" spans="1:11">
      <c r="A6" s="1217" t="s">
        <v>120</v>
      </c>
      <c r="B6" s="1217"/>
      <c r="C6" s="49"/>
      <c r="D6" s="1219" t="s">
        <v>121</v>
      </c>
      <c r="E6" s="1219"/>
      <c r="F6" s="1219"/>
      <c r="G6" s="56"/>
      <c r="H6" s="56"/>
      <c r="I6" s="1220" t="s">
        <v>122</v>
      </c>
      <c r="J6" s="1220"/>
      <c r="K6" s="1220"/>
    </row>
    <row r="7" spans="1:11">
      <c r="A7" s="1215" t="s">
        <v>123</v>
      </c>
      <c r="B7" s="1215"/>
      <c r="C7" s="1215"/>
      <c r="D7" s="1215"/>
      <c r="E7" s="1215"/>
      <c r="F7" s="1215"/>
      <c r="G7" s="1215"/>
      <c r="H7" s="1215"/>
      <c r="I7" s="1215"/>
      <c r="J7" s="1215"/>
      <c r="K7" s="1215"/>
    </row>
    <row r="8" spans="1:11" ht="15.5" customHeight="1">
      <c r="A8" s="1225" t="s">
        <v>908</v>
      </c>
      <c r="B8" s="1225"/>
      <c r="C8" s="1225"/>
      <c r="D8" s="1225"/>
      <c r="E8" s="1225"/>
      <c r="F8" s="1225"/>
      <c r="G8" s="1225"/>
      <c r="H8" s="57"/>
      <c r="I8" s="58"/>
      <c r="J8" s="58"/>
      <c r="K8" s="1046"/>
    </row>
    <row r="9" spans="1:11" ht="45">
      <c r="A9" s="60" t="s">
        <v>125</v>
      </c>
      <c r="B9" s="60" t="s">
        <v>126</v>
      </c>
      <c r="C9" s="60" t="s">
        <v>127</v>
      </c>
      <c r="D9" s="61" t="s">
        <v>2</v>
      </c>
      <c r="E9" s="61" t="s">
        <v>128</v>
      </c>
      <c r="F9" s="61" t="s">
        <v>129</v>
      </c>
      <c r="G9" s="60" t="s">
        <v>130</v>
      </c>
      <c r="H9" s="60" t="s">
        <v>127</v>
      </c>
      <c r="I9" s="61" t="s">
        <v>2</v>
      </c>
      <c r="J9" s="61" t="s">
        <v>131</v>
      </c>
      <c r="K9" s="61" t="s">
        <v>132</v>
      </c>
    </row>
    <row r="10" spans="1:11">
      <c r="A10" s="62">
        <v>1</v>
      </c>
      <c r="B10" s="62">
        <v>2</v>
      </c>
      <c r="C10" s="62">
        <v>3</v>
      </c>
      <c r="D10" s="63">
        <v>4</v>
      </c>
      <c r="E10" s="63">
        <v>5</v>
      </c>
      <c r="F10" s="63">
        <v>6</v>
      </c>
      <c r="G10" s="63">
        <v>7</v>
      </c>
      <c r="H10" s="63">
        <v>8</v>
      </c>
      <c r="I10" s="63">
        <v>9</v>
      </c>
      <c r="J10" s="63">
        <v>10</v>
      </c>
      <c r="K10" s="63">
        <v>11</v>
      </c>
    </row>
    <row r="11" spans="1:11">
      <c r="A11" s="64"/>
      <c r="B11" s="64"/>
      <c r="C11" s="64"/>
      <c r="D11" s="65"/>
      <c r="E11" s="65"/>
      <c r="F11" s="65"/>
      <c r="G11" s="65"/>
      <c r="H11" s="65"/>
      <c r="I11" s="65"/>
      <c r="J11" s="65"/>
      <c r="K11" s="65"/>
    </row>
    <row r="12" spans="1:11">
      <c r="A12" s="1233" t="s">
        <v>133</v>
      </c>
      <c r="B12" s="1233"/>
      <c r="C12" s="66"/>
      <c r="D12" s="67"/>
      <c r="E12" s="67"/>
      <c r="F12" s="68"/>
      <c r="G12" s="69"/>
      <c r="H12" s="200"/>
      <c r="I12" s="1047"/>
      <c r="J12" s="1048"/>
      <c r="K12" s="67"/>
    </row>
    <row r="13" spans="1:11">
      <c r="A13" s="874" t="s">
        <v>134</v>
      </c>
      <c r="B13" s="922" t="s">
        <v>909</v>
      </c>
      <c r="C13" s="747" t="s">
        <v>63</v>
      </c>
      <c r="D13" s="745" t="e">
        <f>I13</f>
        <v>#REF!</v>
      </c>
      <c r="E13" s="745">
        <f>data!D268</f>
        <v>6000</v>
      </c>
      <c r="F13" s="746" t="e">
        <f>D13*E13</f>
        <v>#REF!</v>
      </c>
      <c r="G13" s="155" t="s">
        <v>967</v>
      </c>
      <c r="H13" s="847" t="s">
        <v>63</v>
      </c>
      <c r="I13" s="848" t="e">
        <f>#REF!</f>
        <v>#REF!</v>
      </c>
      <c r="J13" s="1067">
        <f>data!K249</f>
        <v>14000</v>
      </c>
      <c r="K13" s="745" t="e">
        <f>I13*J13</f>
        <v>#REF!</v>
      </c>
    </row>
    <row r="14" spans="1:11" ht="30">
      <c r="A14" s="861" t="s">
        <v>877</v>
      </c>
      <c r="B14" s="866" t="s">
        <v>880</v>
      </c>
      <c r="C14" s="847" t="s">
        <v>148</v>
      </c>
      <c r="D14" s="748" t="e">
        <f>#REF!</f>
        <v>#REF!</v>
      </c>
      <c r="E14" s="748">
        <f>data!J129</f>
        <v>45</v>
      </c>
      <c r="F14" s="157" t="e">
        <f>D14*E14</f>
        <v>#REF!</v>
      </c>
      <c r="G14" s="846" t="s">
        <v>881</v>
      </c>
      <c r="H14" s="847" t="s">
        <v>85</v>
      </c>
      <c r="I14" s="848" t="e">
        <f>#REF!</f>
        <v>#REF!</v>
      </c>
      <c r="J14" s="849">
        <f>data!D145</f>
        <v>3500</v>
      </c>
      <c r="K14" s="157" t="e">
        <f t="shared" ref="K14" si="0">I14*J14</f>
        <v>#REF!</v>
      </c>
    </row>
    <row r="15" spans="1:11">
      <c r="A15" s="74" t="s">
        <v>152</v>
      </c>
      <c r="B15" s="75" t="s">
        <v>935</v>
      </c>
      <c r="C15" s="38" t="s">
        <v>63</v>
      </c>
      <c r="D15" s="39" t="e">
        <f>#REF!</f>
        <v>#REF!</v>
      </c>
      <c r="E15" s="39">
        <f>data!E268</f>
        <v>5000</v>
      </c>
      <c r="F15" s="40" t="e">
        <f>D15*E15</f>
        <v>#REF!</v>
      </c>
      <c r="G15" s="155"/>
      <c r="H15" s="182"/>
      <c r="I15" s="421"/>
      <c r="J15" s="210"/>
      <c r="K15" s="157"/>
    </row>
    <row r="16" spans="1:11">
      <c r="A16" s="181" t="s">
        <v>174</v>
      </c>
      <c r="B16" s="155" t="s">
        <v>913</v>
      </c>
      <c r="C16" s="182" t="s">
        <v>86</v>
      </c>
      <c r="D16" s="190" t="e">
        <f>I16</f>
        <v>#REF!</v>
      </c>
      <c r="E16" s="157">
        <f>data!J122</f>
        <v>5</v>
      </c>
      <c r="F16" s="40" t="e">
        <f>D16*E16</f>
        <v>#REF!</v>
      </c>
      <c r="G16" s="846" t="s">
        <v>927</v>
      </c>
      <c r="H16" s="847" t="s">
        <v>136</v>
      </c>
      <c r="I16" s="904" t="e">
        <f>#REF!</f>
        <v>#REF!</v>
      </c>
      <c r="J16" s="849">
        <f>data!E226</f>
        <v>19</v>
      </c>
      <c r="K16" s="748" t="e">
        <f>I16*J16</f>
        <v>#REF!</v>
      </c>
    </row>
    <row r="17" spans="1:11">
      <c r="A17" s="181"/>
      <c r="B17" s="155"/>
      <c r="C17" s="182"/>
      <c r="D17" s="157"/>
      <c r="E17" s="157"/>
      <c r="F17" s="40"/>
      <c r="G17" s="191" t="s">
        <v>166</v>
      </c>
      <c r="H17" s="425" t="s">
        <v>168</v>
      </c>
      <c r="I17" s="867" t="e">
        <f>#REF!</f>
        <v>#REF!</v>
      </c>
      <c r="J17" s="868">
        <f>data!D121</f>
        <v>60</v>
      </c>
      <c r="K17" s="157" t="e">
        <f t="shared" ref="K17:K20" si="1">I17*J17</f>
        <v>#REF!</v>
      </c>
    </row>
    <row r="18" spans="1:11">
      <c r="A18" s="167"/>
      <c r="B18" s="273"/>
      <c r="C18" s="41"/>
      <c r="D18" s="42"/>
      <c r="E18" s="42"/>
      <c r="F18" s="274"/>
      <c r="G18" s="152" t="s">
        <v>137</v>
      </c>
      <c r="H18" s="153" t="s">
        <v>85</v>
      </c>
      <c r="I18" s="158" t="e">
        <f>#REF!</f>
        <v>#REF!</v>
      </c>
      <c r="J18" s="82">
        <f>data!D141</f>
        <v>25</v>
      </c>
      <c r="K18" s="39" t="e">
        <f t="shared" si="1"/>
        <v>#REF!</v>
      </c>
    </row>
    <row r="19" spans="1:11">
      <c r="A19" s="80" t="s">
        <v>194</v>
      </c>
      <c r="B19" s="37" t="s">
        <v>139</v>
      </c>
      <c r="C19" s="43" t="s">
        <v>85</v>
      </c>
      <c r="D19" s="46">
        <f>I19</f>
        <v>5</v>
      </c>
      <c r="E19" s="44" t="e">
        <f>#REF!</f>
        <v>#REF!</v>
      </c>
      <c r="F19" s="45" t="e">
        <f>D19*E19</f>
        <v>#REF!</v>
      </c>
      <c r="G19" s="81" t="s">
        <v>140</v>
      </c>
      <c r="H19" s="82" t="s">
        <v>85</v>
      </c>
      <c r="I19" s="82">
        <f>data!C115</f>
        <v>5</v>
      </c>
      <c r="J19" s="82">
        <f>data!D126</f>
        <v>1200</v>
      </c>
      <c r="K19" s="39">
        <f t="shared" si="1"/>
        <v>6000</v>
      </c>
    </row>
    <row r="20" spans="1:11">
      <c r="A20" s="80"/>
      <c r="B20" s="37"/>
      <c r="C20" s="43"/>
      <c r="D20" s="46"/>
      <c r="E20" s="44"/>
      <c r="F20" s="45"/>
      <c r="G20" s="81" t="s">
        <v>141</v>
      </c>
      <c r="H20" s="82" t="s">
        <v>85</v>
      </c>
      <c r="I20" s="82" t="e">
        <f>#REF!</f>
        <v>#REF!</v>
      </c>
      <c r="J20" s="82">
        <f>data!D127</f>
        <v>13</v>
      </c>
      <c r="K20" s="39" t="e">
        <f t="shared" si="1"/>
        <v>#REF!</v>
      </c>
    </row>
    <row r="21" spans="1:11">
      <c r="A21" s="203" t="s">
        <v>193</v>
      </c>
      <c r="B21" s="90" t="s">
        <v>142</v>
      </c>
      <c r="C21" s="184" t="s">
        <v>138</v>
      </c>
      <c r="D21" s="46" t="e">
        <f>#REF!</f>
        <v>#REF!</v>
      </c>
      <c r="E21" s="46" t="e">
        <f>#REF!</f>
        <v>#REF!</v>
      </c>
      <c r="F21" s="45" t="e">
        <f>D21*E21</f>
        <v>#REF!</v>
      </c>
      <c r="G21" s="81" t="s">
        <v>143</v>
      </c>
      <c r="H21" s="82" t="s">
        <v>63</v>
      </c>
      <c r="I21" s="82" t="e">
        <f>#REF!</f>
        <v>#REF!</v>
      </c>
      <c r="J21" s="82">
        <f>data!D135</f>
        <v>17000</v>
      </c>
      <c r="K21" s="82" t="e">
        <f>I21*J21</f>
        <v>#REF!</v>
      </c>
    </row>
    <row r="22" spans="1:11">
      <c r="A22" s="203"/>
      <c r="B22" s="90"/>
      <c r="C22" s="184"/>
      <c r="D22" s="46"/>
      <c r="E22" s="46"/>
      <c r="F22" s="45"/>
      <c r="G22" s="81" t="s">
        <v>173</v>
      </c>
      <c r="H22" s="82" t="s">
        <v>144</v>
      </c>
      <c r="I22" s="82" t="e">
        <f>#REF!</f>
        <v>#REF!</v>
      </c>
      <c r="J22" s="82" t="e">
        <f>#REF!</f>
        <v>#REF!</v>
      </c>
      <c r="K22" s="82" t="e">
        <f>I22*J22</f>
        <v>#REF!</v>
      </c>
    </row>
    <row r="23" spans="1:11">
      <c r="A23" s="83"/>
      <c r="B23" s="84"/>
      <c r="C23" s="85"/>
      <c r="D23" s="1284" t="s">
        <v>145</v>
      </c>
      <c r="E23" s="1268"/>
      <c r="F23" s="86" t="e">
        <f>SUM(F13:F22)</f>
        <v>#REF!</v>
      </c>
      <c r="G23" s="87"/>
      <c r="H23" s="88"/>
      <c r="I23" s="1268" t="s">
        <v>146</v>
      </c>
      <c r="J23" s="1268"/>
      <c r="K23" s="134" t="e">
        <f>SUM(K13:K22)</f>
        <v>#REF!</v>
      </c>
    </row>
    <row r="24" spans="1:11">
      <c r="A24" s="1236" t="s">
        <v>317</v>
      </c>
      <c r="B24" s="1236"/>
      <c r="C24" s="1236"/>
      <c r="D24" s="1236"/>
      <c r="E24" s="88"/>
      <c r="F24" s="88"/>
      <c r="G24" s="87"/>
      <c r="H24" s="88"/>
      <c r="I24" s="88"/>
      <c r="J24" s="88"/>
      <c r="K24" s="88"/>
    </row>
    <row r="25" spans="1:11">
      <c r="A25" s="80" t="s">
        <v>134</v>
      </c>
      <c r="B25" s="37" t="s">
        <v>147</v>
      </c>
      <c r="C25" s="43" t="s">
        <v>148</v>
      </c>
      <c r="D25" s="226">
        <f>'Балки - ест. влахность'!D29</f>
        <v>85.3</v>
      </c>
      <c r="E25" s="44">
        <f>'Балки - ест. влахность'!E29</f>
        <v>600</v>
      </c>
      <c r="F25" s="44">
        <f>D25*E25</f>
        <v>51180</v>
      </c>
      <c r="G25" s="90" t="s">
        <v>428</v>
      </c>
      <c r="H25" s="184" t="s">
        <v>63</v>
      </c>
      <c r="I25" s="491">
        <f>'Балки - ест. влахность'!I29</f>
        <v>1.92</v>
      </c>
      <c r="J25" s="308">
        <f>'Балки - ест. влахность'!J29</f>
        <v>17000</v>
      </c>
      <c r="K25" s="46">
        <f>I25*J25</f>
        <v>32640</v>
      </c>
    </row>
    <row r="26" spans="1:11">
      <c r="A26" s="80"/>
      <c r="B26" s="37"/>
      <c r="C26" s="43"/>
      <c r="D26" s="226"/>
      <c r="E26" s="44"/>
      <c r="F26" s="44"/>
      <c r="G26" s="94" t="s">
        <v>87</v>
      </c>
      <c r="H26" s="95" t="s">
        <v>85</v>
      </c>
      <c r="I26" s="845">
        <f>'Балки - ест. влахность'!I30</f>
        <v>64</v>
      </c>
      <c r="J26" s="308">
        <f>'Балки - КС и ПБКЛ'!J30</f>
        <v>65</v>
      </c>
      <c r="K26" s="46">
        <f>I26*J26</f>
        <v>4160</v>
      </c>
    </row>
    <row r="27" spans="1:11">
      <c r="A27" s="80"/>
      <c r="B27" s="96"/>
      <c r="C27" s="97"/>
      <c r="D27" s="98"/>
      <c r="E27" s="98"/>
      <c r="F27" s="99"/>
      <c r="G27" s="224" t="s">
        <v>141</v>
      </c>
      <c r="H27" s="184" t="s">
        <v>85</v>
      </c>
      <c r="I27" s="491">
        <f>'Балки - ест. влахность'!I31</f>
        <v>256</v>
      </c>
      <c r="J27" s="46">
        <f>'Балки - КС и ПБКЛ'!J31</f>
        <v>13</v>
      </c>
      <c r="K27" s="46">
        <f t="shared" ref="K27:K28" si="2">I27*J27</f>
        <v>3328</v>
      </c>
    </row>
    <row r="28" spans="1:11">
      <c r="A28" s="80" t="s">
        <v>152</v>
      </c>
      <c r="B28" s="101" t="s">
        <v>878</v>
      </c>
      <c r="C28" s="97" t="s">
        <v>148</v>
      </c>
      <c r="D28" s="98">
        <f>I25/0.06*3</f>
        <v>96</v>
      </c>
      <c r="E28" s="102">
        <f>data!E206</f>
        <v>45</v>
      </c>
      <c r="F28" s="103">
        <f>D28*E28</f>
        <v>4320</v>
      </c>
      <c r="G28" s="390" t="s">
        <v>149</v>
      </c>
      <c r="H28" s="184" t="s">
        <v>144</v>
      </c>
      <c r="I28" s="870">
        <f>'Балки - ест. влахность'!I32</f>
        <v>3.240506329113924</v>
      </c>
      <c r="J28" s="396">
        <f>'Балки - КС и ПБКЛ'!J32</f>
        <v>380</v>
      </c>
      <c r="K28" s="46">
        <f t="shared" si="2"/>
        <v>1231.3924050632911</v>
      </c>
    </row>
    <row r="29" spans="1:11">
      <c r="A29" s="83"/>
      <c r="B29" s="84"/>
      <c r="C29" s="85"/>
      <c r="D29" s="1284" t="s">
        <v>145</v>
      </c>
      <c r="E29" s="1268"/>
      <c r="F29" s="86">
        <f>SUM(F25:F28)</f>
        <v>55500</v>
      </c>
      <c r="G29" s="87"/>
      <c r="H29" s="88"/>
      <c r="I29" s="1268" t="s">
        <v>146</v>
      </c>
      <c r="J29" s="1268"/>
      <c r="K29" s="134">
        <f>SUM(K25:K28)</f>
        <v>41359.392405063292</v>
      </c>
    </row>
    <row r="30" spans="1:11">
      <c r="A30" s="1233" t="s">
        <v>318</v>
      </c>
      <c r="B30" s="1233"/>
      <c r="C30" s="1233"/>
      <c r="D30" s="1233"/>
      <c r="E30" s="1233"/>
      <c r="F30" s="160"/>
      <c r="G30" s="1029"/>
      <c r="H30" s="120"/>
      <c r="I30" s="1052"/>
      <c r="J30" s="1048"/>
      <c r="K30" s="67"/>
    </row>
    <row r="31" spans="1:11">
      <c r="A31" s="74">
        <v>1</v>
      </c>
      <c r="B31" s="75" t="s">
        <v>147</v>
      </c>
      <c r="C31" s="38" t="s">
        <v>148</v>
      </c>
      <c r="D31" s="189">
        <f>'Балки - ест. влахность'!D36</f>
        <v>55</v>
      </c>
      <c r="E31" s="39">
        <f>'Балки - ест. влахность'!E36</f>
        <v>600</v>
      </c>
      <c r="F31" s="39">
        <f>D31*E31</f>
        <v>33000</v>
      </c>
      <c r="G31" s="155" t="s">
        <v>457</v>
      </c>
      <c r="H31" s="182" t="s">
        <v>63</v>
      </c>
      <c r="I31" s="421">
        <f>'Балки - ест. влахность'!I36</f>
        <v>0.77999999999999992</v>
      </c>
      <c r="J31" s="210">
        <f>'Балки - ест. влахность'!J36</f>
        <v>17000</v>
      </c>
      <c r="K31" s="157">
        <f>I31*J31</f>
        <v>13259.999999999998</v>
      </c>
    </row>
    <row r="32" spans="1:11">
      <c r="A32" s="74"/>
      <c r="B32" s="75"/>
      <c r="C32" s="38"/>
      <c r="D32" s="189"/>
      <c r="E32" s="39"/>
      <c r="F32" s="39"/>
      <c r="G32" s="175" t="s">
        <v>87</v>
      </c>
      <c r="H32" s="176" t="s">
        <v>85</v>
      </c>
      <c r="I32" s="421">
        <f>'Балки - ест. влахность'!I37</f>
        <v>54</v>
      </c>
      <c r="J32" s="210">
        <f>'Балки - КС и ПБКЛ'!J38</f>
        <v>65</v>
      </c>
      <c r="K32" s="157">
        <f>I32*J32</f>
        <v>3510</v>
      </c>
    </row>
    <row r="33" spans="1:11">
      <c r="A33" s="74"/>
      <c r="B33" s="163"/>
      <c r="C33" s="164"/>
      <c r="D33" s="103"/>
      <c r="E33" s="103"/>
      <c r="F33" s="103"/>
      <c r="G33" s="223" t="s">
        <v>141</v>
      </c>
      <c r="H33" s="182" t="s">
        <v>85</v>
      </c>
      <c r="I33" s="421">
        <f>'Балки - ест. влахность'!I38</f>
        <v>216</v>
      </c>
      <c r="J33" s="157">
        <f>'Балки - КС и ПБКЛ'!J39</f>
        <v>13</v>
      </c>
      <c r="K33" s="157">
        <f>I33*J33</f>
        <v>2808</v>
      </c>
    </row>
    <row r="34" spans="1:11">
      <c r="A34" s="172" t="s">
        <v>152</v>
      </c>
      <c r="B34" s="889" t="s">
        <v>878</v>
      </c>
      <c r="C34" s="174" t="s">
        <v>148</v>
      </c>
      <c r="D34" s="161">
        <f>I31/0.06*3</f>
        <v>38.999999999999993</v>
      </c>
      <c r="E34" s="161">
        <f>data!E206</f>
        <v>45</v>
      </c>
      <c r="F34" s="161">
        <f>D34*E34</f>
        <v>1754.9999999999998</v>
      </c>
      <c r="G34" s="391" t="s">
        <v>149</v>
      </c>
      <c r="H34" s="392" t="s">
        <v>144</v>
      </c>
      <c r="I34" s="871">
        <f>'Балки - ест. влахность'!I39</f>
        <v>2.7341772151898733</v>
      </c>
      <c r="J34" s="348">
        <f>'Балки - КС и ПБКЛ'!J40</f>
        <v>380</v>
      </c>
      <c r="K34" s="869">
        <f t="shared" ref="K34" si="3">I34*J34</f>
        <v>1038.9873417721519</v>
      </c>
    </row>
    <row r="35" spans="1:11">
      <c r="A35" s="116"/>
      <c r="B35" s="117"/>
      <c r="C35" s="66"/>
      <c r="D35" s="1253" t="s">
        <v>145</v>
      </c>
      <c r="E35" s="1253"/>
      <c r="F35" s="118">
        <f>SUM(F31:F34)</f>
        <v>34755</v>
      </c>
      <c r="G35" s="119"/>
      <c r="H35" s="120"/>
      <c r="I35" s="1254" t="s">
        <v>146</v>
      </c>
      <c r="J35" s="1254"/>
      <c r="K35" s="118">
        <f>SUM(K31:K34)</f>
        <v>20616.987341772154</v>
      </c>
    </row>
    <row r="36" spans="1:11">
      <c r="A36" s="1233" t="s">
        <v>319</v>
      </c>
      <c r="B36" s="1233"/>
      <c r="C36" s="1233"/>
      <c r="D36" s="1233"/>
      <c r="E36" s="1233"/>
      <c r="F36" s="160"/>
      <c r="G36" s="1029"/>
      <c r="H36" s="120"/>
      <c r="I36" s="1052"/>
      <c r="J36" s="1048"/>
      <c r="K36" s="67"/>
    </row>
    <row r="37" spans="1:11">
      <c r="A37" s="74">
        <v>1</v>
      </c>
      <c r="B37" s="75" t="s">
        <v>147</v>
      </c>
      <c r="C37" s="38" t="s">
        <v>148</v>
      </c>
      <c r="D37" s="189">
        <f>'Балки - ест. влахность'!D42</f>
        <v>80</v>
      </c>
      <c r="E37" s="39">
        <f>'Балки - ест. влахность'!E42</f>
        <v>600</v>
      </c>
      <c r="F37" s="39">
        <f>D37*E37</f>
        <v>48000</v>
      </c>
      <c r="G37" s="155" t="s">
        <v>428</v>
      </c>
      <c r="H37" s="182" t="s">
        <v>63</v>
      </c>
      <c r="I37" s="421">
        <f>'Балки - ест. влахность'!I42</f>
        <v>0</v>
      </c>
      <c r="J37" s="210">
        <f>'Балки - ест. влахность'!J42</f>
        <v>17000</v>
      </c>
      <c r="K37" s="157">
        <f>I37*J37</f>
        <v>0</v>
      </c>
    </row>
    <row r="38" spans="1:11">
      <c r="A38" s="74"/>
      <c r="B38" s="75"/>
      <c r="C38" s="38"/>
      <c r="D38" s="189"/>
      <c r="E38" s="39"/>
      <c r="F38" s="39"/>
      <c r="G38" s="175" t="s">
        <v>87</v>
      </c>
      <c r="H38" s="176" t="s">
        <v>85</v>
      </c>
      <c r="I38" s="421">
        <f>'Балки - ест. влахность'!I43</f>
        <v>0</v>
      </c>
      <c r="J38" s="210">
        <f>'Балки - КС и ПБКЛ'!J44</f>
        <v>65</v>
      </c>
      <c r="K38" s="157">
        <f>I38*J38</f>
        <v>0</v>
      </c>
    </row>
    <row r="39" spans="1:11">
      <c r="A39" s="167"/>
      <c r="B39" s="177"/>
      <c r="C39" s="178"/>
      <c r="D39" s="179"/>
      <c r="E39" s="179"/>
      <c r="F39" s="388"/>
      <c r="G39" s="223" t="s">
        <v>141</v>
      </c>
      <c r="H39" s="182" t="s">
        <v>85</v>
      </c>
      <c r="I39" s="421">
        <f>'Балки - ест. влахность'!I44</f>
        <v>0</v>
      </c>
      <c r="J39" s="157">
        <f>'Балки - КС и ПБКЛ'!J45</f>
        <v>13</v>
      </c>
      <c r="K39" s="157">
        <f>I39*J39</f>
        <v>0</v>
      </c>
    </row>
    <row r="40" spans="1:11">
      <c r="A40" s="162" t="s">
        <v>152</v>
      </c>
      <c r="B40" s="403" t="s">
        <v>878</v>
      </c>
      <c r="C40" s="164" t="s">
        <v>148</v>
      </c>
      <c r="D40" s="103">
        <f>I37/0.06*3</f>
        <v>0</v>
      </c>
      <c r="E40" s="103">
        <f>data!E206</f>
        <v>45</v>
      </c>
      <c r="F40" s="389">
        <f>D40*E40</f>
        <v>0</v>
      </c>
      <c r="G40" s="223" t="s">
        <v>149</v>
      </c>
      <c r="H40" s="182" t="s">
        <v>144</v>
      </c>
      <c r="I40" s="584">
        <f>'Балки - ест. влахность'!I45</f>
        <v>0</v>
      </c>
      <c r="J40" s="157">
        <f>'Балки - КС и ПБКЛ'!J46</f>
        <v>380</v>
      </c>
      <c r="K40" s="157">
        <f t="shared" ref="K40" si="4">I40*J40</f>
        <v>0</v>
      </c>
    </row>
    <row r="41" spans="1:11">
      <c r="A41" s="116"/>
      <c r="B41" s="117"/>
      <c r="C41" s="66"/>
      <c r="D41" s="1253" t="s">
        <v>145</v>
      </c>
      <c r="E41" s="1253"/>
      <c r="F41" s="118">
        <f>SUM(F37:F40)</f>
        <v>48000</v>
      </c>
      <c r="G41" s="119"/>
      <c r="H41" s="120"/>
      <c r="I41" s="1254" t="s">
        <v>146</v>
      </c>
      <c r="J41" s="1254"/>
      <c r="K41" s="118">
        <f>SUM(K37:K40)</f>
        <v>0</v>
      </c>
    </row>
    <row r="42" spans="1:11">
      <c r="A42" s="1233" t="s">
        <v>320</v>
      </c>
      <c r="B42" s="1233"/>
      <c r="C42" s="1233"/>
      <c r="D42" s="1233"/>
      <c r="E42" s="1233"/>
      <c r="F42" s="160"/>
      <c r="G42" s="1029"/>
      <c r="H42" s="120"/>
      <c r="I42" s="1052"/>
      <c r="J42" s="1048"/>
      <c r="K42" s="67"/>
    </row>
    <row r="43" spans="1:11">
      <c r="A43" s="74">
        <v>1</v>
      </c>
      <c r="B43" s="75" t="s">
        <v>147</v>
      </c>
      <c r="C43" s="38" t="s">
        <v>148</v>
      </c>
      <c r="D43" s="189">
        <f>'Балки - ест. влахность'!D48</f>
        <v>19.88</v>
      </c>
      <c r="E43" s="39">
        <f>'Балки - ест. влахность'!E48</f>
        <v>600</v>
      </c>
      <c r="F43" s="39">
        <f>D43*E43</f>
        <v>11928</v>
      </c>
      <c r="G43" s="155" t="s">
        <v>428</v>
      </c>
      <c r="H43" s="182" t="s">
        <v>63</v>
      </c>
      <c r="I43" s="421">
        <f>'Балки - ест. влахность'!I48</f>
        <v>0</v>
      </c>
      <c r="J43" s="210">
        <f>'Балки - ест. влахность'!J48</f>
        <v>17000</v>
      </c>
      <c r="K43" s="157">
        <f>I43*J43</f>
        <v>0</v>
      </c>
    </row>
    <row r="44" spans="1:11">
      <c r="A44" s="74"/>
      <c r="B44" s="75"/>
      <c r="C44" s="38"/>
      <c r="D44" s="189"/>
      <c r="E44" s="39"/>
      <c r="F44" s="39"/>
      <c r="G44" s="175" t="s">
        <v>87</v>
      </c>
      <c r="H44" s="176" t="s">
        <v>85</v>
      </c>
      <c r="I44" s="421">
        <f>'Балки - ест. влахность'!I49</f>
        <v>0</v>
      </c>
      <c r="J44" s="210">
        <f>'Балки - КС и ПБКЛ'!J50</f>
        <v>65</v>
      </c>
      <c r="K44" s="157">
        <f>I44*J44</f>
        <v>0</v>
      </c>
    </row>
    <row r="45" spans="1:11">
      <c r="A45" s="167"/>
      <c r="B45" s="177"/>
      <c r="C45" s="178"/>
      <c r="D45" s="179"/>
      <c r="E45" s="179"/>
      <c r="F45" s="388"/>
      <c r="G45" s="223" t="s">
        <v>141</v>
      </c>
      <c r="H45" s="182" t="s">
        <v>85</v>
      </c>
      <c r="I45" s="421">
        <f>'Балки - ест. влахность'!I50</f>
        <v>0</v>
      </c>
      <c r="J45" s="157">
        <f>'Балки - КС и ПБКЛ'!J51</f>
        <v>13</v>
      </c>
      <c r="K45" s="157">
        <f>I45*J45</f>
        <v>0</v>
      </c>
    </row>
    <row r="46" spans="1:11">
      <c r="A46" s="162" t="s">
        <v>152</v>
      </c>
      <c r="B46" s="403" t="s">
        <v>878</v>
      </c>
      <c r="C46" s="164" t="s">
        <v>148</v>
      </c>
      <c r="D46" s="103">
        <f>I43/0.06*3</f>
        <v>0</v>
      </c>
      <c r="E46" s="103">
        <f>data!E206</f>
        <v>45</v>
      </c>
      <c r="F46" s="389">
        <f>D46*E46</f>
        <v>0</v>
      </c>
      <c r="G46" s="223" t="s">
        <v>149</v>
      </c>
      <c r="H46" s="182" t="s">
        <v>144</v>
      </c>
      <c r="I46" s="584">
        <f>'Балки - ест. влахность'!I51</f>
        <v>0</v>
      </c>
      <c r="J46" s="157">
        <f>'Балки - КС и ПБКЛ'!J52</f>
        <v>380</v>
      </c>
      <c r="K46" s="157">
        <f t="shared" ref="K46" si="5">I46*J46</f>
        <v>0</v>
      </c>
    </row>
    <row r="47" spans="1:11" ht="15" customHeight="1">
      <c r="A47" s="116"/>
      <c r="B47" s="117"/>
      <c r="C47" s="66"/>
      <c r="D47" s="1253" t="s">
        <v>145</v>
      </c>
      <c r="E47" s="1253"/>
      <c r="F47" s="118">
        <f>SUM(F43:F46)</f>
        <v>11928</v>
      </c>
      <c r="G47" s="119"/>
      <c r="H47" s="120"/>
      <c r="I47" s="1254" t="s">
        <v>146</v>
      </c>
      <c r="J47" s="1254"/>
      <c r="K47" s="118">
        <f>SUM(K43:K46)</f>
        <v>0</v>
      </c>
    </row>
    <row r="48" spans="1:11">
      <c r="A48" s="1239" t="s">
        <v>195</v>
      </c>
      <c r="B48" s="1239"/>
      <c r="C48" s="120"/>
      <c r="D48" s="121"/>
      <c r="E48" s="121"/>
      <c r="F48" s="122"/>
      <c r="G48" s="119"/>
      <c r="H48" s="120"/>
      <c r="I48" s="123"/>
      <c r="J48" s="123"/>
      <c r="K48" s="122"/>
    </row>
    <row r="49" spans="1:11">
      <c r="A49" s="124" t="s">
        <v>134</v>
      </c>
      <c r="B49" s="125" t="s">
        <v>150</v>
      </c>
      <c r="C49" s="124" t="s">
        <v>63</v>
      </c>
      <c r="D49" s="124" t="e">
        <f>D15+I21+I25+I31+I37+I43</f>
        <v>#REF!</v>
      </c>
      <c r="E49" s="126" t="e">
        <f>#REF!</f>
        <v>#REF!</v>
      </c>
      <c r="F49" s="124" t="e">
        <f>D49*E49</f>
        <v>#REF!</v>
      </c>
      <c r="G49" s="127" t="s">
        <v>151</v>
      </c>
      <c r="H49" s="182" t="s">
        <v>138</v>
      </c>
      <c r="I49" s="421" t="e">
        <f>#REF!</f>
        <v>#REF!</v>
      </c>
      <c r="J49" s="109" t="e">
        <f>#REF!</f>
        <v>#REF!</v>
      </c>
      <c r="K49" s="124" t="e">
        <f t="shared" ref="K49:K54" si="6">I49*J49</f>
        <v>#REF!</v>
      </c>
    </row>
    <row r="50" spans="1:11">
      <c r="A50" s="124" t="s">
        <v>152</v>
      </c>
      <c r="B50" s="125" t="s">
        <v>153</v>
      </c>
      <c r="C50" s="124" t="s">
        <v>154</v>
      </c>
      <c r="D50" s="124">
        <f>data!I127</f>
        <v>1</v>
      </c>
      <c r="E50" s="126">
        <f>data!J127</f>
        <v>2000</v>
      </c>
      <c r="F50" s="124">
        <f>D50*E50</f>
        <v>2000</v>
      </c>
      <c r="G50" s="127"/>
      <c r="H50" s="124"/>
      <c r="I50" s="129"/>
      <c r="J50" s="129"/>
      <c r="K50" s="124"/>
    </row>
    <row r="51" spans="1:11">
      <c r="A51" s="124"/>
      <c r="B51" s="125"/>
      <c r="C51" s="124"/>
      <c r="D51" s="130"/>
      <c r="E51" s="131"/>
      <c r="F51" s="132"/>
      <c r="G51" s="128" t="s">
        <v>322</v>
      </c>
      <c r="H51" s="124" t="s">
        <v>155</v>
      </c>
      <c r="I51" s="133" t="e">
        <f>#REF!</f>
        <v>#REF!</v>
      </c>
      <c r="J51" s="133" t="e">
        <f>#REF!</f>
        <v>#REF!</v>
      </c>
      <c r="K51" s="124" t="e">
        <f t="shared" si="6"/>
        <v>#REF!</v>
      </c>
    </row>
    <row r="52" spans="1:11">
      <c r="A52" s="124"/>
      <c r="B52" s="125"/>
      <c r="C52" s="124"/>
      <c r="D52" s="130"/>
      <c r="E52" s="131"/>
      <c r="F52" s="132"/>
      <c r="G52" s="127" t="s">
        <v>197</v>
      </c>
      <c r="H52" s="124" t="s">
        <v>156</v>
      </c>
      <c r="I52" s="129" t="e">
        <f>#REF!</f>
        <v>#REF!</v>
      </c>
      <c r="J52" s="124">
        <f>data!J249</f>
        <v>130000</v>
      </c>
      <c r="K52" s="124" t="e">
        <f t="shared" si="6"/>
        <v>#REF!</v>
      </c>
    </row>
    <row r="53" spans="1:11">
      <c r="A53" s="124"/>
      <c r="B53" s="125"/>
      <c r="C53" s="124"/>
      <c r="D53" s="130"/>
      <c r="E53" s="131"/>
      <c r="F53" s="132"/>
      <c r="G53" s="127" t="s">
        <v>196</v>
      </c>
      <c r="H53" s="124" t="s">
        <v>156</v>
      </c>
      <c r="I53" s="133" t="e">
        <f>#REF!</f>
        <v>#REF!</v>
      </c>
      <c r="J53" s="133">
        <f>data!I249</f>
        <v>150000</v>
      </c>
      <c r="K53" s="124" t="e">
        <f t="shared" si="6"/>
        <v>#REF!</v>
      </c>
    </row>
    <row r="54" spans="1:11">
      <c r="A54" s="124"/>
      <c r="B54" s="125"/>
      <c r="C54" s="124"/>
      <c r="D54" s="130"/>
      <c r="E54" s="130"/>
      <c r="F54" s="132"/>
      <c r="G54" s="125" t="s">
        <v>482</v>
      </c>
      <c r="H54" s="124" t="s">
        <v>155</v>
      </c>
      <c r="I54" s="133" t="e">
        <f>#REF!</f>
        <v>#REF!</v>
      </c>
      <c r="J54" s="133" t="e">
        <f>#REF!</f>
        <v>#REF!</v>
      </c>
      <c r="K54" s="124" t="e">
        <f t="shared" si="6"/>
        <v>#REF!</v>
      </c>
    </row>
    <row r="55" spans="1:11">
      <c r="A55" s="120"/>
      <c r="B55" s="119"/>
      <c r="C55" s="120"/>
      <c r="D55" s="1253" t="s">
        <v>145</v>
      </c>
      <c r="E55" s="1307"/>
      <c r="F55" s="118" t="e">
        <f>SUM(F49:F53)</f>
        <v>#REF!</v>
      </c>
      <c r="G55" s="119"/>
      <c r="H55" s="120"/>
      <c r="I55" s="1254" t="s">
        <v>157</v>
      </c>
      <c r="J55" s="1255"/>
      <c r="K55" s="118" t="e">
        <f>SUM(K49:K54)</f>
        <v>#REF!</v>
      </c>
    </row>
    <row r="56" spans="1:11">
      <c r="A56" s="120"/>
      <c r="B56" s="119"/>
      <c r="C56" s="120"/>
      <c r="D56" s="121"/>
      <c r="E56" s="121"/>
      <c r="F56" s="122"/>
      <c r="G56" s="119"/>
      <c r="H56" s="120"/>
      <c r="I56" s="123"/>
      <c r="J56" s="123"/>
      <c r="K56" s="122"/>
    </row>
    <row r="57" spans="1:11">
      <c r="A57" s="830"/>
      <c r="B57" s="830"/>
      <c r="C57" s="830"/>
      <c r="D57" s="830"/>
      <c r="E57" s="830"/>
      <c r="F57" s="830"/>
      <c r="G57" s="830"/>
      <c r="H57" s="830"/>
      <c r="I57" s="830"/>
      <c r="J57" s="830"/>
      <c r="K57" s="830"/>
    </row>
    <row r="58" spans="1:11">
      <c r="C58" s="1204" t="s">
        <v>158</v>
      </c>
      <c r="D58" s="1204"/>
      <c r="E58" s="1204"/>
      <c r="F58" s="1204"/>
      <c r="G58" s="423" t="e">
        <f>F23+F29+F35+F55+F41+F47</f>
        <v>#REF!</v>
      </c>
    </row>
    <row r="59" spans="1:11">
      <c r="C59" s="1204" t="s">
        <v>159</v>
      </c>
      <c r="D59" s="1204"/>
      <c r="E59" s="1204"/>
      <c r="F59" s="1204"/>
      <c r="G59" s="423" t="e">
        <f>G58*0.03</f>
        <v>#REF!</v>
      </c>
    </row>
    <row r="60" spans="1:11">
      <c r="C60" s="1204" t="s">
        <v>914</v>
      </c>
      <c r="D60" s="1204"/>
      <c r="E60" s="1204"/>
      <c r="F60" s="1204"/>
      <c r="G60" s="423" t="e">
        <f>G58*0.2</f>
        <v>#REF!</v>
      </c>
    </row>
    <row r="61" spans="1:11">
      <c r="C61" s="1204" t="s">
        <v>20</v>
      </c>
      <c r="D61" s="1204"/>
      <c r="E61" s="1204"/>
      <c r="F61" s="1204"/>
      <c r="G61" s="423" t="e">
        <f>G58+G59+G60</f>
        <v>#REF!</v>
      </c>
    </row>
    <row r="62" spans="1:11">
      <c r="C62" s="1204" t="s">
        <v>161</v>
      </c>
      <c r="D62" s="1204"/>
      <c r="E62" s="1204"/>
      <c r="F62" s="1204"/>
      <c r="G62" s="423" t="e">
        <f>K23+K29+K35+K41+K47</f>
        <v>#REF!</v>
      </c>
    </row>
    <row r="63" spans="1:11">
      <c r="C63" s="1478" t="s">
        <v>915</v>
      </c>
      <c r="D63" s="1259"/>
      <c r="E63" s="1259"/>
      <c r="F63" s="1260"/>
      <c r="G63" s="934" t="e">
        <f>G62*0.05</f>
        <v>#REF!</v>
      </c>
    </row>
    <row r="64" spans="1:11">
      <c r="C64" s="1204" t="s">
        <v>162</v>
      </c>
      <c r="D64" s="1204"/>
      <c r="E64" s="1204"/>
      <c r="F64" s="1204"/>
      <c r="G64" s="423" t="e">
        <f>K55</f>
        <v>#REF!</v>
      </c>
    </row>
    <row r="65" spans="1:11 16384:16384">
      <c r="C65" s="1204" t="s">
        <v>20</v>
      </c>
      <c r="D65" s="1204"/>
      <c r="E65" s="1204"/>
      <c r="F65" s="1204"/>
      <c r="G65" s="423" t="e">
        <f>G62+G64+G63</f>
        <v>#REF!</v>
      </c>
    </row>
    <row r="66" spans="1:11 16384:16384">
      <c r="C66" s="1244" t="s">
        <v>163</v>
      </c>
      <c r="D66" s="1244"/>
      <c r="E66" s="1244"/>
      <c r="F66" s="1244"/>
      <c r="G66" s="424" t="e">
        <f>G61+G65</f>
        <v>#REF!</v>
      </c>
      <c r="XFD66" s="36" t="e">
        <f>SUM(A66:XFC66)</f>
        <v>#REF!</v>
      </c>
    </row>
    <row r="67" spans="1:11 16384:16384" ht="17" thickBot="1">
      <c r="C67" s="1245" t="s">
        <v>164</v>
      </c>
      <c r="D67" s="1245"/>
      <c r="E67" s="1245"/>
      <c r="F67" s="1245"/>
      <c r="G67" s="431" t="e">
        <f>G58*0.03</f>
        <v>#REF!</v>
      </c>
      <c r="I67" s="139"/>
      <c r="J67" s="140"/>
    </row>
    <row r="68" spans="1:11 16384:16384" ht="16" thickBot="1">
      <c r="C68" s="1246" t="s">
        <v>165</v>
      </c>
      <c r="D68" s="1247"/>
      <c r="E68" s="1247"/>
      <c r="F68" s="1248"/>
      <c r="G68" s="432" t="e">
        <f>G66+G67</f>
        <v>#REF!</v>
      </c>
    </row>
    <row r="69" spans="1:11 16384:16384">
      <c r="A69" s="141"/>
      <c r="B69" s="141"/>
      <c r="H69" s="141"/>
      <c r="I69" s="141"/>
      <c r="J69" s="141"/>
      <c r="K69" s="141"/>
    </row>
    <row r="70" spans="1:11 16384:16384" ht="14" customHeight="1">
      <c r="A70" s="141"/>
      <c r="B70" s="141"/>
      <c r="C70" s="141"/>
      <c r="D70" s="141"/>
      <c r="E70" s="141"/>
      <c r="F70" s="142"/>
      <c r="G70" s="143"/>
      <c r="H70" s="141"/>
      <c r="I70" s="141"/>
      <c r="J70" s="141"/>
      <c r="K70" s="141"/>
    </row>
    <row r="71" spans="1:11 16384:16384">
      <c r="A71" s="141"/>
      <c r="B71" s="141"/>
      <c r="C71" s="141"/>
      <c r="D71" s="141"/>
      <c r="E71" s="141"/>
      <c r="F71" s="142"/>
      <c r="G71" s="144"/>
      <c r="H71" s="141"/>
      <c r="I71" s="141"/>
      <c r="J71" s="141"/>
      <c r="K71" s="141"/>
    </row>
    <row r="72" spans="1:11 16384:16384" ht="16">
      <c r="A72" s="141"/>
      <c r="B72" s="141"/>
      <c r="C72" s="141"/>
      <c r="D72" s="141"/>
      <c r="E72" s="141"/>
      <c r="F72" s="142"/>
      <c r="G72" s="145"/>
      <c r="H72" s="141"/>
      <c r="I72" s="141"/>
      <c r="J72" s="141"/>
      <c r="K72" s="141"/>
    </row>
    <row r="73" spans="1:11 16384:16384">
      <c r="C73" s="141"/>
      <c r="D73" s="141"/>
      <c r="E73" s="141"/>
      <c r="F73" s="142"/>
      <c r="G73" s="144"/>
    </row>
    <row r="74" spans="1:11 16384:16384" ht="14" customHeight="1">
      <c r="F74" s="146"/>
      <c r="G74" s="147"/>
    </row>
    <row r="75" spans="1:11 16384:16384">
      <c r="G75" s="148"/>
    </row>
    <row r="76" spans="1:11 16384:16384">
      <c r="G76" s="147"/>
    </row>
    <row r="77" spans="1:11 16384:16384">
      <c r="C77" s="149"/>
    </row>
    <row r="78" spans="1:11 16384:16384">
      <c r="C78" s="147"/>
    </row>
    <row r="79" spans="1:11 16384:16384">
      <c r="C79" s="149"/>
    </row>
    <row r="80" spans="1:11 16384:16384">
      <c r="C80" s="147"/>
    </row>
    <row r="81" spans="1:11" s="141" customFormat="1">
      <c r="A81"/>
      <c r="B81"/>
      <c r="C81" s="149"/>
      <c r="D81"/>
      <c r="E81"/>
      <c r="F81"/>
      <c r="G81"/>
      <c r="H81"/>
      <c r="I81"/>
      <c r="J81"/>
      <c r="K81"/>
    </row>
    <row r="82" spans="1:11" s="141" customFormat="1">
      <c r="A82"/>
      <c r="B82"/>
      <c r="C82" s="147"/>
      <c r="D82"/>
      <c r="E82"/>
      <c r="F82"/>
      <c r="G82"/>
      <c r="H82"/>
      <c r="I82"/>
      <c r="J82"/>
      <c r="K82"/>
    </row>
    <row r="83" spans="1:11" s="141" customFormat="1">
      <c r="A83"/>
      <c r="B83"/>
      <c r="C83" s="149"/>
      <c r="D83"/>
      <c r="E83"/>
      <c r="F83"/>
      <c r="G83"/>
    </row>
    <row r="84" spans="1:11" s="141" customFormat="1">
      <c r="A84"/>
      <c r="B84"/>
      <c r="C84" s="147"/>
      <c r="D84"/>
      <c r="E84"/>
      <c r="F84"/>
      <c r="G84"/>
    </row>
    <row r="85" spans="1:11">
      <c r="C85" s="36"/>
      <c r="H85" s="141"/>
      <c r="I85" s="141"/>
      <c r="J85" s="141"/>
      <c r="K85" s="141"/>
    </row>
    <row r="86" spans="1:11">
      <c r="H86" s="141"/>
      <c r="I86" s="141"/>
      <c r="J86" s="141"/>
      <c r="K86" s="141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</sheetData>
  <mergeCells count="44">
    <mergeCell ref="C64:F64"/>
    <mergeCell ref="C65:F65"/>
    <mergeCell ref="C66:F66"/>
    <mergeCell ref="C67:F67"/>
    <mergeCell ref="C68:F68"/>
    <mergeCell ref="C63:F63"/>
    <mergeCell ref="A42:E42"/>
    <mergeCell ref="D47:E47"/>
    <mergeCell ref="I47:J47"/>
    <mergeCell ref="A48:B48"/>
    <mergeCell ref="D55:E55"/>
    <mergeCell ref="I55:J55"/>
    <mergeCell ref="C58:F58"/>
    <mergeCell ref="C59:F59"/>
    <mergeCell ref="C60:F60"/>
    <mergeCell ref="C61:F61"/>
    <mergeCell ref="C62:F62"/>
    <mergeCell ref="A30:E30"/>
    <mergeCell ref="D35:E35"/>
    <mergeCell ref="I35:J35"/>
    <mergeCell ref="A36:E36"/>
    <mergeCell ref="D41:E41"/>
    <mergeCell ref="I41:J41"/>
    <mergeCell ref="D29:E29"/>
    <mergeCell ref="I29:J29"/>
    <mergeCell ref="A5:B5"/>
    <mergeCell ref="D5:F5"/>
    <mergeCell ref="A6:B6"/>
    <mergeCell ref="D6:F6"/>
    <mergeCell ref="I6:K6"/>
    <mergeCell ref="A7:K7"/>
    <mergeCell ref="A8:G8"/>
    <mergeCell ref="A12:B12"/>
    <mergeCell ref="D23:E23"/>
    <mergeCell ref="I23:J23"/>
    <mergeCell ref="A24:D24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B2:H67"/>
  <sheetViews>
    <sheetView showGridLines="0" topLeftCell="A49" zoomScaleNormal="100" workbookViewId="0">
      <selection activeCell="M40" sqref="M40"/>
    </sheetView>
  </sheetViews>
  <sheetFormatPr baseColWidth="10" defaultColWidth="8.83203125" defaultRowHeight="15" outlineLevelRow="1"/>
  <cols>
    <col min="1" max="1" width="1.6640625" customWidth="1"/>
    <col min="2" max="2" width="4.6640625" customWidth="1"/>
    <col min="3" max="3" width="15.6640625" customWidth="1"/>
    <col min="6" max="6" width="6.5" customWidth="1"/>
    <col min="7" max="7" width="32.6640625" customWidth="1"/>
  </cols>
  <sheetData>
    <row r="2" spans="2:5" ht="17">
      <c r="C2" s="18" t="s">
        <v>13</v>
      </c>
    </row>
    <row r="4" spans="2:5">
      <c r="C4" s="1" t="s">
        <v>14</v>
      </c>
      <c r="D4" s="27" t="s">
        <v>32</v>
      </c>
    </row>
    <row r="5" spans="2:5">
      <c r="C5" t="s">
        <v>15</v>
      </c>
      <c r="D5" t="s">
        <v>33</v>
      </c>
    </row>
    <row r="6" spans="2:5">
      <c r="C6" t="s">
        <v>16</v>
      </c>
      <c r="D6">
        <v>0</v>
      </c>
    </row>
    <row r="7" spans="2:5">
      <c r="C7" t="s">
        <v>29</v>
      </c>
      <c r="D7">
        <v>0</v>
      </c>
    </row>
    <row r="9" spans="2:5">
      <c r="C9" s="1" t="s">
        <v>17</v>
      </c>
    </row>
    <row r="10" spans="2:5">
      <c r="B10" s="26" t="s">
        <v>18</v>
      </c>
      <c r="C10" s="26" t="s">
        <v>19</v>
      </c>
      <c r="D10" s="26" t="s">
        <v>7</v>
      </c>
      <c r="E10" s="26" t="s">
        <v>2</v>
      </c>
    </row>
    <row r="11" spans="2:5" outlineLevel="1">
      <c r="B11" s="19">
        <v>1</v>
      </c>
      <c r="C11" s="19" t="s">
        <v>34</v>
      </c>
      <c r="D11" s="20">
        <v>5600</v>
      </c>
      <c r="E11" s="19">
        <v>20</v>
      </c>
    </row>
    <row r="12" spans="2:5" outlineLevel="1">
      <c r="B12" s="4">
        <v>2</v>
      </c>
      <c r="C12" s="4" t="s">
        <v>35</v>
      </c>
      <c r="D12" s="21">
        <v>2150</v>
      </c>
      <c r="E12" s="4">
        <v>18</v>
      </c>
    </row>
    <row r="13" spans="2:5" outlineLevel="1">
      <c r="B13" s="4">
        <v>3</v>
      </c>
      <c r="C13" s="4" t="s">
        <v>36</v>
      </c>
      <c r="D13" s="21">
        <v>2140</v>
      </c>
      <c r="E13" s="4">
        <v>16</v>
      </c>
    </row>
    <row r="14" spans="2:5" outlineLevel="1">
      <c r="B14" s="4">
        <v>4</v>
      </c>
      <c r="C14" s="4" t="s">
        <v>37</v>
      </c>
      <c r="D14" s="21">
        <v>2100</v>
      </c>
      <c r="E14" s="4">
        <v>14</v>
      </c>
    </row>
    <row r="15" spans="2:5" outlineLevel="1">
      <c r="B15" s="4">
        <v>5</v>
      </c>
      <c r="C15" s="4" t="s">
        <v>38</v>
      </c>
      <c r="D15" s="21">
        <v>2050</v>
      </c>
      <c r="E15" s="4">
        <v>12</v>
      </c>
    </row>
    <row r="16" spans="2:5" outlineLevel="1">
      <c r="B16" s="4">
        <v>6</v>
      </c>
      <c r="C16" s="4" t="s">
        <v>39</v>
      </c>
      <c r="D16" s="21">
        <v>2000</v>
      </c>
      <c r="E16" s="4">
        <v>10</v>
      </c>
    </row>
    <row r="17" spans="2:8" outlineLevel="1">
      <c r="B17" s="4">
        <v>7</v>
      </c>
      <c r="C17" s="4" t="s">
        <v>40</v>
      </c>
      <c r="D17" s="21">
        <v>1930</v>
      </c>
      <c r="E17" s="4">
        <v>20</v>
      </c>
    </row>
    <row r="18" spans="2:8" outlineLevel="1">
      <c r="B18" s="4">
        <v>8</v>
      </c>
      <c r="C18" s="4" t="s">
        <v>41</v>
      </c>
      <c r="D18" s="21">
        <v>1880</v>
      </c>
      <c r="E18" s="4">
        <v>18</v>
      </c>
    </row>
    <row r="19" spans="2:8" outlineLevel="1">
      <c r="B19" s="4">
        <v>9</v>
      </c>
      <c r="C19" s="4" t="s">
        <v>42</v>
      </c>
      <c r="D19" s="21">
        <v>1820</v>
      </c>
      <c r="E19" s="4">
        <v>18</v>
      </c>
    </row>
    <row r="20" spans="2:8" outlineLevel="1">
      <c r="B20" s="4">
        <v>10</v>
      </c>
      <c r="C20" s="4" t="s">
        <v>43</v>
      </c>
      <c r="D20" s="21">
        <v>1710</v>
      </c>
      <c r="E20" s="4">
        <v>14</v>
      </c>
    </row>
    <row r="21" spans="2:8" outlineLevel="1">
      <c r="B21" s="4">
        <v>11</v>
      </c>
      <c r="C21" s="4" t="s">
        <v>44</v>
      </c>
      <c r="D21" s="21">
        <v>1560</v>
      </c>
      <c r="E21" s="4">
        <v>12</v>
      </c>
    </row>
    <row r="22" spans="2:8" outlineLevel="1">
      <c r="B22" s="4">
        <v>12</v>
      </c>
      <c r="C22" s="4" t="s">
        <v>45</v>
      </c>
      <c r="D22" s="21">
        <v>1520</v>
      </c>
      <c r="E22" s="4">
        <v>25</v>
      </c>
    </row>
    <row r="23" spans="2:8" outlineLevel="1">
      <c r="B23" s="5">
        <v>13</v>
      </c>
      <c r="C23" s="5" t="s">
        <v>46</v>
      </c>
      <c r="D23" s="22">
        <v>1380</v>
      </c>
      <c r="E23" s="5">
        <v>22</v>
      </c>
    </row>
    <row r="24" spans="2:8">
      <c r="B24" s="23"/>
      <c r="C24" s="23" t="s">
        <v>20</v>
      </c>
      <c r="D24" s="25">
        <f>SUMPRODUCT(D11:D23,E11:E23)</f>
        <v>475160</v>
      </c>
      <c r="E24" s="23">
        <f>SUM(E11:E23)</f>
        <v>219</v>
      </c>
    </row>
    <row r="26" spans="2:8">
      <c r="B26" s="28" t="s">
        <v>18</v>
      </c>
      <c r="C26" s="28" t="s">
        <v>0</v>
      </c>
      <c r="D26" s="28" t="s">
        <v>7</v>
      </c>
      <c r="E26" s="28" t="s">
        <v>26</v>
      </c>
      <c r="F26" s="28" t="s">
        <v>27</v>
      </c>
      <c r="G26" s="28" t="s">
        <v>30</v>
      </c>
      <c r="H26" s="28" t="s">
        <v>28</v>
      </c>
    </row>
    <row r="27" spans="2:8">
      <c r="B27" s="19">
        <v>1</v>
      </c>
      <c r="C27" s="30" t="s">
        <v>32</v>
      </c>
      <c r="D27" s="19">
        <v>5600</v>
      </c>
      <c r="E27" s="19">
        <v>5600</v>
      </c>
      <c r="F27" s="19">
        <v>6</v>
      </c>
      <c r="G27" s="30" t="s">
        <v>47</v>
      </c>
      <c r="H27" s="19">
        <v>0</v>
      </c>
    </row>
    <row r="28" spans="2:8">
      <c r="B28" s="4">
        <v>2</v>
      </c>
      <c r="C28" s="31" t="s">
        <v>32</v>
      </c>
      <c r="D28" s="4">
        <v>5600</v>
      </c>
      <c r="E28" s="4">
        <v>5600</v>
      </c>
      <c r="F28" s="4">
        <v>5</v>
      </c>
      <c r="G28" s="31" t="s">
        <v>48</v>
      </c>
      <c r="H28" s="4">
        <v>0</v>
      </c>
    </row>
    <row r="29" spans="2:8">
      <c r="B29" s="4">
        <v>3</v>
      </c>
      <c r="C29" s="31" t="s">
        <v>32</v>
      </c>
      <c r="D29" s="4">
        <v>5600</v>
      </c>
      <c r="E29" s="4">
        <v>5590</v>
      </c>
      <c r="F29" s="4">
        <v>2</v>
      </c>
      <c r="G29" s="31" t="s">
        <v>49</v>
      </c>
      <c r="H29" s="4">
        <v>10</v>
      </c>
    </row>
    <row r="30" spans="2:8">
      <c r="B30" s="4">
        <v>4</v>
      </c>
      <c r="C30" s="31" t="s">
        <v>32</v>
      </c>
      <c r="D30" s="4">
        <v>5600</v>
      </c>
      <c r="E30" s="4">
        <v>5590</v>
      </c>
      <c r="F30" s="4">
        <v>14</v>
      </c>
      <c r="G30" s="31" t="s">
        <v>50</v>
      </c>
      <c r="H30" s="4">
        <v>10</v>
      </c>
    </row>
    <row r="31" spans="2:8">
      <c r="B31" s="4">
        <v>5</v>
      </c>
      <c r="C31" s="31" t="s">
        <v>32</v>
      </c>
      <c r="D31" s="4">
        <v>5600</v>
      </c>
      <c r="E31" s="4">
        <v>5590</v>
      </c>
      <c r="F31" s="4">
        <v>5</v>
      </c>
      <c r="G31" s="31" t="s">
        <v>51</v>
      </c>
      <c r="H31" s="4">
        <v>10</v>
      </c>
    </row>
    <row r="32" spans="2:8">
      <c r="B32" s="4">
        <v>6</v>
      </c>
      <c r="C32" s="31" t="s">
        <v>32</v>
      </c>
      <c r="D32" s="4">
        <v>5600</v>
      </c>
      <c r="E32" s="4">
        <v>5580</v>
      </c>
      <c r="F32" s="4">
        <v>3</v>
      </c>
      <c r="G32" s="31" t="s">
        <v>52</v>
      </c>
      <c r="H32" s="4">
        <v>20</v>
      </c>
    </row>
    <row r="33" spans="2:8">
      <c r="B33" s="4">
        <v>7</v>
      </c>
      <c r="C33" s="31" t="s">
        <v>32</v>
      </c>
      <c r="D33" s="4">
        <v>5600</v>
      </c>
      <c r="E33" s="4">
        <v>5580</v>
      </c>
      <c r="F33" s="4">
        <v>6</v>
      </c>
      <c r="G33" s="31" t="s">
        <v>53</v>
      </c>
      <c r="H33" s="4">
        <v>20</v>
      </c>
    </row>
    <row r="34" spans="2:8">
      <c r="B34" s="4">
        <v>8</v>
      </c>
      <c r="C34" s="31" t="s">
        <v>32</v>
      </c>
      <c r="D34" s="4">
        <v>5600</v>
      </c>
      <c r="E34" s="4">
        <v>5580</v>
      </c>
      <c r="F34" s="4">
        <v>7</v>
      </c>
      <c r="G34" s="31" t="s">
        <v>54</v>
      </c>
      <c r="H34" s="4">
        <v>20</v>
      </c>
    </row>
    <row r="35" spans="2:8">
      <c r="B35" s="4">
        <v>9</v>
      </c>
      <c r="C35" s="31" t="s">
        <v>32</v>
      </c>
      <c r="D35" s="4">
        <v>5600</v>
      </c>
      <c r="E35" s="4">
        <v>5580</v>
      </c>
      <c r="F35" s="4">
        <v>6</v>
      </c>
      <c r="G35" s="31" t="s">
        <v>55</v>
      </c>
      <c r="H35" s="4">
        <v>20</v>
      </c>
    </row>
    <row r="36" spans="2:8">
      <c r="B36" s="4">
        <v>10</v>
      </c>
      <c r="C36" s="31" t="s">
        <v>32</v>
      </c>
      <c r="D36" s="4">
        <v>5600</v>
      </c>
      <c r="E36" s="4">
        <v>5580</v>
      </c>
      <c r="F36" s="4">
        <v>7</v>
      </c>
      <c r="G36" s="31" t="s">
        <v>56</v>
      </c>
      <c r="H36" s="4">
        <v>20</v>
      </c>
    </row>
    <row r="37" spans="2:8">
      <c r="B37" s="4">
        <v>11</v>
      </c>
      <c r="C37" s="31" t="s">
        <v>32</v>
      </c>
      <c r="D37" s="4">
        <v>5600</v>
      </c>
      <c r="E37" s="4">
        <v>5580</v>
      </c>
      <c r="F37" s="4">
        <v>8</v>
      </c>
      <c r="G37" s="31" t="s">
        <v>57</v>
      </c>
      <c r="H37" s="4">
        <v>20</v>
      </c>
    </row>
    <row r="38" spans="2:8">
      <c r="B38" s="4">
        <v>12</v>
      </c>
      <c r="C38" s="31" t="s">
        <v>32</v>
      </c>
      <c r="D38" s="4">
        <v>5600</v>
      </c>
      <c r="E38" s="4">
        <v>5570</v>
      </c>
      <c r="F38" s="4">
        <v>1</v>
      </c>
      <c r="G38" s="31" t="s">
        <v>58</v>
      </c>
      <c r="H38" s="4">
        <v>30</v>
      </c>
    </row>
    <row r="39" spans="2:8">
      <c r="B39" s="4">
        <v>13</v>
      </c>
      <c r="C39" s="31" t="s">
        <v>32</v>
      </c>
      <c r="D39" s="4">
        <v>5600</v>
      </c>
      <c r="E39" s="4">
        <v>5560</v>
      </c>
      <c r="F39" s="4">
        <v>2</v>
      </c>
      <c r="G39" s="31" t="s">
        <v>59</v>
      </c>
      <c r="H39" s="4">
        <v>40</v>
      </c>
    </row>
    <row r="40" spans="2:8">
      <c r="B40" s="5">
        <v>14</v>
      </c>
      <c r="C40" s="32" t="s">
        <v>32</v>
      </c>
      <c r="D40" s="5">
        <v>5600</v>
      </c>
      <c r="E40" s="5">
        <v>5020</v>
      </c>
      <c r="F40" s="5">
        <v>1</v>
      </c>
      <c r="G40" s="32" t="s">
        <v>60</v>
      </c>
      <c r="H40" s="5">
        <v>580</v>
      </c>
    </row>
    <row r="42" spans="2:8">
      <c r="B42">
        <v>1</v>
      </c>
    </row>
    <row r="43" spans="2:8">
      <c r="B43">
        <v>2</v>
      </c>
    </row>
    <row r="44" spans="2:8">
      <c r="B44">
        <v>3</v>
      </c>
    </row>
    <row r="45" spans="2:8">
      <c r="B45">
        <v>4</v>
      </c>
    </row>
    <row r="46" spans="2:8">
      <c r="B46">
        <v>5</v>
      </c>
    </row>
    <row r="47" spans="2:8">
      <c r="B47">
        <v>6</v>
      </c>
    </row>
    <row r="48" spans="2:8">
      <c r="B48">
        <v>7</v>
      </c>
    </row>
    <row r="49" spans="2:5">
      <c r="B49">
        <v>8</v>
      </c>
    </row>
    <row r="50" spans="2:5">
      <c r="B50">
        <v>9</v>
      </c>
    </row>
    <row r="51" spans="2:5">
      <c r="B51">
        <v>10</v>
      </c>
    </row>
    <row r="52" spans="2:5">
      <c r="B52">
        <v>11</v>
      </c>
    </row>
    <row r="53" spans="2:5">
      <c r="B53">
        <v>12</v>
      </c>
    </row>
    <row r="54" spans="2:5">
      <c r="B54">
        <v>13</v>
      </c>
    </row>
    <row r="55" spans="2:5">
      <c r="B55">
        <v>14</v>
      </c>
    </row>
    <row r="57" spans="2:5">
      <c r="C57" s="1" t="s">
        <v>22</v>
      </c>
    </row>
    <row r="58" spans="2:5">
      <c r="C58" s="26" t="s">
        <v>0</v>
      </c>
      <c r="D58" s="26" t="s">
        <v>7</v>
      </c>
      <c r="E58" s="26" t="s">
        <v>2</v>
      </c>
    </row>
    <row r="59" spans="2:5">
      <c r="C59" s="34" t="s">
        <v>32</v>
      </c>
      <c r="D59" s="35">
        <v>5600</v>
      </c>
      <c r="E59" s="33">
        <v>73</v>
      </c>
    </row>
    <row r="60" spans="2:5">
      <c r="C60" s="23" t="s">
        <v>20</v>
      </c>
      <c r="D60" s="25">
        <f>SUMPRODUCT(D59:D59,E59:E59)</f>
        <v>408800</v>
      </c>
      <c r="E60" s="23">
        <f>SUM(E59:E59)</f>
        <v>73</v>
      </c>
    </row>
    <row r="62" spans="2:5">
      <c r="C62" s="1" t="s">
        <v>31</v>
      </c>
    </row>
    <row r="63" spans="2:5">
      <c r="C63" s="28" t="s">
        <v>0</v>
      </c>
      <c r="D63" s="28" t="s">
        <v>7</v>
      </c>
      <c r="E63" s="28" t="s">
        <v>2</v>
      </c>
    </row>
    <row r="64" spans="2:5">
      <c r="C64" s="34" t="s">
        <v>32</v>
      </c>
      <c r="D64" s="35">
        <v>580</v>
      </c>
      <c r="E64" s="33">
        <v>1</v>
      </c>
    </row>
    <row r="65" spans="3:5">
      <c r="C65" s="23" t="s">
        <v>20</v>
      </c>
      <c r="D65" s="25">
        <f>SUMPRODUCT(D64:D64,E64:E64)</f>
        <v>580</v>
      </c>
      <c r="E65" s="23">
        <f>SUM(E64:E64)</f>
        <v>1</v>
      </c>
    </row>
    <row r="67" spans="3:5">
      <c r="C67" s="1" t="s">
        <v>21</v>
      </c>
      <c r="D67" s="24">
        <f>D60-D24-D65</f>
        <v>-66940</v>
      </c>
      <c r="E67" s="29">
        <f>D67/D60</f>
        <v>-0.16374755381604697</v>
      </c>
    </row>
  </sheetData>
  <pageMargins left="0.7" right="0.7" top="0.75" bottom="0.75" header="0.3" footer="0.3"/>
  <pageSetup paperSize="9" orientation="portrait" r:id="rId1"/>
  <headerFooter>
    <oddHeader>&amp;L&amp;10Результаты раскроя 14.05.2021 8:21:39</oddHeader>
    <oddFooter>&amp;L&amp;10CSP Solver v0.95, MichaelCH (m-ch@mail.ru)&amp;R&amp;10Стр. &amp;P из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Лист1</vt:lpstr>
      <vt:lpstr>балки</vt:lpstr>
      <vt:lpstr>data</vt:lpstr>
      <vt:lpstr>Балки - Этажи 45 и 95мм</vt:lpstr>
      <vt:lpstr>Балки - КС и ПБКЛ</vt:lpstr>
      <vt:lpstr>Балки - ест. влахность</vt:lpstr>
      <vt:lpstr>Смета Мягкая</vt:lpstr>
      <vt:lpstr>Смета Железо</vt:lpstr>
      <vt:lpstr>Смета винты 89х2500</vt:lpstr>
      <vt:lpstr>Смета винты 89х3000</vt:lpstr>
      <vt:lpstr>Смета винты 108х2500</vt:lpstr>
      <vt:lpstr>Смета винты 108х3000</vt:lpstr>
      <vt:lpstr>Смета ЖБ 150х3000</vt:lpstr>
      <vt:lpstr>Смета ЖБ 200х3000</vt:lpstr>
      <vt:lpstr>Смета ЖБ 150х4000</vt:lpstr>
      <vt:lpstr>Смета ЖБ 200х4000</vt:lpstr>
      <vt:lpstr>Смета - Рубероид</vt:lpstr>
      <vt:lpstr>Смета СВ-Рост 600х300</vt:lpstr>
      <vt:lpstr>Смета лента 600х300</vt:lpstr>
      <vt:lpstr>Смета лента 700х300</vt:lpstr>
      <vt:lpstr>Смета плита</vt:lpstr>
      <vt:lpstr>Смета ХВ 200</vt:lpstr>
      <vt:lpstr>Смета брус КС 145х45</vt:lpstr>
      <vt:lpstr>Смета брус КС 145х95</vt:lpstr>
      <vt:lpstr>Смета брус КС 145х145</vt:lpstr>
      <vt:lpstr>Смета брус КС 145х195</vt:lpstr>
      <vt:lpstr>Смета брус КС 195х195</vt:lpstr>
      <vt:lpstr>Смета брус ЕВ 145х140</vt:lpstr>
      <vt:lpstr>Смета брус ЕВ 145х190</vt:lpstr>
      <vt:lpstr>Смета брус ЕВ 195х190</vt:lpstr>
      <vt:lpstr>Смета брус ЕВ-Л 145х140</vt:lpstr>
      <vt:lpstr>Смета брус ЕВ-Л 145х190</vt:lpstr>
      <vt:lpstr>Смета брус ЕВ-Л 195х190</vt:lpstr>
      <vt:lpstr>Смета брус ЕВ-К 145х140</vt:lpstr>
      <vt:lpstr>Смета брус ЕВ-К 145х190</vt:lpstr>
      <vt:lpstr>Смета брус ЕВ-К 195х190</vt:lpstr>
      <vt:lpstr>Смета КЛ 145х160</vt:lpstr>
      <vt:lpstr>Смета КЛ 145х200</vt:lpstr>
      <vt:lpstr>Смета КЛ 190х160</vt:lpstr>
      <vt:lpstr>Смета КЛ 190х200</vt:lpstr>
      <vt:lpstr>Смета КЛ 145х240</vt:lpstr>
      <vt:lpstr>Смета КЛ 190х240</vt:lpstr>
      <vt:lpstr>Смета КЛ 230х160</vt:lpstr>
      <vt:lpstr>Смета КЛ 230х200</vt:lpstr>
      <vt:lpstr>Смета КЛ 230х240</vt:lpstr>
      <vt:lpstr>Смета КЛ 250х160</vt:lpstr>
      <vt:lpstr>Смета КЛ 250х200</vt:lpstr>
      <vt:lpstr>Смета КЛ 280х200</vt:lpstr>
      <vt:lpstr>Смета ХВ 180</vt:lpstr>
      <vt:lpstr>Смета ХВ 220</vt:lpstr>
      <vt:lpstr>Смета ХВ 240</vt:lpstr>
      <vt:lpstr>Смета ХВ 260</vt:lpstr>
      <vt:lpstr>Смета ХВ 280</vt:lpstr>
      <vt:lpstr>Смета ХВ 300</vt:lpstr>
      <vt:lpstr>Смета Л 200</vt:lpstr>
      <vt:lpstr>Смета Л 220</vt:lpstr>
      <vt:lpstr>Смета Л 240</vt:lpstr>
      <vt:lpstr>Смета Л 260</vt:lpstr>
      <vt:lpstr>Смета Л 280</vt:lpstr>
      <vt:lpstr>Смета Л 300</vt:lpstr>
      <vt:lpstr>Смета К 200</vt:lpstr>
      <vt:lpstr>Смета К 220</vt:lpstr>
      <vt:lpstr>Смета К 240</vt:lpstr>
      <vt:lpstr>Смета К 260</vt:lpstr>
      <vt:lpstr>Смета К 280</vt:lpstr>
      <vt:lpstr>Смета К 300</vt:lpstr>
      <vt:lpstr>Смета ХВР 180</vt:lpstr>
      <vt:lpstr>Смета ХВР 200</vt:lpstr>
      <vt:lpstr>Смета ХВР 220</vt:lpstr>
      <vt:lpstr>Смета ХВР 240</vt:lpstr>
      <vt:lpstr>Смета ХВР 260</vt:lpstr>
      <vt:lpstr>Смета ХВР 280</vt:lpstr>
      <vt:lpstr>Смета ХВР 300</vt:lpstr>
      <vt:lpstr>Смета ХВР 320</vt:lpstr>
      <vt:lpstr>Смета ХВР 340</vt:lpstr>
      <vt:lpstr>Смета ХВР 360</vt:lpstr>
      <vt:lpstr>Смета ХВР 380</vt:lpstr>
      <vt:lpstr>Смета ХВР 400</vt:lpstr>
      <vt:lpstr>Смета ЛР 200</vt:lpstr>
      <vt:lpstr>Смета ЛР 220</vt:lpstr>
      <vt:lpstr>Смета ЛР 240</vt:lpstr>
      <vt:lpstr>Смета ЛР 260</vt:lpstr>
      <vt:lpstr>Смета ЛР 280</vt:lpstr>
      <vt:lpstr>Смета ЛР 300</vt:lpstr>
      <vt:lpstr>Смета ЛР 320</vt:lpstr>
      <vt:lpstr>Смета ЛР 340</vt:lpstr>
      <vt:lpstr>Смета ЛР 360</vt:lpstr>
      <vt:lpstr>Смета ЛР 380</vt:lpstr>
      <vt:lpstr>Смета ЛР 400</vt:lpstr>
      <vt:lpstr>Смета КР 200</vt:lpstr>
      <vt:lpstr>Смета КР 220</vt:lpstr>
      <vt:lpstr>Смета КР 240</vt:lpstr>
      <vt:lpstr>Смета КР 260</vt:lpstr>
      <vt:lpstr>Смета КР 280</vt:lpstr>
      <vt:lpstr>Смета КР 300</vt:lpstr>
      <vt:lpstr>Смета КР 320</vt:lpstr>
      <vt:lpstr>Смета КР 340</vt:lpstr>
      <vt:lpstr>Смета КР 360</vt:lpstr>
      <vt:lpstr>Смета КР 380</vt:lpstr>
      <vt:lpstr>Смета КР 400</vt:lpstr>
      <vt:lpstr>Out (Кратко)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</dc:creator>
  <cp:lastModifiedBy>Konstantin Borodin</cp:lastModifiedBy>
  <cp:lastPrinted>2019-10-11T07:13:52Z</cp:lastPrinted>
  <dcterms:created xsi:type="dcterms:W3CDTF">2016-06-09T19:47:25Z</dcterms:created>
  <dcterms:modified xsi:type="dcterms:W3CDTF">2024-05-03T22:59:51Z</dcterms:modified>
</cp:coreProperties>
</file>