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Портал строительство\1 Сметы\для портал отдельно фундаменты проги\Константину\"/>
    </mc:Choice>
  </mc:AlternateContent>
  <xr:revisionPtr revIDLastSave="0" documentId="13_ncr:1_{CD980CB5-7A62-4641-A30A-BC56BC4F79CC}" xr6:coauthVersionLast="47" xr6:coauthVersionMax="47" xr10:uidLastSave="{00000000-0000-0000-0000-000000000000}"/>
  <bookViews>
    <workbookView xWindow="-132" yWindow="-132" windowWidth="23304" windowHeight="12624" activeTab="2" xr2:uid="{00000000-000D-0000-FFFF-FFFF00000000}"/>
  </bookViews>
  <sheets>
    <sheet name="данные" sheetId="1" r:id="rId1"/>
    <sheet name="Ст-сть Матер-Работ" sheetId="4" r:id="rId2"/>
    <sheet name="смета 600х300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3" i="4" l="1"/>
  <c r="C32" i="4"/>
  <c r="C31" i="4"/>
  <c r="C30" i="4"/>
  <c r="E31" i="4"/>
  <c r="E30" i="4"/>
  <c r="E28" i="4"/>
  <c r="E27" i="4"/>
  <c r="E26" i="4"/>
  <c r="E23" i="4"/>
  <c r="E22" i="4"/>
  <c r="E21" i="4"/>
  <c r="E20" i="4"/>
  <c r="E19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D54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E40" i="1"/>
  <c r="E39" i="1"/>
  <c r="E38" i="1"/>
  <c r="G30" i="1"/>
  <c r="E16" i="4" l="1"/>
  <c r="L11" i="3"/>
  <c r="F46" i="3" l="1"/>
  <c r="F42" i="3"/>
  <c r="F36" i="3"/>
  <c r="F35" i="3"/>
  <c r="F33" i="3"/>
  <c r="F32" i="3"/>
  <c r="F31" i="3"/>
  <c r="F30" i="3"/>
  <c r="F29" i="3"/>
  <c r="F28" i="3"/>
  <c r="F27" i="3"/>
  <c r="F19" i="3"/>
  <c r="F16" i="3"/>
  <c r="F15" i="3"/>
  <c r="F14" i="3"/>
  <c r="F13" i="3"/>
  <c r="F12" i="3"/>
  <c r="F11" i="3"/>
  <c r="J6" i="3"/>
  <c r="D6" i="3"/>
  <c r="K6" i="3"/>
  <c r="C14" i="3" l="1"/>
  <c r="C16" i="3"/>
  <c r="L48" i="3"/>
  <c r="L47" i="3"/>
  <c r="F28" i="4"/>
  <c r="F50" i="1" s="1"/>
  <c r="E11" i="3"/>
  <c r="G8" i="4"/>
  <c r="E18" i="4"/>
  <c r="L34" i="3" s="1"/>
  <c r="E17" i="4"/>
  <c r="L30" i="3"/>
  <c r="L43" i="3"/>
  <c r="L42" i="3"/>
  <c r="L41" i="3"/>
  <c r="L40" i="3"/>
  <c r="L39" i="3"/>
  <c r="L23" i="3"/>
  <c r="L22" i="3"/>
  <c r="L21" i="3"/>
  <c r="L20" i="3"/>
  <c r="L35" i="3"/>
  <c r="L50" i="3"/>
  <c r="L49" i="3"/>
  <c r="L37" i="3"/>
  <c r="L36" i="3"/>
  <c r="L26" i="3"/>
  <c r="L25" i="3"/>
  <c r="L24" i="3"/>
  <c r="L19" i="3"/>
  <c r="L16" i="3"/>
  <c r="L14" i="3"/>
  <c r="K47" i="3"/>
  <c r="L29" i="3" l="1"/>
  <c r="L31" i="3"/>
  <c r="L32" i="3"/>
  <c r="L33" i="3"/>
  <c r="L28" i="3"/>
  <c r="L27" i="3"/>
  <c r="K11" i="3"/>
  <c r="M11" i="3" s="1"/>
  <c r="E28" i="3"/>
  <c r="G28" i="3" s="1"/>
  <c r="G11" i="3"/>
  <c r="I15" i="3"/>
  <c r="L15" i="3" s="1"/>
  <c r="M47" i="3"/>
  <c r="K22" i="3" l="1"/>
  <c r="M22" i="3" s="1"/>
  <c r="K21" i="3"/>
  <c r="M21" i="3" s="1"/>
  <c r="E35" i="3"/>
  <c r="G35" i="3" s="1"/>
  <c r="E19" i="3"/>
  <c r="G19" i="3" s="1"/>
  <c r="E14" i="3"/>
  <c r="G14" i="3" s="1"/>
  <c r="K25" i="3"/>
  <c r="M25" i="3" s="1"/>
  <c r="E15" i="3"/>
  <c r="G15" i="3" s="1"/>
  <c r="K23" i="3"/>
  <c r="M23" i="3" s="1"/>
  <c r="K41" i="3"/>
  <c r="M41" i="3" s="1"/>
  <c r="E36" i="3"/>
  <c r="G36" i="3" s="1"/>
  <c r="K15" i="3"/>
  <c r="M15" i="3" s="1"/>
  <c r="E29" i="3" l="1"/>
  <c r="G29" i="3" s="1"/>
  <c r="K42" i="3"/>
  <c r="M42" i="3" s="1"/>
  <c r="E42" i="3"/>
  <c r="G42" i="3" s="1"/>
  <c r="K14" i="3"/>
  <c r="M14" i="3" s="1"/>
  <c r="E30" i="3"/>
  <c r="G30" i="3" s="1"/>
  <c r="K28" i="3"/>
  <c r="M28" i="3" s="1"/>
  <c r="E32" i="3"/>
  <c r="G32" i="3" s="1"/>
  <c r="E31" i="3"/>
  <c r="G31" i="3" s="1"/>
  <c r="F27" i="4"/>
  <c r="F49" i="1" s="1"/>
  <c r="E13" i="3"/>
  <c r="G13" i="3" s="1"/>
  <c r="K24" i="3"/>
  <c r="M24" i="3" s="1"/>
  <c r="K50" i="3"/>
  <c r="M50" i="3" s="1"/>
  <c r="K27" i="3"/>
  <c r="M27" i="3" s="1"/>
  <c r="E12" i="3"/>
  <c r="G12" i="3" s="1"/>
  <c r="K36" i="3"/>
  <c r="M36" i="3" s="1"/>
  <c r="K49" i="3"/>
  <c r="M49" i="3" s="1"/>
  <c r="K19" i="3"/>
  <c r="M19" i="3" s="1"/>
  <c r="K26" i="3"/>
  <c r="M26" i="3" s="1"/>
  <c r="F26" i="4"/>
  <c r="F48" i="1" s="1"/>
  <c r="E33" i="3"/>
  <c r="G33" i="3" s="1"/>
  <c r="K37" i="3"/>
  <c r="M37" i="3" s="1"/>
  <c r="E46" i="1" l="1"/>
  <c r="K43" i="3"/>
  <c r="M43" i="3" s="1"/>
  <c r="K20" i="3"/>
  <c r="M20" i="3" s="1"/>
  <c r="K29" i="3"/>
  <c r="M29" i="3" s="1"/>
  <c r="K30" i="3"/>
  <c r="M30" i="3" s="1"/>
  <c r="K32" i="3"/>
  <c r="M32" i="3" s="1"/>
  <c r="K33" i="3"/>
  <c r="M33" i="3" s="1"/>
  <c r="E16" i="3"/>
  <c r="G16" i="3" s="1"/>
  <c r="G17" i="3" s="1"/>
  <c r="K35" i="3"/>
  <c r="M35" i="3" s="1"/>
  <c r="K40" i="3"/>
  <c r="M40" i="3" s="1"/>
  <c r="K31" i="3"/>
  <c r="M31" i="3" s="1"/>
  <c r="E24" i="4"/>
  <c r="K39" i="3"/>
  <c r="M39" i="3" s="1"/>
  <c r="K16" i="3" l="1"/>
  <c r="M16" i="3" s="1"/>
  <c r="M17" i="3" s="1"/>
  <c r="K34" i="3"/>
  <c r="M34" i="3" s="1"/>
  <c r="M44" i="3" s="1"/>
  <c r="K48" i="3" l="1"/>
  <c r="M48" i="3" s="1"/>
  <c r="E46" i="3"/>
  <c r="E27" i="3"/>
  <c r="G27" i="3" s="1"/>
  <c r="G44" i="3" s="1"/>
  <c r="H58" i="3"/>
  <c r="H59" i="3" s="1"/>
  <c r="M51" i="3" l="1"/>
  <c r="H60" i="3" s="1"/>
  <c r="H61" i="3" s="1"/>
  <c r="G46" i="3"/>
  <c r="G51" i="3" s="1"/>
  <c r="H54" i="3" s="1"/>
  <c r="H63" i="3" s="1"/>
  <c r="H56" i="3" l="1"/>
  <c r="H55" i="3"/>
  <c r="H57" i="3" l="1"/>
  <c r="H62" i="3" s="1"/>
  <c r="H64" i="3" s="1"/>
</calcChain>
</file>

<file path=xl/sharedStrings.xml><?xml version="1.0" encoding="utf-8"?>
<sst xmlns="http://schemas.openxmlformats.org/spreadsheetml/2006/main" count="380" uniqueCount="138">
  <si>
    <t>Ед. изм.</t>
  </si>
  <si>
    <t>1. Земляные и подготовительные работы</t>
  </si>
  <si>
    <t>Разбивка  площадки с выносом осей</t>
  </si>
  <si>
    <t>м2</t>
  </si>
  <si>
    <t>Расходный материал</t>
  </si>
  <si>
    <t>м3</t>
  </si>
  <si>
    <t>Зачистка дна траншеи вручную</t>
  </si>
  <si>
    <t>Песок карьерный</t>
  </si>
  <si>
    <t xml:space="preserve">м2 </t>
  </si>
  <si>
    <t>рул</t>
  </si>
  <si>
    <t>Щебень фр 20х40</t>
  </si>
  <si>
    <t>м.п.</t>
  </si>
  <si>
    <t>шт</t>
  </si>
  <si>
    <t>к-т</t>
  </si>
  <si>
    <t>Итого работы</t>
  </si>
  <si>
    <t>Итого материалы</t>
  </si>
  <si>
    <t xml:space="preserve">2. Устройство фундамента </t>
  </si>
  <si>
    <t>1.</t>
  </si>
  <si>
    <t>Доска 50х150 обр</t>
  </si>
  <si>
    <t>Гвоздь строительный  100 мм</t>
  </si>
  <si>
    <t>кг</t>
  </si>
  <si>
    <t>Саморез черный по дереву усиленный 96 мм</t>
  </si>
  <si>
    <t>Пленка п/э 200 мкр</t>
  </si>
  <si>
    <t>2.</t>
  </si>
  <si>
    <t>тн</t>
  </si>
  <si>
    <t>Арматура д.12 мм  А500С</t>
  </si>
  <si>
    <t>Арматура д.8 мм  А240</t>
  </si>
  <si>
    <t>2.2.</t>
  </si>
  <si>
    <t>Изготовление Д3 "УГОЛ"</t>
  </si>
  <si>
    <t xml:space="preserve">Проволока вязальная </t>
  </si>
  <si>
    <t>3.</t>
  </si>
  <si>
    <t>Бетонирование монолитного ростверка</t>
  </si>
  <si>
    <t>Бетон В 25</t>
  </si>
  <si>
    <t>Прием матералов на фундамент</t>
  </si>
  <si>
    <t>Аренда а/м до 1,5 тн</t>
  </si>
  <si>
    <t>м/см</t>
  </si>
  <si>
    <t>Аренда бетононасоса</t>
  </si>
  <si>
    <t>Ст-ть работ</t>
  </si>
  <si>
    <t>Транспортные расходы 3%</t>
  </si>
  <si>
    <t>Накладные расходы 16%</t>
  </si>
  <si>
    <t>Итого</t>
  </si>
  <si>
    <t>Ст-ть материалов</t>
  </si>
  <si>
    <t xml:space="preserve">Транспортные расходы </t>
  </si>
  <si>
    <t>ИТОГО по смете, руб</t>
  </si>
  <si>
    <t>ПСР 3%</t>
  </si>
  <si>
    <t>ВСЕГО по смете, руб.</t>
  </si>
  <si>
    <t>S пятна застройки</t>
  </si>
  <si>
    <t>Количество пересечений крест</t>
  </si>
  <si>
    <t>Количество пересечений Т-обр</t>
  </si>
  <si>
    <t>Количество углов 45 гр</t>
  </si>
  <si>
    <t xml:space="preserve">Толщина песчаного основания </t>
  </si>
  <si>
    <t>Толщина щебеночного основания</t>
  </si>
  <si>
    <t>2.1.</t>
  </si>
  <si>
    <t>Изготовление детали "хомут"</t>
  </si>
  <si>
    <t xml:space="preserve">Устройство армокаркаса монолитного ростверка </t>
  </si>
  <si>
    <t>2.3.</t>
  </si>
  <si>
    <t>Опорная площадка "Стульчик"</t>
  </si>
  <si>
    <t>Расходные материалы</t>
  </si>
  <si>
    <t>Монтаж опалубки</t>
  </si>
  <si>
    <t>2.4.</t>
  </si>
  <si>
    <t>Изготовление Д4 "УГОЛ 45"</t>
  </si>
  <si>
    <t>Изготовление Д1 "Стойка"</t>
  </si>
  <si>
    <t>Аренда а/м до 8 тн</t>
  </si>
  <si>
    <t>Аренда JSB</t>
  </si>
  <si>
    <t>к-кт</t>
  </si>
  <si>
    <t>Геотекстиль плотность 160 г/м2 ,50 м.п. шириной мм.</t>
  </si>
  <si>
    <t>диск отрезной д 125 мм</t>
  </si>
  <si>
    <t>ед изм</t>
  </si>
  <si>
    <t>Цена</t>
  </si>
  <si>
    <t>собка для степлера 1000 шт</t>
  </si>
  <si>
    <t>пачка</t>
  </si>
  <si>
    <t>кол-во</t>
  </si>
  <si>
    <t xml:space="preserve">бухта </t>
  </si>
  <si>
    <t>нитка разметочная 150 м</t>
  </si>
  <si>
    <t>ФУНДАМЕНТ ЛЕНТОЧНЫЙ</t>
  </si>
  <si>
    <t>Доска 50х100 обр</t>
  </si>
  <si>
    <t>2.5.</t>
  </si>
  <si>
    <t>Монтаж продухов</t>
  </si>
  <si>
    <t>Труба SN4 д.160 мм 2000 мм</t>
  </si>
  <si>
    <t>Труба SN4 д.160 мм дл.2000 мм</t>
  </si>
  <si>
    <t>Изготовление Д5 "крест"</t>
  </si>
  <si>
    <t>Изготовление Д6 "Т"</t>
  </si>
  <si>
    <t>Шайба усиленная  М12</t>
  </si>
  <si>
    <t>Шпилька М12  2000 мм</t>
  </si>
  <si>
    <t>Гайка М12</t>
  </si>
  <si>
    <t>Гильза (Трубка изолирующая)</t>
  </si>
  <si>
    <t>пач.</t>
  </si>
  <si>
    <t>бух</t>
  </si>
  <si>
    <t>4.</t>
  </si>
  <si>
    <t>Горизонтальная гидроизоляция</t>
  </si>
  <si>
    <t>Гидроизол</t>
  </si>
  <si>
    <t>ведро</t>
  </si>
  <si>
    <t>Мастика №24 мгтн (20 кг)</t>
  </si>
  <si>
    <t xml:space="preserve">Укладка геотекстиля плотность 160  </t>
  </si>
  <si>
    <t xml:space="preserve">Разработка траншеи в ручную ширина ленты + 100мм с перемещением до 10 м без вывоза </t>
  </si>
  <si>
    <t xml:space="preserve">Устройство щебеночного основания ширина ленты + 100мм толщ мм </t>
  </si>
  <si>
    <t xml:space="preserve">Устройство песчаного основания ширина ленты + 100мм., толщиной  мм </t>
  </si>
  <si>
    <t>Вид работ</t>
  </si>
  <si>
    <t>Наименование работ</t>
  </si>
  <si>
    <t>Кол-во</t>
  </si>
  <si>
    <t>Цена работ, руб.</t>
  </si>
  <si>
    <t>Итого работы, руб.</t>
  </si>
  <si>
    <t>Наименование материалов</t>
  </si>
  <si>
    <t>Цена материалы, руб.</t>
  </si>
  <si>
    <t>Итого материалы, руб.</t>
  </si>
  <si>
    <t xml:space="preserve">                ЛОКАЛЬНАЯ СМЕТА </t>
  </si>
  <si>
    <t>РАБОТЫ</t>
  </si>
  <si>
    <t>цена</t>
  </si>
  <si>
    <t>Разработка траншеи в ручную</t>
  </si>
  <si>
    <t>Устройство песчаного основания с трамбоакой</t>
  </si>
  <si>
    <t>Укладка геотекстиля</t>
  </si>
  <si>
    <t>Устройство щебеночного основания с трамбовкой</t>
  </si>
  <si>
    <t>смена</t>
  </si>
  <si>
    <t xml:space="preserve">Высота  цоколя </t>
  </si>
  <si>
    <t>Количество углов Г</t>
  </si>
  <si>
    <t>Расходный материал разбивка площади и т.д.</t>
  </si>
  <si>
    <t>Изготовление деталей "угол"</t>
  </si>
  <si>
    <t>Изготовление деталей "угол 45"</t>
  </si>
  <si>
    <t>Изготовление деталей "крест"</t>
  </si>
  <si>
    <t>Изготовление деталей "Т-образные"</t>
  </si>
  <si>
    <t>Изготовление деталей "стойка"</t>
  </si>
  <si>
    <t>Непредвиденные 3,5%</t>
  </si>
  <si>
    <t>Горизонтальная гидроизоляция 1 слой</t>
  </si>
  <si>
    <t xml:space="preserve">Итого </t>
  </si>
  <si>
    <t>3.  Прием материалов. Транспортные расходы</t>
  </si>
  <si>
    <t>Длина ленты внешней</t>
  </si>
  <si>
    <t>Ширина ленты  внешней</t>
  </si>
  <si>
    <t>Длина ленты внутренней</t>
  </si>
  <si>
    <t>Ширина ленты  внутренней</t>
  </si>
  <si>
    <t>Перепад по пятну застройки</t>
  </si>
  <si>
    <t>п.м.</t>
  </si>
  <si>
    <t>мм.</t>
  </si>
  <si>
    <t>Ст-сть Матер-Работ</t>
  </si>
  <si>
    <t>тн.</t>
  </si>
  <si>
    <t>5.</t>
  </si>
  <si>
    <t>6.</t>
  </si>
  <si>
    <t>блок по заполнению данных</t>
  </si>
  <si>
    <t xml:space="preserve">                           Строительно-монтажные работы по устройству "ленточного фундамента"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</si>
</sst>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Calibri"/>
      <family val="2"/>
      <charset val="204"/>
      <scheme val="minor"/>
    </font>
    <font>
      <sz val="10"/>
      <name val="Arial Cyr"/>
      <family val="2"/>
      <charset val="204"/>
    </font>
    <font>
      <b/>
      <sz val="11"/>
      <name val="Arial"/>
      <family val="2"/>
      <charset val="204"/>
    </font>
    <font>
      <sz val="11"/>
      <name val="Arial"/>
      <family val="2"/>
      <charset val="204"/>
    </font>
    <font>
      <i/>
      <sz val="11"/>
      <name val="Arial"/>
      <family val="2"/>
      <charset val="204"/>
    </font>
    <font>
      <b/>
      <sz val="12"/>
      <name val="Arial Cyr"/>
      <charset val="204"/>
    </font>
    <font>
      <sz val="11"/>
      <color rgb="FFFFFF00"/>
      <name val="Calibri"/>
      <family val="2"/>
      <charset val="204"/>
      <scheme val="minor"/>
    </font>
    <font>
      <sz val="11"/>
      <color rgb="FF7030A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  <font>
      <b/>
      <sz val="12"/>
      <name val="Times New Roman"/>
      <family val="1"/>
      <charset val="204"/>
    </font>
    <font>
      <b/>
      <sz val="10"/>
      <name val="Times New Roman"/>
      <family val="1"/>
      <charset val="204"/>
    </font>
    <font>
      <sz val="1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name val="Arial"/>
      <family val="2"/>
      <charset val="204"/>
    </font>
    <font>
      <sz val="8"/>
      <name val="Calibri"/>
      <family val="2"/>
      <charset val="204"/>
      <scheme val="minor"/>
    </font>
    <font>
      <b/>
      <sz val="10"/>
      <name val="Arial"/>
      <family val="2"/>
      <charset val="204"/>
    </font>
    <font>
      <b/>
      <sz val="11"/>
      <color rgb="FFFF000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26"/>
      </patternFill>
    </fill>
    <fill>
      <patternFill patternType="solid">
        <fgColor indexed="9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26"/>
      </patternFill>
    </fill>
    <fill>
      <patternFill patternType="solid">
        <fgColor theme="7" tint="0.79998168889431442"/>
        <bgColor indexed="64"/>
      </patternFill>
    </fill>
  </fills>
  <borders count="3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/>
      <right style="thin">
        <color auto="1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75">
    <xf numFmtId="0" fontId="0" fillId="0" borderId="0" xfId="0"/>
    <xf numFmtId="4" fontId="2" fillId="3" borderId="0" xfId="1" applyNumberFormat="1" applyFont="1" applyFill="1" applyBorder="1" applyAlignment="1">
      <alignment horizontal="center" vertical="center"/>
    </xf>
    <xf numFmtId="4" fontId="3" fillId="2" borderId="0" xfId="1" applyNumberFormat="1" applyFont="1" applyFill="1" applyBorder="1" applyAlignment="1">
      <alignment horizontal="center" vertical="center" wrapText="1"/>
    </xf>
    <xf numFmtId="4" fontId="3" fillId="2" borderId="0" xfId="1" applyNumberFormat="1" applyFont="1" applyFill="1" applyBorder="1" applyAlignment="1">
      <alignment horizontal="left" vertical="center" wrapText="1"/>
    </xf>
    <xf numFmtId="4" fontId="3" fillId="3" borderId="0" xfId="1" applyNumberFormat="1" applyFont="1" applyFill="1" applyBorder="1" applyAlignment="1">
      <alignment horizontal="center" vertical="center"/>
    </xf>
    <xf numFmtId="3" fontId="3" fillId="3" borderId="1" xfId="1" applyNumberFormat="1" applyFont="1" applyFill="1" applyBorder="1" applyAlignment="1">
      <alignment horizontal="center" vertical="center" wrapText="1"/>
    </xf>
    <xf numFmtId="4" fontId="3" fillId="2" borderId="1" xfId="0" applyNumberFormat="1" applyFont="1" applyFill="1" applyBorder="1" applyAlignment="1">
      <alignment horizontal="center" vertical="center"/>
    </xf>
    <xf numFmtId="4" fontId="3" fillId="2" borderId="2" xfId="0" applyNumberFormat="1" applyFont="1" applyFill="1" applyBorder="1" applyAlignment="1">
      <alignment horizontal="center" vertical="center"/>
    </xf>
    <xf numFmtId="4" fontId="3" fillId="2" borderId="3" xfId="0" applyNumberFormat="1" applyFont="1" applyFill="1" applyBorder="1" applyAlignment="1">
      <alignment horizontal="center" vertical="center"/>
    </xf>
    <xf numFmtId="4" fontId="3" fillId="2" borderId="4" xfId="0" applyNumberFormat="1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4" fontId="3" fillId="2" borderId="5" xfId="0" applyNumberFormat="1" applyFont="1" applyFill="1" applyBorder="1" applyAlignment="1">
      <alignment horizontal="center" vertical="center"/>
    </xf>
    <xf numFmtId="4" fontId="3" fillId="2" borderId="0" xfId="1" applyNumberFormat="1" applyFont="1" applyFill="1" applyBorder="1" applyAlignment="1">
      <alignment vertical="center" wrapText="1"/>
    </xf>
    <xf numFmtId="4" fontId="2" fillId="2" borderId="7" xfId="1" applyNumberFormat="1" applyFont="1" applyFill="1" applyBorder="1" applyAlignment="1">
      <alignment horizontal="center" vertical="center" wrapText="1"/>
    </xf>
    <xf numFmtId="4" fontId="2" fillId="2" borderId="5" xfId="1" applyNumberFormat="1" applyFont="1" applyFill="1" applyBorder="1" applyAlignment="1">
      <alignment horizontal="center" vertical="center" wrapText="1"/>
    </xf>
    <xf numFmtId="4" fontId="3" fillId="2" borderId="5" xfId="1" applyNumberFormat="1" applyFont="1" applyFill="1" applyBorder="1" applyAlignment="1">
      <alignment horizontal="center" vertical="center" wrapText="1"/>
    </xf>
    <xf numFmtId="4" fontId="2" fillId="2" borderId="2" xfId="1" applyNumberFormat="1" applyFont="1" applyFill="1" applyBorder="1" applyAlignment="1">
      <alignment horizontal="center" vertical="center" wrapText="1"/>
    </xf>
    <xf numFmtId="0" fontId="3" fillId="0" borderId="5" xfId="1" applyNumberFormat="1" applyFont="1" applyFill="1" applyBorder="1" applyAlignment="1">
      <alignment horizontal="center" vertical="center" wrapText="1"/>
    </xf>
    <xf numFmtId="4" fontId="3" fillId="2" borderId="12" xfId="0" applyNumberFormat="1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3" fillId="2" borderId="0" xfId="1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4" fontId="2" fillId="0" borderId="12" xfId="0" applyNumberFormat="1" applyFont="1" applyFill="1" applyBorder="1" applyAlignment="1">
      <alignment horizontal="center" vertical="center"/>
    </xf>
    <xf numFmtId="4" fontId="3" fillId="3" borderId="0" xfId="1" applyNumberFormat="1" applyFont="1" applyFill="1" applyAlignment="1">
      <alignment horizontal="center" vertical="center" wrapText="1"/>
    </xf>
    <xf numFmtId="4" fontId="2" fillId="3" borderId="0" xfId="1" applyNumberFormat="1" applyFont="1" applyFill="1" applyAlignment="1">
      <alignment horizontal="center" vertical="center" wrapText="1"/>
    </xf>
    <xf numFmtId="4" fontId="3" fillId="3" borderId="0" xfId="1" applyNumberFormat="1" applyFont="1" applyFill="1" applyAlignment="1">
      <alignment vertical="center" wrapText="1"/>
    </xf>
    <xf numFmtId="4" fontId="3" fillId="3" borderId="5" xfId="1" applyNumberFormat="1" applyFont="1" applyFill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4" fontId="3" fillId="3" borderId="17" xfId="1" applyNumberFormat="1" applyFont="1" applyFill="1" applyBorder="1" applyAlignment="1">
      <alignment vertical="center" wrapText="1"/>
    </xf>
    <xf numFmtId="2" fontId="3" fillId="3" borderId="5" xfId="1" applyNumberFormat="1" applyFont="1" applyFill="1" applyBorder="1" applyAlignment="1">
      <alignment horizontal="center" vertical="center" wrapText="1"/>
    </xf>
    <xf numFmtId="4" fontId="2" fillId="3" borderId="5" xfId="1" applyNumberFormat="1" applyFont="1" applyFill="1" applyBorder="1" applyAlignment="1">
      <alignment horizontal="center" vertical="center" wrapText="1"/>
    </xf>
    <xf numFmtId="4" fontId="3" fillId="4" borderId="5" xfId="1" applyNumberFormat="1" applyFont="1" applyFill="1" applyBorder="1" applyAlignment="1">
      <alignment horizontal="left" vertical="center" wrapText="1"/>
    </xf>
    <xf numFmtId="4" fontId="3" fillId="4" borderId="5" xfId="1" applyNumberFormat="1" applyFont="1" applyFill="1" applyBorder="1" applyAlignment="1">
      <alignment horizontal="center" vertical="center" wrapText="1"/>
    </xf>
    <xf numFmtId="4" fontId="2" fillId="3" borderId="0" xfId="1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/>
    </xf>
    <xf numFmtId="4" fontId="3" fillId="3" borderId="17" xfId="1" applyNumberFormat="1" applyFont="1" applyFill="1" applyBorder="1" applyAlignment="1">
      <alignment horizontal="center" vertical="center" wrapText="1"/>
    </xf>
    <xf numFmtId="1" fontId="2" fillId="0" borderId="0" xfId="1" applyNumberFormat="1" applyFont="1" applyBorder="1" applyAlignment="1">
      <alignment horizontal="center" vertical="center" wrapText="1"/>
    </xf>
    <xf numFmtId="1" fontId="2" fillId="0" borderId="0" xfId="1" applyNumberFormat="1" applyFont="1" applyBorder="1" applyAlignment="1">
      <alignment horizontal="center" vertical="center"/>
    </xf>
    <xf numFmtId="1" fontId="2" fillId="0" borderId="0" xfId="0" applyNumberFormat="1" applyFont="1" applyBorder="1" applyAlignment="1">
      <alignment horizontal="center" vertical="center"/>
    </xf>
    <xf numFmtId="4" fontId="2" fillId="2" borderId="12" xfId="1" applyNumberFormat="1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4" fontId="3" fillId="2" borderId="17" xfId="1" applyNumberFormat="1" applyFont="1" applyFill="1" applyBorder="1" applyAlignment="1">
      <alignment horizontal="center" vertical="center" wrapText="1"/>
    </xf>
    <xf numFmtId="4" fontId="3" fillId="2" borderId="19" xfId="1" applyNumberFormat="1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3" fontId="3" fillId="3" borderId="22" xfId="1" applyNumberFormat="1" applyFont="1" applyFill="1" applyBorder="1" applyAlignment="1">
      <alignment horizontal="center" vertical="center" wrapText="1"/>
    </xf>
    <xf numFmtId="3" fontId="3" fillId="3" borderId="28" xfId="1" applyNumberFormat="1" applyFont="1" applyFill="1" applyBorder="1" applyAlignment="1">
      <alignment horizontal="center" vertical="center" wrapText="1"/>
    </xf>
    <xf numFmtId="3" fontId="3" fillId="3" borderId="14" xfId="1" applyNumberFormat="1" applyFont="1" applyFill="1" applyBorder="1" applyAlignment="1">
      <alignment horizontal="center" vertical="center" wrapText="1"/>
    </xf>
    <xf numFmtId="0" fontId="3" fillId="0" borderId="13" xfId="1" applyNumberFormat="1" applyFont="1" applyFill="1" applyBorder="1" applyAlignment="1">
      <alignment horizontal="center" vertical="center" wrapText="1"/>
    </xf>
    <xf numFmtId="0" fontId="3" fillId="0" borderId="10" xfId="1" applyNumberFormat="1" applyFont="1" applyFill="1" applyBorder="1" applyAlignment="1">
      <alignment horizontal="center" vertical="center" wrapText="1"/>
    </xf>
    <xf numFmtId="0" fontId="3" fillId="0" borderId="2" xfId="1" applyNumberFormat="1" applyFont="1" applyFill="1" applyBorder="1" applyAlignment="1">
      <alignment horizontal="center" vertical="center" wrapText="1"/>
    </xf>
    <xf numFmtId="4" fontId="3" fillId="2" borderId="11" xfId="0" applyNumberFormat="1" applyFont="1" applyFill="1" applyBorder="1" applyAlignment="1">
      <alignment horizontal="center" vertical="center"/>
    </xf>
    <xf numFmtId="4" fontId="3" fillId="3" borderId="0" xfId="1" applyNumberFormat="1" applyFont="1" applyFill="1" applyBorder="1" applyAlignment="1">
      <alignment horizontal="center" vertical="center" wrapText="1"/>
    </xf>
    <xf numFmtId="3" fontId="3" fillId="3" borderId="16" xfId="1" applyNumberFormat="1" applyFont="1" applyFill="1" applyBorder="1" applyAlignment="1">
      <alignment horizontal="center" vertical="center" wrapText="1"/>
    </xf>
    <xf numFmtId="0" fontId="3" fillId="2" borderId="13" xfId="1" applyNumberFormat="1" applyFont="1" applyFill="1" applyBorder="1" applyAlignment="1">
      <alignment horizontal="center" vertical="center" wrapText="1"/>
    </xf>
    <xf numFmtId="0" fontId="3" fillId="2" borderId="14" xfId="1" applyNumberFormat="1" applyFont="1" applyFill="1" applyBorder="1" applyAlignment="1">
      <alignment horizontal="center" vertical="center" wrapText="1"/>
    </xf>
    <xf numFmtId="0" fontId="3" fillId="2" borderId="16" xfId="1" applyNumberFormat="1" applyFont="1" applyFill="1" applyBorder="1" applyAlignment="1">
      <alignment horizontal="center" vertical="center" wrapText="1"/>
    </xf>
    <xf numFmtId="3" fontId="4" fillId="3" borderId="17" xfId="1" applyNumberFormat="1" applyFont="1" applyFill="1" applyBorder="1" applyAlignment="1">
      <alignment horizontal="left" vertical="center" wrapText="1"/>
    </xf>
    <xf numFmtId="4" fontId="4" fillId="3" borderId="14" xfId="1" applyNumberFormat="1" applyFont="1" applyFill="1" applyBorder="1" applyAlignment="1">
      <alignment horizontal="left" vertical="center" wrapText="1"/>
    </xf>
    <xf numFmtId="3" fontId="4" fillId="3" borderId="32" xfId="1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6" borderId="0" xfId="0" applyFont="1" applyFill="1" applyAlignment="1">
      <alignment horizontal="center"/>
    </xf>
    <xf numFmtId="0" fontId="6" fillId="6" borderId="0" xfId="0" applyFont="1" applyFill="1" applyAlignment="1">
      <alignment horizontal="center" vertical="center"/>
    </xf>
    <xf numFmtId="0" fontId="7" fillId="0" borderId="0" xfId="0" applyFont="1"/>
    <xf numFmtId="0" fontId="0" fillId="5" borderId="0" xfId="0" applyFill="1" applyAlignment="1">
      <alignment horizontal="center" vertical="center"/>
    </xf>
    <xf numFmtId="2" fontId="3" fillId="7" borderId="5" xfId="1" applyNumberFormat="1" applyFont="1" applyFill="1" applyBorder="1" applyAlignment="1">
      <alignment horizontal="center" vertical="center" wrapText="1"/>
    </xf>
    <xf numFmtId="4" fontId="3" fillId="7" borderId="17" xfId="1" applyNumberFormat="1" applyFont="1" applyFill="1" applyBorder="1" applyAlignment="1">
      <alignment vertical="center" wrapText="1"/>
    </xf>
    <xf numFmtId="4" fontId="3" fillId="5" borderId="5" xfId="1" applyNumberFormat="1" applyFont="1" applyFill="1" applyBorder="1" applyAlignment="1">
      <alignment horizontal="left" vertical="center" wrapText="1"/>
    </xf>
    <xf numFmtId="0" fontId="3" fillId="2" borderId="10" xfId="1" applyNumberFormat="1" applyFont="1" applyFill="1" applyBorder="1" applyAlignment="1">
      <alignment horizontal="center" vertical="center" wrapText="1"/>
    </xf>
    <xf numFmtId="0" fontId="0" fillId="0" borderId="34" xfId="0" applyBorder="1" applyAlignment="1">
      <alignment horizontal="left"/>
    </xf>
    <xf numFmtId="4" fontId="3" fillId="2" borderId="11" xfId="1" applyNumberFormat="1" applyFont="1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/>
    </xf>
    <xf numFmtId="4" fontId="2" fillId="0" borderId="12" xfId="1" applyNumberFormat="1" applyFont="1" applyFill="1" applyBorder="1" applyAlignment="1">
      <alignment horizontal="center" vertical="center" wrapText="1"/>
    </xf>
    <xf numFmtId="0" fontId="3" fillId="2" borderId="5" xfId="1" applyNumberFormat="1" applyFont="1" applyFill="1" applyBorder="1" applyAlignment="1">
      <alignment horizontal="center" vertical="center" wrapText="1"/>
    </xf>
    <xf numFmtId="4" fontId="3" fillId="0" borderId="5" xfId="1" applyNumberFormat="1" applyFont="1" applyFill="1" applyBorder="1" applyAlignment="1">
      <alignment horizontal="center" vertical="center"/>
    </xf>
    <xf numFmtId="4" fontId="3" fillId="0" borderId="5" xfId="0" applyNumberFormat="1" applyFont="1" applyFill="1" applyBorder="1" applyAlignment="1">
      <alignment horizontal="center" vertical="center" wrapText="1"/>
    </xf>
    <xf numFmtId="4" fontId="3" fillId="0" borderId="5" xfId="0" applyNumberFormat="1" applyFont="1" applyFill="1" applyBorder="1" applyAlignment="1">
      <alignment horizontal="center" vertical="center"/>
    </xf>
    <xf numFmtId="4" fontId="3" fillId="0" borderId="5" xfId="1" applyNumberFormat="1" applyFont="1" applyFill="1" applyBorder="1" applyAlignment="1">
      <alignment horizontal="center" vertical="center" wrapText="1"/>
    </xf>
    <xf numFmtId="4" fontId="3" fillId="0" borderId="2" xfId="1" applyNumberFormat="1" applyFont="1" applyFill="1" applyBorder="1" applyAlignment="1">
      <alignment horizontal="center" vertical="center" wrapText="1"/>
    </xf>
    <xf numFmtId="4" fontId="3" fillId="0" borderId="9" xfId="0" applyNumberFormat="1" applyFont="1" applyFill="1" applyBorder="1" applyAlignment="1">
      <alignment horizontal="center" vertical="center"/>
    </xf>
    <xf numFmtId="0" fontId="0" fillId="0" borderId="34" xfId="0" applyBorder="1" applyAlignment="1">
      <alignment horizontal="left"/>
    </xf>
    <xf numFmtId="2" fontId="6" fillId="6" borderId="0" xfId="0" applyNumberFormat="1" applyFont="1" applyFill="1" applyAlignment="1">
      <alignment horizontal="center" vertical="center"/>
    </xf>
    <xf numFmtId="4" fontId="3" fillId="0" borderId="1" xfId="0" applyNumberFormat="1" applyFont="1" applyFill="1" applyBorder="1" applyAlignment="1">
      <alignment horizontal="center" vertical="center" wrapText="1"/>
    </xf>
    <xf numFmtId="4" fontId="3" fillId="0" borderId="2" xfId="0" applyNumberFormat="1" applyFont="1" applyFill="1" applyBorder="1" applyAlignment="1">
      <alignment horizontal="center" vertical="center" wrapText="1"/>
    </xf>
    <xf numFmtId="4" fontId="3" fillId="0" borderId="2" xfId="0" applyNumberFormat="1" applyFont="1" applyFill="1" applyBorder="1" applyAlignment="1">
      <alignment horizontal="center" vertical="center"/>
    </xf>
    <xf numFmtId="4" fontId="3" fillId="0" borderId="4" xfId="0" applyNumberFormat="1" applyFont="1" applyFill="1" applyBorder="1" applyAlignment="1">
      <alignment horizontal="center" vertical="center" wrapText="1"/>
    </xf>
    <xf numFmtId="4" fontId="3" fillId="0" borderId="13" xfId="0" applyNumberFormat="1" applyFont="1" applyFill="1" applyBorder="1" applyAlignment="1">
      <alignment horizontal="center" vertical="center"/>
    </xf>
    <xf numFmtId="4" fontId="3" fillId="0" borderId="10" xfId="0" applyNumberFormat="1" applyFont="1" applyFill="1" applyBorder="1" applyAlignment="1">
      <alignment horizontal="center" vertical="center"/>
    </xf>
    <xf numFmtId="4" fontId="3" fillId="0" borderId="16" xfId="1" applyNumberFormat="1" applyFont="1" applyFill="1" applyBorder="1" applyAlignment="1">
      <alignment horizontal="center" vertical="center" wrapText="1"/>
    </xf>
    <xf numFmtId="4" fontId="2" fillId="0" borderId="16" xfId="1" applyNumberFormat="1" applyFont="1" applyFill="1" applyBorder="1" applyAlignment="1">
      <alignment horizontal="right" vertical="center" wrapText="1"/>
    </xf>
    <xf numFmtId="0" fontId="3" fillId="3" borderId="5" xfId="0" applyFont="1" applyFill="1" applyBorder="1" applyAlignment="1">
      <alignment horizontal="left" vertical="center" wrapText="1" indent="1"/>
    </xf>
    <xf numFmtId="4" fontId="3" fillId="0" borderId="0" xfId="1" applyNumberFormat="1" applyFont="1" applyFill="1" applyBorder="1" applyAlignment="1">
      <alignment horizontal="center" vertical="center" wrapText="1"/>
    </xf>
    <xf numFmtId="4" fontId="2" fillId="0" borderId="0" xfId="1" applyNumberFormat="1" applyFont="1" applyFill="1" applyAlignment="1">
      <alignment horizontal="right" vertical="center" wrapText="1"/>
    </xf>
    <xf numFmtId="4" fontId="2" fillId="0" borderId="0" xfId="1" applyNumberFormat="1" applyFont="1" applyFill="1" applyBorder="1" applyAlignment="1">
      <alignment horizontal="right" vertical="center" wrapText="1"/>
    </xf>
    <xf numFmtId="0" fontId="0" fillId="0" borderId="0" xfId="0" applyFill="1"/>
    <xf numFmtId="4" fontId="3" fillId="0" borderId="1" xfId="1" applyNumberFormat="1" applyFont="1" applyFill="1" applyBorder="1" applyAlignment="1">
      <alignment horizontal="center" vertical="center"/>
    </xf>
    <xf numFmtId="4" fontId="3" fillId="0" borderId="2" xfId="1" applyNumberFormat="1" applyFont="1" applyFill="1" applyBorder="1" applyAlignment="1">
      <alignment horizontal="center" vertical="center"/>
    </xf>
    <xf numFmtId="4" fontId="3" fillId="0" borderId="4" xfId="1" applyNumberFormat="1" applyFont="1" applyFill="1" applyBorder="1" applyAlignment="1">
      <alignment horizontal="center" vertical="center"/>
    </xf>
    <xf numFmtId="4" fontId="3" fillId="0" borderId="11" xfId="1" applyNumberFormat="1" applyFont="1" applyFill="1" applyBorder="1" applyAlignment="1">
      <alignment horizontal="center" vertical="center" wrapText="1"/>
    </xf>
    <xf numFmtId="2" fontId="2" fillId="0" borderId="0" xfId="1" applyNumberFormat="1" applyFont="1" applyFill="1" applyAlignment="1">
      <alignment horizontal="right" vertical="center" wrapText="1"/>
    </xf>
    <xf numFmtId="2" fontId="3" fillId="0" borderId="5" xfId="1" applyNumberFormat="1" applyFont="1" applyFill="1" applyBorder="1" applyAlignment="1">
      <alignment horizontal="center" vertical="center" wrapText="1"/>
    </xf>
    <xf numFmtId="2" fontId="2" fillId="0" borderId="0" xfId="1" applyNumberFormat="1" applyFont="1" applyFill="1" applyBorder="1" applyAlignment="1">
      <alignment horizontal="right" vertical="center" wrapText="1"/>
    </xf>
    <xf numFmtId="0" fontId="5" fillId="0" borderId="0" xfId="0" applyFont="1" applyFill="1"/>
    <xf numFmtId="4" fontId="3" fillId="0" borderId="7" xfId="1" applyNumberFormat="1" applyFont="1" applyFill="1" applyBorder="1" applyAlignment="1">
      <alignment horizontal="center" vertical="center"/>
    </xf>
    <xf numFmtId="4" fontId="3" fillId="0" borderId="9" xfId="1" applyNumberFormat="1" applyFont="1" applyFill="1" applyBorder="1" applyAlignment="1">
      <alignment horizontal="center" vertical="center"/>
    </xf>
    <xf numFmtId="4" fontId="2" fillId="0" borderId="5" xfId="1" applyNumberFormat="1" applyFont="1" applyFill="1" applyBorder="1" applyAlignment="1">
      <alignment horizontal="right" vertical="center" wrapText="1"/>
    </xf>
    <xf numFmtId="0" fontId="13" fillId="0" borderId="0" xfId="0" applyFont="1" applyFill="1"/>
    <xf numFmtId="1" fontId="13" fillId="0" borderId="0" xfId="0" applyNumberFormat="1" applyFont="1" applyFill="1"/>
    <xf numFmtId="0" fontId="10" fillId="0" borderId="0" xfId="0" applyFont="1" applyBorder="1"/>
    <xf numFmtId="4" fontId="12" fillId="2" borderId="5" xfId="1" applyNumberFormat="1" applyFont="1" applyFill="1" applyBorder="1" applyAlignment="1">
      <alignment horizontal="center" vertical="center" wrapText="1"/>
    </xf>
    <xf numFmtId="4" fontId="12" fillId="0" borderId="5" xfId="1" applyNumberFormat="1" applyFont="1" applyFill="1" applyBorder="1" applyAlignment="1">
      <alignment horizontal="center" vertical="center" wrapText="1"/>
    </xf>
    <xf numFmtId="3" fontId="12" fillId="0" borderId="5" xfId="1" applyNumberFormat="1" applyFont="1" applyFill="1" applyBorder="1" applyAlignment="1">
      <alignment horizontal="center" vertical="center" wrapText="1"/>
    </xf>
    <xf numFmtId="3" fontId="11" fillId="0" borderId="0" xfId="1" applyNumberFormat="1" applyFont="1" applyFill="1" applyBorder="1" applyAlignment="1">
      <alignment horizontal="center" vertical="center"/>
    </xf>
    <xf numFmtId="0" fontId="11" fillId="2" borderId="0" xfId="1" applyNumberFormat="1" applyFont="1" applyFill="1" applyBorder="1" applyAlignment="1">
      <alignment vertical="center"/>
    </xf>
    <xf numFmtId="4" fontId="2" fillId="4" borderId="5" xfId="1" applyNumberFormat="1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/>
    </xf>
    <xf numFmtId="4" fontId="15" fillId="4" borderId="5" xfId="1" applyNumberFormat="1" applyFont="1" applyFill="1" applyBorder="1" applyAlignment="1">
      <alignment horizontal="left" vertical="center" wrapText="1"/>
    </xf>
    <xf numFmtId="1" fontId="0" fillId="0" borderId="0" xfId="0" applyNumberFormat="1"/>
    <xf numFmtId="4" fontId="2" fillId="0" borderId="5" xfId="1" applyNumberFormat="1" applyFont="1" applyBorder="1" applyAlignment="1">
      <alignment horizontal="center" vertical="center" wrapText="1"/>
    </xf>
    <xf numFmtId="4" fontId="2" fillId="0" borderId="5" xfId="1" applyNumberFormat="1" applyFont="1" applyBorder="1" applyAlignment="1">
      <alignment horizontal="center" vertical="center"/>
    </xf>
    <xf numFmtId="0" fontId="0" fillId="0" borderId="34" xfId="0" applyBorder="1" applyAlignment="1">
      <alignment horizontal="left"/>
    </xf>
    <xf numFmtId="3" fontId="12" fillId="2" borderId="5" xfId="1" applyNumberFormat="1" applyFont="1" applyFill="1" applyBorder="1" applyAlignment="1">
      <alignment horizontal="center" vertical="center" wrapText="1"/>
    </xf>
    <xf numFmtId="0" fontId="12" fillId="2" borderId="5" xfId="1" applyFont="1" applyFill="1" applyBorder="1" applyAlignment="1">
      <alignment horizontal="center" vertical="center" wrapText="1"/>
    </xf>
    <xf numFmtId="0" fontId="12" fillId="2" borderId="5" xfId="1" applyFont="1" applyFill="1" applyBorder="1" applyAlignment="1">
      <alignment horizontal="center" vertical="center"/>
    </xf>
    <xf numFmtId="4" fontId="11" fillId="2" borderId="0" xfId="1" applyNumberFormat="1" applyFont="1" applyFill="1" applyBorder="1" applyAlignment="1">
      <alignment horizontal="center" vertical="center"/>
    </xf>
    <xf numFmtId="4" fontId="11" fillId="0" borderId="0" xfId="1" applyNumberFormat="1" applyFont="1" applyFill="1" applyBorder="1" applyAlignment="1">
      <alignment horizontal="center" vertical="center"/>
    </xf>
    <xf numFmtId="4" fontId="3" fillId="3" borderId="16" xfId="1" applyNumberFormat="1" applyFont="1" applyFill="1" applyBorder="1" applyAlignment="1">
      <alignment horizontal="left" vertical="center" wrapText="1"/>
    </xf>
    <xf numFmtId="4" fontId="3" fillId="3" borderId="17" xfId="1" applyNumberFormat="1" applyFont="1" applyFill="1" applyBorder="1" applyAlignment="1">
      <alignment horizontal="left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left" vertical="center" wrapText="1"/>
    </xf>
    <xf numFmtId="4" fontId="2" fillId="0" borderId="5" xfId="0" applyNumberFormat="1" applyFont="1" applyBorder="1" applyAlignment="1">
      <alignment horizontal="center" vertical="center"/>
    </xf>
    <xf numFmtId="4" fontId="2" fillId="0" borderId="20" xfId="0" applyNumberFormat="1" applyFont="1" applyBorder="1" applyAlignment="1">
      <alignment horizontal="center" vertical="center"/>
    </xf>
    <xf numFmtId="4" fontId="2" fillId="2" borderId="0" xfId="1" applyNumberFormat="1" applyFont="1" applyFill="1" applyBorder="1" applyAlignment="1">
      <alignment horizontal="center" vertical="center" wrapText="1"/>
    </xf>
    <xf numFmtId="3" fontId="3" fillId="3" borderId="5" xfId="1" applyNumberFormat="1" applyFont="1" applyFill="1" applyBorder="1" applyAlignment="1">
      <alignment horizontal="center" vertical="center" wrapText="1"/>
    </xf>
    <xf numFmtId="0" fontId="11" fillId="2" borderId="35" xfId="1" applyNumberFormat="1" applyFont="1" applyFill="1" applyBorder="1" applyAlignment="1">
      <alignment horizontal="center" vertical="center"/>
    </xf>
    <xf numFmtId="0" fontId="11" fillId="0" borderId="35" xfId="1" applyNumberFormat="1" applyFont="1" applyFill="1" applyBorder="1" applyAlignment="1">
      <alignment horizontal="center" vertical="center"/>
    </xf>
    <xf numFmtId="0" fontId="0" fillId="0" borderId="0" xfId="0" applyFont="1"/>
    <xf numFmtId="0" fontId="3" fillId="3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4" fontId="3" fillId="3" borderId="4" xfId="1" applyNumberFormat="1" applyFont="1" applyFill="1" applyBorder="1" applyAlignment="1">
      <alignment horizontal="left" vertical="center" wrapText="1"/>
    </xf>
    <xf numFmtId="3" fontId="3" fillId="3" borderId="4" xfId="1" applyNumberFormat="1" applyFont="1" applyFill="1" applyBorder="1" applyAlignment="1">
      <alignment horizontal="left" vertical="center" wrapText="1"/>
    </xf>
    <xf numFmtId="0" fontId="3" fillId="2" borderId="4" xfId="1" applyFont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164" fontId="3" fillId="0" borderId="11" xfId="0" applyNumberFormat="1" applyFont="1" applyFill="1" applyBorder="1" applyAlignment="1">
      <alignment horizontal="center" vertical="center"/>
    </xf>
    <xf numFmtId="4" fontId="3" fillId="0" borderId="11" xfId="0" applyNumberFormat="1" applyFont="1" applyFill="1" applyBorder="1" applyAlignment="1">
      <alignment horizontal="center" vertical="center" wrapText="1"/>
    </xf>
    <xf numFmtId="164" fontId="3" fillId="0" borderId="5" xfId="0" applyNumberFormat="1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2" fontId="3" fillId="0" borderId="5" xfId="0" applyNumberFormat="1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/>
    <xf numFmtId="0" fontId="0" fillId="5" borderId="0" xfId="0" applyFill="1"/>
    <xf numFmtId="2" fontId="0" fillId="5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0" fontId="14" fillId="0" borderId="5" xfId="0" applyFont="1" applyBorder="1" applyAlignment="1">
      <alignment horizontal="center"/>
    </xf>
    <xf numFmtId="2" fontId="0" fillId="5" borderId="5" xfId="0" applyNumberFormat="1" applyFill="1" applyBorder="1" applyAlignment="1">
      <alignment horizontal="center"/>
    </xf>
    <xf numFmtId="0" fontId="0" fillId="0" borderId="5" xfId="0" applyBorder="1"/>
    <xf numFmtId="0" fontId="0" fillId="5" borderId="5" xfId="0" applyFill="1" applyBorder="1" applyAlignment="1">
      <alignment horizontal="center"/>
    </xf>
    <xf numFmtId="3" fontId="4" fillId="3" borderId="34" xfId="1" applyNumberFormat="1" applyFont="1" applyFill="1" applyBorder="1" applyAlignment="1">
      <alignment horizontal="left" vertical="center" wrapText="1"/>
    </xf>
    <xf numFmtId="3" fontId="4" fillId="3" borderId="8" xfId="1" applyNumberFormat="1" applyFont="1" applyFill="1" applyBorder="1" applyAlignment="1">
      <alignment horizontal="left" vertical="center" wrapText="1"/>
    </xf>
    <xf numFmtId="0" fontId="0" fillId="0" borderId="5" xfId="0" applyBorder="1" applyAlignment="1">
      <alignment horizontal="center"/>
    </xf>
    <xf numFmtId="2" fontId="6" fillId="6" borderId="5" xfId="0" applyNumberFormat="1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0" fillId="0" borderId="0" xfId="0" applyFont="1" applyBorder="1"/>
    <xf numFmtId="0" fontId="13" fillId="0" borderId="0" xfId="0" applyFont="1" applyFill="1" applyBorder="1"/>
    <xf numFmtId="0" fontId="0" fillId="0" borderId="0" xfId="0" applyFont="1" applyFill="1" applyBorder="1"/>
    <xf numFmtId="0" fontId="0" fillId="8" borderId="0" xfId="0" applyFill="1"/>
    <xf numFmtId="0" fontId="14" fillId="8" borderId="0" xfId="0" applyFont="1" applyFill="1"/>
    <xf numFmtId="0" fontId="0" fillId="8" borderId="5" xfId="0" applyFill="1" applyBorder="1" applyAlignment="1">
      <alignment horizontal="center" vertical="center" wrapText="1"/>
    </xf>
    <xf numFmtId="0" fontId="0" fillId="8" borderId="16" xfId="0" applyFill="1" applyBorder="1"/>
    <xf numFmtId="0" fontId="0" fillId="8" borderId="5" xfId="0" applyFill="1" applyBorder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8" borderId="16" xfId="0" applyFill="1" applyBorder="1" applyAlignment="1">
      <alignment wrapText="1"/>
    </xf>
    <xf numFmtId="0" fontId="0" fillId="8" borderId="5" xfId="0" applyFill="1" applyBorder="1"/>
    <xf numFmtId="0" fontId="18" fillId="0" borderId="0" xfId="0" applyFont="1"/>
    <xf numFmtId="0" fontId="4" fillId="3" borderId="16" xfId="0" applyFont="1" applyFill="1" applyBorder="1" applyAlignment="1">
      <alignment horizontal="left" vertical="center" wrapText="1"/>
    </xf>
    <xf numFmtId="0" fontId="4" fillId="3" borderId="34" xfId="0" applyFont="1" applyFill="1" applyBorder="1" applyAlignment="1">
      <alignment horizontal="left" vertical="center" wrapText="1"/>
    </xf>
    <xf numFmtId="0" fontId="0" fillId="0" borderId="0" xfId="0" applyAlignment="1">
      <alignment horizontal="right"/>
    </xf>
    <xf numFmtId="0" fontId="4" fillId="2" borderId="31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  <xf numFmtId="0" fontId="0" fillId="0" borderId="34" xfId="0" applyBorder="1" applyAlignment="1">
      <alignment horizontal="left"/>
    </xf>
    <xf numFmtId="4" fontId="4" fillId="3" borderId="30" xfId="1" applyNumberFormat="1" applyFont="1" applyFill="1" applyBorder="1" applyAlignment="1">
      <alignment horizontal="left" vertical="center" wrapText="1"/>
    </xf>
    <xf numFmtId="4" fontId="4" fillId="3" borderId="34" xfId="1" applyNumberFormat="1" applyFont="1" applyFill="1" applyBorder="1" applyAlignment="1">
      <alignment horizontal="left" vertical="center" wrapText="1"/>
    </xf>
    <xf numFmtId="4" fontId="3" fillId="2" borderId="30" xfId="1" applyNumberFormat="1" applyFont="1" applyFill="1" applyBorder="1" applyAlignment="1">
      <alignment horizontal="left" vertical="center" wrapText="1"/>
    </xf>
    <xf numFmtId="4" fontId="3" fillId="2" borderId="34" xfId="1" applyNumberFormat="1" applyFont="1" applyFill="1" applyBorder="1" applyAlignment="1">
      <alignment horizontal="left" vertical="center" wrapText="1"/>
    </xf>
    <xf numFmtId="4" fontId="3" fillId="2" borderId="16" xfId="1" applyNumberFormat="1" applyFont="1" applyFill="1" applyBorder="1" applyAlignment="1">
      <alignment horizontal="left" vertical="center" wrapText="1"/>
    </xf>
    <xf numFmtId="0" fontId="4" fillId="2" borderId="34" xfId="0" applyFont="1" applyFill="1" applyBorder="1" applyAlignment="1">
      <alignment horizontal="left" vertical="center"/>
    </xf>
    <xf numFmtId="0" fontId="4" fillId="2" borderId="16" xfId="0" applyFont="1" applyFill="1" applyBorder="1" applyAlignment="1">
      <alignment horizontal="left" vertical="center"/>
    </xf>
    <xf numFmtId="0" fontId="0" fillId="8" borderId="21" xfId="0" applyFill="1" applyBorder="1" applyAlignment="1">
      <alignment horizontal="center" vertical="center"/>
    </xf>
    <xf numFmtId="0" fontId="8" fillId="8" borderId="0" xfId="0" applyFont="1" applyFill="1" applyAlignment="1">
      <alignment horizontal="center" vertical="center"/>
    </xf>
    <xf numFmtId="0" fontId="8" fillId="8" borderId="21" xfId="0" applyFont="1" applyFill="1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0" fillId="0" borderId="36" xfId="0" applyBorder="1" applyAlignment="1">
      <alignment horizontal="left"/>
    </xf>
    <xf numFmtId="4" fontId="4" fillId="3" borderId="26" xfId="1" applyNumberFormat="1" applyFont="1" applyFill="1" applyBorder="1" applyAlignment="1">
      <alignment horizontal="left" vertical="center" wrapText="1"/>
    </xf>
    <xf numFmtId="4" fontId="4" fillId="3" borderId="18" xfId="1" applyNumberFormat="1" applyFont="1" applyFill="1" applyBorder="1" applyAlignment="1">
      <alignment horizontal="left" vertical="center" wrapText="1"/>
    </xf>
    <xf numFmtId="4" fontId="4" fillId="3" borderId="16" xfId="1" applyNumberFormat="1" applyFont="1" applyFill="1" applyBorder="1" applyAlignment="1">
      <alignment horizontal="left" vertical="center" wrapText="1"/>
    </xf>
    <xf numFmtId="4" fontId="4" fillId="3" borderId="8" xfId="1" applyNumberFormat="1" applyFont="1" applyFill="1" applyBorder="1" applyAlignment="1">
      <alignment horizontal="left" vertical="center" wrapText="1"/>
    </xf>
    <xf numFmtId="0" fontId="4" fillId="3" borderId="17" xfId="0" applyFont="1" applyFill="1" applyBorder="1" applyAlignment="1">
      <alignment horizontal="left" vertical="center" wrapText="1"/>
    </xf>
    <xf numFmtId="4" fontId="3" fillId="2" borderId="17" xfId="1" applyNumberFormat="1" applyFont="1" applyFill="1" applyBorder="1" applyAlignment="1">
      <alignment horizontal="left" vertical="center" wrapText="1"/>
    </xf>
    <xf numFmtId="0" fontId="4" fillId="2" borderId="17" xfId="0" applyFont="1" applyFill="1" applyBorder="1" applyAlignment="1">
      <alignment horizontal="left" vertical="center"/>
    </xf>
    <xf numFmtId="0" fontId="4" fillId="2" borderId="32" xfId="0" applyFont="1" applyFill="1" applyBorder="1" applyAlignment="1">
      <alignment horizontal="left" vertical="center"/>
    </xf>
    <xf numFmtId="0" fontId="0" fillId="0" borderId="8" xfId="0" applyBorder="1" applyAlignment="1">
      <alignment horizontal="left"/>
    </xf>
    <xf numFmtId="4" fontId="4" fillId="3" borderId="19" xfId="1" applyNumberFormat="1" applyFont="1" applyFill="1" applyBorder="1" applyAlignment="1">
      <alignment horizontal="left" vertical="center" wrapText="1"/>
    </xf>
    <xf numFmtId="4" fontId="4" fillId="3" borderId="32" xfId="1" applyNumberFormat="1" applyFont="1" applyFill="1" applyBorder="1" applyAlignment="1">
      <alignment horizontal="left" vertical="center" wrapText="1"/>
    </xf>
    <xf numFmtId="4" fontId="4" fillId="3" borderId="17" xfId="1" applyNumberFormat="1" applyFont="1" applyFill="1" applyBorder="1" applyAlignment="1">
      <alignment horizontal="left" vertical="center" wrapText="1"/>
    </xf>
    <xf numFmtId="3" fontId="12" fillId="2" borderId="5" xfId="1" applyNumberFormat="1" applyFont="1" applyFill="1" applyBorder="1" applyAlignment="1">
      <alignment horizontal="center" vertical="center" wrapText="1"/>
    </xf>
    <xf numFmtId="0" fontId="12" fillId="2" borderId="5" xfId="1" applyFont="1" applyFill="1" applyBorder="1" applyAlignment="1">
      <alignment horizontal="center" vertical="center" wrapText="1"/>
    </xf>
    <xf numFmtId="0" fontId="12" fillId="2" borderId="5" xfId="1" applyFont="1" applyFill="1" applyBorder="1" applyAlignment="1">
      <alignment horizontal="center" vertical="center"/>
    </xf>
    <xf numFmtId="4" fontId="11" fillId="2" borderId="0" xfId="1" applyNumberFormat="1" applyFont="1" applyFill="1" applyBorder="1" applyAlignment="1">
      <alignment horizontal="center" vertical="center"/>
    </xf>
    <xf numFmtId="4" fontId="11" fillId="0" borderId="0" xfId="1" applyNumberFormat="1" applyFont="1" applyFill="1" applyBorder="1" applyAlignment="1">
      <alignment horizontal="center" vertical="center"/>
    </xf>
    <xf numFmtId="0" fontId="11" fillId="2" borderId="0" xfId="1" applyNumberFormat="1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left" vertical="center"/>
    </xf>
    <xf numFmtId="0" fontId="3" fillId="2" borderId="17" xfId="0" applyFont="1" applyFill="1" applyBorder="1" applyAlignment="1">
      <alignment horizontal="left" vertical="center"/>
    </xf>
    <xf numFmtId="4" fontId="2" fillId="2" borderId="0" xfId="1" applyNumberFormat="1" applyFont="1" applyFill="1" applyBorder="1" applyAlignment="1">
      <alignment horizontal="center" vertical="center" wrapText="1"/>
    </xf>
    <xf numFmtId="4" fontId="2" fillId="2" borderId="8" xfId="1" applyNumberFormat="1" applyFont="1" applyFill="1" applyBorder="1" applyAlignment="1">
      <alignment horizontal="left" vertical="center" wrapText="1"/>
    </xf>
    <xf numFmtId="4" fontId="2" fillId="2" borderId="0" xfId="1" applyNumberFormat="1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4" fontId="3" fillId="3" borderId="16" xfId="1" applyNumberFormat="1" applyFont="1" applyFill="1" applyBorder="1" applyAlignment="1">
      <alignment horizontal="left" vertical="center" wrapText="1"/>
    </xf>
    <xf numFmtId="4" fontId="3" fillId="3" borderId="17" xfId="1" applyNumberFormat="1" applyFont="1" applyFill="1" applyBorder="1" applyAlignment="1">
      <alignment horizontal="left" vertical="center" wrapText="1"/>
    </xf>
    <xf numFmtId="4" fontId="2" fillId="3" borderId="16" xfId="1" applyNumberFormat="1" applyFont="1" applyFill="1" applyBorder="1" applyAlignment="1">
      <alignment horizontal="left" vertical="center" wrapText="1"/>
    </xf>
    <xf numFmtId="4" fontId="2" fillId="3" borderId="17" xfId="1" applyNumberFormat="1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16" xfId="0" applyFont="1" applyFill="1" applyBorder="1" applyAlignment="1">
      <alignment horizontal="left" vertical="center" wrapText="1"/>
    </xf>
    <xf numFmtId="0" fontId="3" fillId="2" borderId="17" xfId="0" applyFont="1" applyFill="1" applyBorder="1" applyAlignment="1">
      <alignment horizontal="left" vertical="center" wrapText="1"/>
    </xf>
    <xf numFmtId="0" fontId="3" fillId="2" borderId="16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3" borderId="16" xfId="0" applyFont="1" applyFill="1" applyBorder="1" applyAlignment="1">
      <alignment horizontal="left" vertical="center" wrapText="1"/>
    </xf>
    <xf numFmtId="0" fontId="3" fillId="3" borderId="17" xfId="0" applyFont="1" applyFill="1" applyBorder="1" applyAlignment="1">
      <alignment horizontal="left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left" vertical="center"/>
    </xf>
    <xf numFmtId="0" fontId="9" fillId="0" borderId="16" xfId="0" applyFont="1" applyBorder="1" applyAlignment="1">
      <alignment horizontal="left" vertical="center"/>
    </xf>
    <xf numFmtId="0" fontId="9" fillId="0" borderId="17" xfId="0" applyFont="1" applyBorder="1" applyAlignment="1">
      <alignment horizontal="left" vertical="center"/>
    </xf>
    <xf numFmtId="4" fontId="17" fillId="0" borderId="35" xfId="0" applyNumberFormat="1" applyFont="1" applyBorder="1" applyAlignment="1">
      <alignment horizontal="center"/>
    </xf>
    <xf numFmtId="2" fontId="2" fillId="3" borderId="18" xfId="1" applyNumberFormat="1" applyFont="1" applyFill="1" applyBorder="1" applyAlignment="1">
      <alignment horizontal="center" vertical="center" wrapText="1"/>
    </xf>
    <xf numFmtId="2" fontId="2" fillId="3" borderId="19" xfId="1" applyNumberFormat="1" applyFont="1" applyFill="1" applyBorder="1" applyAlignment="1">
      <alignment horizontal="center" vertical="center" wrapText="1"/>
    </xf>
    <xf numFmtId="4" fontId="3" fillId="3" borderId="22" xfId="1" applyNumberFormat="1" applyFont="1" applyFill="1" applyBorder="1" applyAlignment="1">
      <alignment horizontal="left" vertical="center" wrapText="1"/>
    </xf>
    <xf numFmtId="4" fontId="3" fillId="3" borderId="23" xfId="1" applyNumberFormat="1" applyFont="1" applyFill="1" applyBorder="1" applyAlignment="1">
      <alignment horizontal="left" vertical="center" wrapText="1"/>
    </xf>
    <xf numFmtId="4" fontId="3" fillId="3" borderId="22" xfId="1" applyNumberFormat="1" applyFont="1" applyFill="1" applyBorder="1" applyAlignment="1">
      <alignment horizontal="center" vertical="center" wrapText="1"/>
    </xf>
    <xf numFmtId="4" fontId="3" fillId="3" borderId="23" xfId="1" applyNumberFormat="1" applyFont="1" applyFill="1" applyBorder="1" applyAlignment="1">
      <alignment horizontal="center" vertical="center" wrapText="1"/>
    </xf>
    <xf numFmtId="4" fontId="3" fillId="3" borderId="24" xfId="1" applyNumberFormat="1" applyFont="1" applyFill="1" applyBorder="1" applyAlignment="1">
      <alignment horizontal="center" vertical="center" wrapText="1"/>
    </xf>
    <xf numFmtId="4" fontId="3" fillId="3" borderId="25" xfId="1" applyNumberFormat="1" applyFont="1" applyFill="1" applyBorder="1" applyAlignment="1">
      <alignment horizontal="center" vertical="center" wrapText="1"/>
    </xf>
    <xf numFmtId="4" fontId="3" fillId="3" borderId="26" xfId="1" applyNumberFormat="1" applyFont="1" applyFill="1" applyBorder="1" applyAlignment="1">
      <alignment horizontal="left" vertical="center" wrapText="1"/>
    </xf>
    <xf numFmtId="4" fontId="3" fillId="3" borderId="27" xfId="1" applyNumberFormat="1" applyFont="1" applyFill="1" applyBorder="1" applyAlignment="1">
      <alignment horizontal="left" vertical="center" wrapText="1"/>
    </xf>
    <xf numFmtId="4" fontId="3" fillId="3" borderId="5" xfId="1" applyNumberFormat="1" applyFont="1" applyFill="1" applyBorder="1" applyAlignment="1">
      <alignment horizontal="left" vertical="center" wrapText="1"/>
    </xf>
    <xf numFmtId="4" fontId="3" fillId="2" borderId="31" xfId="1" applyNumberFormat="1" applyFont="1" applyFill="1" applyBorder="1" applyAlignment="1">
      <alignment horizontal="left" vertical="center" wrapText="1"/>
    </xf>
    <xf numFmtId="4" fontId="3" fillId="2" borderId="32" xfId="1" applyNumberFormat="1" applyFont="1" applyFill="1" applyBorder="1" applyAlignment="1">
      <alignment horizontal="left" vertical="center" wrapText="1"/>
    </xf>
    <xf numFmtId="0" fontId="3" fillId="2" borderId="34" xfId="0" applyFont="1" applyFill="1" applyBorder="1" applyAlignment="1">
      <alignment horizontal="left" vertical="center"/>
    </xf>
    <xf numFmtId="4" fontId="2" fillId="2" borderId="6" xfId="1" applyNumberFormat="1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/>
    </xf>
    <xf numFmtId="0" fontId="9" fillId="0" borderId="16" xfId="0" applyFont="1" applyBorder="1" applyAlignment="1">
      <alignment horizontal="left"/>
    </xf>
    <xf numFmtId="0" fontId="9" fillId="0" borderId="17" xfId="0" applyFont="1" applyBorder="1" applyAlignment="1">
      <alignment horizontal="left"/>
    </xf>
    <xf numFmtId="0" fontId="3" fillId="3" borderId="33" xfId="0" applyFont="1" applyFill="1" applyBorder="1" applyAlignment="1">
      <alignment horizontal="left" vertical="center" wrapText="1"/>
    </xf>
    <xf numFmtId="0" fontId="3" fillId="3" borderId="19" xfId="0" applyFont="1" applyFill="1" applyBorder="1" applyAlignment="1">
      <alignment horizontal="left" vertical="center" wrapText="1"/>
    </xf>
    <xf numFmtId="0" fontId="3" fillId="2" borderId="28" xfId="0" applyFont="1" applyFill="1" applyBorder="1" applyAlignment="1">
      <alignment horizontal="left" vertical="center" wrapText="1"/>
    </xf>
    <xf numFmtId="0" fontId="3" fillId="2" borderId="19" xfId="0" applyFont="1" applyFill="1" applyBorder="1" applyAlignment="1">
      <alignment horizontal="left" vertical="center" wrapText="1"/>
    </xf>
    <xf numFmtId="0" fontId="3" fillId="3" borderId="36" xfId="0" applyFont="1" applyFill="1" applyBorder="1" applyAlignment="1">
      <alignment horizontal="center" vertical="center" wrapText="1"/>
    </xf>
    <xf numFmtId="0" fontId="3" fillId="3" borderId="37" xfId="0" applyFont="1" applyFill="1" applyBorder="1" applyAlignment="1">
      <alignment horizontal="center" vertical="center" wrapText="1"/>
    </xf>
    <xf numFmtId="4" fontId="3" fillId="3" borderId="36" xfId="1" applyNumberFormat="1" applyFont="1" applyFill="1" applyBorder="1" applyAlignment="1">
      <alignment horizontal="center" vertical="center" wrapText="1"/>
    </xf>
    <xf numFmtId="4" fontId="3" fillId="3" borderId="37" xfId="1" applyNumberFormat="1" applyFont="1" applyFill="1" applyBorder="1" applyAlignment="1">
      <alignment horizontal="center" vertical="center" wrapText="1"/>
    </xf>
    <xf numFmtId="4" fontId="2" fillId="3" borderId="18" xfId="1" applyNumberFormat="1" applyFont="1" applyFill="1" applyBorder="1" applyAlignment="1">
      <alignment horizontal="center" vertical="center" wrapText="1"/>
    </xf>
    <xf numFmtId="4" fontId="2" fillId="3" borderId="19" xfId="1" applyNumberFormat="1" applyFont="1" applyFill="1" applyBorder="1" applyAlignment="1">
      <alignment horizontal="center" vertical="center" wrapText="1"/>
    </xf>
    <xf numFmtId="4" fontId="2" fillId="3" borderId="15" xfId="1" applyNumberFormat="1" applyFont="1" applyFill="1" applyBorder="1" applyAlignment="1">
      <alignment horizontal="left" vertical="center" wrapText="1"/>
    </xf>
    <xf numFmtId="4" fontId="2" fillId="3" borderId="0" xfId="1" applyNumberFormat="1" applyFont="1" applyFill="1" applyBorder="1" applyAlignment="1">
      <alignment horizontal="left" vertical="center" wrapText="1"/>
    </xf>
    <xf numFmtId="4" fontId="17" fillId="0" borderId="35" xfId="0" applyNumberFormat="1" applyFont="1" applyBorder="1" applyAlignment="1">
      <alignment horizontal="center" vertical="center" wrapText="1"/>
    </xf>
    <xf numFmtId="4" fontId="17" fillId="0" borderId="35" xfId="1" applyNumberFormat="1" applyFont="1" applyBorder="1" applyAlignment="1">
      <alignment horizontal="center" vertical="center" wrapText="1"/>
    </xf>
    <xf numFmtId="4" fontId="17" fillId="0" borderId="35" xfId="1" applyNumberFormat="1" applyFont="1" applyBorder="1" applyAlignment="1">
      <alignment horizontal="center" vertical="center"/>
    </xf>
  </cellXfs>
  <cellStyles count="2">
    <cellStyle name="Обычный" xfId="0" builtinId="0"/>
    <cellStyle name="Обычный_Парк-Плейс. Перечень используемых материалов и работ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3"/>
  <sheetViews>
    <sheetView topLeftCell="A22" zoomScaleNormal="100" workbookViewId="0">
      <selection activeCell="J10" sqref="J10"/>
    </sheetView>
  </sheetViews>
  <sheetFormatPr defaultRowHeight="14.4" x14ac:dyDescent="0.3"/>
  <cols>
    <col min="2" max="2" width="31.33203125" bestFit="1" customWidth="1"/>
    <col min="3" max="3" width="10.5546875" customWidth="1"/>
    <col min="4" max="4" width="8.5546875" customWidth="1"/>
  </cols>
  <sheetData>
    <row r="1" spans="1:7" x14ac:dyDescent="0.3">
      <c r="B1" s="181" t="s">
        <v>136</v>
      </c>
    </row>
    <row r="2" spans="1:7" x14ac:dyDescent="0.3">
      <c r="A2" s="173"/>
      <c r="B2" s="173"/>
      <c r="C2" s="173"/>
      <c r="D2" s="173"/>
      <c r="E2" s="173"/>
      <c r="F2" s="174"/>
    </row>
    <row r="3" spans="1:7" ht="18" x14ac:dyDescent="0.3">
      <c r="A3" s="196" t="s">
        <v>74</v>
      </c>
      <c r="B3" s="197"/>
      <c r="C3" s="175" t="s">
        <v>0</v>
      </c>
      <c r="D3" s="175"/>
      <c r="E3" s="173"/>
      <c r="F3" s="173"/>
    </row>
    <row r="4" spans="1:7" x14ac:dyDescent="0.3">
      <c r="A4" s="195"/>
      <c r="B4" s="176" t="s">
        <v>125</v>
      </c>
      <c r="C4" s="177" t="s">
        <v>130</v>
      </c>
      <c r="D4" s="177">
        <v>80</v>
      </c>
      <c r="E4" s="173"/>
      <c r="F4" s="178"/>
      <c r="G4" s="37"/>
    </row>
    <row r="5" spans="1:7" x14ac:dyDescent="0.3">
      <c r="A5" s="195"/>
      <c r="B5" s="176" t="s">
        <v>126</v>
      </c>
      <c r="C5" s="177" t="s">
        <v>131</v>
      </c>
      <c r="D5" s="177">
        <v>0.3</v>
      </c>
      <c r="E5" s="173"/>
      <c r="F5" s="173"/>
    </row>
    <row r="6" spans="1:7" x14ac:dyDescent="0.3">
      <c r="A6" s="195"/>
      <c r="B6" s="176" t="s">
        <v>127</v>
      </c>
      <c r="C6" s="177" t="s">
        <v>130</v>
      </c>
      <c r="D6" s="177">
        <v>40</v>
      </c>
      <c r="E6" s="173"/>
      <c r="F6" s="173"/>
    </row>
    <row r="7" spans="1:7" x14ac:dyDescent="0.3">
      <c r="A7" s="195"/>
      <c r="B7" s="176" t="s">
        <v>128</v>
      </c>
      <c r="C7" s="177" t="s">
        <v>131</v>
      </c>
      <c r="D7" s="177">
        <v>0.25</v>
      </c>
      <c r="E7" s="173"/>
      <c r="F7" s="178"/>
      <c r="G7" s="37"/>
    </row>
    <row r="8" spans="1:7" x14ac:dyDescent="0.3">
      <c r="A8" s="195"/>
      <c r="B8" s="179" t="s">
        <v>113</v>
      </c>
      <c r="C8" s="177" t="s">
        <v>131</v>
      </c>
      <c r="D8" s="177">
        <v>0.5</v>
      </c>
      <c r="E8" s="173"/>
      <c r="F8" s="173"/>
      <c r="G8" s="124"/>
    </row>
    <row r="9" spans="1:7" x14ac:dyDescent="0.3">
      <c r="A9" s="195"/>
      <c r="B9" s="176" t="s">
        <v>47</v>
      </c>
      <c r="C9" s="177" t="s">
        <v>12</v>
      </c>
      <c r="D9" s="177">
        <v>2</v>
      </c>
      <c r="E9" s="173"/>
      <c r="F9" s="173"/>
      <c r="G9" s="124"/>
    </row>
    <row r="10" spans="1:7" x14ac:dyDescent="0.3">
      <c r="A10" s="195"/>
      <c r="B10" s="176" t="s">
        <v>48</v>
      </c>
      <c r="C10" s="177" t="s">
        <v>12</v>
      </c>
      <c r="D10" s="177">
        <v>10</v>
      </c>
      <c r="E10" s="173"/>
      <c r="F10" s="173"/>
    </row>
    <row r="11" spans="1:7" x14ac:dyDescent="0.3">
      <c r="A11" s="195"/>
      <c r="B11" s="176" t="s">
        <v>114</v>
      </c>
      <c r="C11" s="177" t="s">
        <v>12</v>
      </c>
      <c r="D11" s="177">
        <v>6</v>
      </c>
      <c r="E11" s="173"/>
      <c r="F11" s="173"/>
    </row>
    <row r="12" spans="1:7" x14ac:dyDescent="0.3">
      <c r="A12" s="195"/>
      <c r="B12" s="176" t="s">
        <v>49</v>
      </c>
      <c r="C12" s="177" t="s">
        <v>12</v>
      </c>
      <c r="D12" s="177">
        <v>2</v>
      </c>
      <c r="E12" s="173"/>
      <c r="F12" s="173"/>
    </row>
    <row r="13" spans="1:7" x14ac:dyDescent="0.3">
      <c r="A13" s="195"/>
      <c r="B13" s="176" t="s">
        <v>129</v>
      </c>
      <c r="C13" s="177" t="s">
        <v>131</v>
      </c>
      <c r="D13" s="177">
        <v>0</v>
      </c>
      <c r="E13" s="173"/>
      <c r="F13" s="173"/>
    </row>
    <row r="14" spans="1:7" x14ac:dyDescent="0.3">
      <c r="A14" s="195"/>
      <c r="B14" s="180" t="s">
        <v>50</v>
      </c>
      <c r="C14" s="177" t="s">
        <v>131</v>
      </c>
      <c r="D14" s="177">
        <v>0.2</v>
      </c>
      <c r="E14" s="173"/>
      <c r="F14" s="173"/>
    </row>
    <row r="15" spans="1:7" x14ac:dyDescent="0.3">
      <c r="A15" s="195"/>
      <c r="B15" s="180" t="s">
        <v>51</v>
      </c>
      <c r="C15" s="177" t="s">
        <v>131</v>
      </c>
      <c r="D15" s="177">
        <v>0.2</v>
      </c>
      <c r="E15" s="173"/>
      <c r="F15" s="173"/>
    </row>
    <row r="16" spans="1:7" x14ac:dyDescent="0.3">
      <c r="A16" s="195"/>
      <c r="B16" s="176" t="s">
        <v>46</v>
      </c>
      <c r="C16" s="177" t="s">
        <v>3</v>
      </c>
      <c r="D16" s="177">
        <v>101.66</v>
      </c>
      <c r="E16" s="173"/>
      <c r="F16" s="173"/>
    </row>
    <row r="17" spans="1:13" x14ac:dyDescent="0.3">
      <c r="A17" s="195"/>
      <c r="B17" s="180"/>
      <c r="C17" s="177"/>
      <c r="D17" s="177"/>
      <c r="E17" s="173"/>
      <c r="F17" s="173"/>
    </row>
    <row r="18" spans="1:13" x14ac:dyDescent="0.3">
      <c r="A18" s="173"/>
      <c r="B18" s="173"/>
      <c r="C18" s="173"/>
      <c r="D18" s="173"/>
      <c r="E18" s="173"/>
      <c r="F18" s="173"/>
    </row>
    <row r="19" spans="1:13" x14ac:dyDescent="0.3">
      <c r="F19" s="101"/>
    </row>
    <row r="20" spans="1:13" x14ac:dyDescent="0.3">
      <c r="F20" s="101"/>
    </row>
    <row r="21" spans="1:13" x14ac:dyDescent="0.3">
      <c r="F21" s="101"/>
    </row>
    <row r="22" spans="1:13" x14ac:dyDescent="0.3">
      <c r="A22" s="158"/>
      <c r="B22" s="158"/>
      <c r="C22" s="158"/>
      <c r="D22" s="158"/>
      <c r="E22" s="158"/>
      <c r="F22" s="158"/>
      <c r="G22" s="158"/>
      <c r="H22" s="158"/>
      <c r="I22" s="158"/>
      <c r="J22" s="158"/>
      <c r="K22" s="158"/>
      <c r="L22" s="158"/>
      <c r="M22" s="158"/>
    </row>
    <row r="23" spans="1:13" x14ac:dyDescent="0.3">
      <c r="B23" s="37" t="s">
        <v>132</v>
      </c>
      <c r="F23" s="101"/>
    </row>
    <row r="24" spans="1:13" x14ac:dyDescent="0.3">
      <c r="D24" s="66" t="s">
        <v>67</v>
      </c>
      <c r="E24" s="67" t="s">
        <v>68</v>
      </c>
      <c r="F24" s="67" t="s">
        <v>71</v>
      </c>
      <c r="G24" s="67"/>
    </row>
    <row r="25" spans="1:13" x14ac:dyDescent="0.3">
      <c r="B25" s="198" t="s">
        <v>115</v>
      </c>
      <c r="C25" s="199"/>
      <c r="D25" s="36" t="s">
        <v>5</v>
      </c>
      <c r="E25" s="78">
        <v>1900</v>
      </c>
      <c r="F25" s="67"/>
      <c r="G25" s="67"/>
    </row>
    <row r="26" spans="1:13" x14ac:dyDescent="0.3">
      <c r="B26" s="200" t="s">
        <v>7</v>
      </c>
      <c r="C26" s="201"/>
      <c r="D26" s="167" t="s">
        <v>5</v>
      </c>
      <c r="E26" s="78">
        <v>1300</v>
      </c>
      <c r="G26" s="67"/>
    </row>
    <row r="27" spans="1:13" ht="28.8" x14ac:dyDescent="0.3">
      <c r="B27" s="64" t="s">
        <v>65</v>
      </c>
      <c r="C27" s="165">
        <v>1500</v>
      </c>
      <c r="D27" s="35" t="s">
        <v>3</v>
      </c>
      <c r="E27" s="78">
        <v>65</v>
      </c>
      <c r="G27" s="67"/>
    </row>
    <row r="28" spans="1:13" ht="28.8" x14ac:dyDescent="0.3">
      <c r="B28" s="64" t="s">
        <v>65</v>
      </c>
      <c r="C28" s="166">
        <v>2000</v>
      </c>
      <c r="D28" s="35" t="s">
        <v>3</v>
      </c>
      <c r="E28" s="78">
        <v>65</v>
      </c>
      <c r="G28" s="67"/>
    </row>
    <row r="29" spans="1:13" x14ac:dyDescent="0.3">
      <c r="B29" s="202" t="s">
        <v>10</v>
      </c>
      <c r="C29" s="203"/>
      <c r="D29" s="167" t="s">
        <v>5</v>
      </c>
      <c r="E29" s="78">
        <v>3150</v>
      </c>
      <c r="G29" s="67"/>
    </row>
    <row r="30" spans="1:13" x14ac:dyDescent="0.3">
      <c r="B30" s="192" t="s">
        <v>18</v>
      </c>
      <c r="C30" s="191"/>
      <c r="D30" s="167" t="s">
        <v>5</v>
      </c>
      <c r="E30" s="78">
        <v>16500</v>
      </c>
      <c r="G30" s="71">
        <f>E30/33</f>
        <v>500</v>
      </c>
    </row>
    <row r="31" spans="1:13" x14ac:dyDescent="0.3">
      <c r="B31" s="192" t="s">
        <v>83</v>
      </c>
      <c r="C31" s="191"/>
      <c r="D31" s="167" t="s">
        <v>12</v>
      </c>
      <c r="E31" s="78">
        <v>240</v>
      </c>
      <c r="G31" s="67"/>
    </row>
    <row r="32" spans="1:13" x14ac:dyDescent="0.3">
      <c r="B32" s="192" t="s">
        <v>82</v>
      </c>
      <c r="C32" s="191"/>
      <c r="D32" s="167" t="s">
        <v>20</v>
      </c>
      <c r="E32" s="78">
        <v>360</v>
      </c>
      <c r="G32" s="67"/>
    </row>
    <row r="33" spans="2:7" x14ac:dyDescent="0.3">
      <c r="B33" s="192" t="s">
        <v>84</v>
      </c>
      <c r="C33" s="191"/>
      <c r="D33" s="167" t="s">
        <v>20</v>
      </c>
      <c r="E33" s="78">
        <v>360</v>
      </c>
      <c r="G33" s="67"/>
    </row>
    <row r="34" spans="2:7" x14ac:dyDescent="0.3">
      <c r="B34" s="192" t="s">
        <v>85</v>
      </c>
      <c r="C34" s="191"/>
      <c r="D34" s="167" t="s">
        <v>11</v>
      </c>
      <c r="E34" s="78">
        <v>60</v>
      </c>
      <c r="G34" s="67"/>
    </row>
    <row r="35" spans="2:7" x14ac:dyDescent="0.3">
      <c r="B35" s="188" t="s">
        <v>19</v>
      </c>
      <c r="C35" s="189"/>
      <c r="D35" s="167" t="s">
        <v>20</v>
      </c>
      <c r="E35" s="78">
        <v>160</v>
      </c>
      <c r="G35" s="67"/>
    </row>
    <row r="36" spans="2:7" x14ac:dyDescent="0.3">
      <c r="B36" s="190" t="s">
        <v>21</v>
      </c>
      <c r="C36" s="191"/>
      <c r="D36" s="167" t="s">
        <v>20</v>
      </c>
      <c r="E36" s="78">
        <v>390</v>
      </c>
      <c r="G36" s="67"/>
    </row>
    <row r="37" spans="2:7" x14ac:dyDescent="0.3">
      <c r="B37" s="192" t="s">
        <v>22</v>
      </c>
      <c r="C37" s="191"/>
      <c r="D37" s="167" t="s">
        <v>3</v>
      </c>
      <c r="E37" s="78">
        <v>100</v>
      </c>
      <c r="G37" s="67"/>
    </row>
    <row r="38" spans="2:7" x14ac:dyDescent="0.3">
      <c r="B38" s="193" t="s">
        <v>25</v>
      </c>
      <c r="C38" s="193"/>
      <c r="D38" s="167" t="s">
        <v>24</v>
      </c>
      <c r="E38" s="168">
        <f>1000/0.889*G38</f>
        <v>62992.125984251972</v>
      </c>
      <c r="G38" s="71">
        <v>56</v>
      </c>
    </row>
    <row r="39" spans="2:7" x14ac:dyDescent="0.3">
      <c r="B39" s="194" t="s">
        <v>26</v>
      </c>
      <c r="C39" s="193"/>
      <c r="D39" s="167" t="s">
        <v>24</v>
      </c>
      <c r="E39" s="168">
        <f>1000/0.395*G39</f>
        <v>70886.075949367078</v>
      </c>
      <c r="G39" s="71">
        <v>28</v>
      </c>
    </row>
    <row r="40" spans="2:7" x14ac:dyDescent="0.3">
      <c r="B40" s="185" t="s">
        <v>29</v>
      </c>
      <c r="C40" s="186"/>
      <c r="D40" s="167" t="s">
        <v>24</v>
      </c>
      <c r="E40" s="169">
        <f>G40*1000</f>
        <v>130000</v>
      </c>
      <c r="G40" s="71">
        <v>130</v>
      </c>
    </row>
    <row r="41" spans="2:7" x14ac:dyDescent="0.3">
      <c r="B41" s="182" t="s">
        <v>32</v>
      </c>
      <c r="C41" s="183"/>
      <c r="D41" s="167" t="s">
        <v>5</v>
      </c>
      <c r="E41" s="78">
        <v>7200</v>
      </c>
      <c r="G41" s="67"/>
    </row>
    <row r="42" spans="2:7" x14ac:dyDescent="0.3">
      <c r="B42" s="182" t="s">
        <v>56</v>
      </c>
      <c r="C42" s="183"/>
      <c r="D42" s="167" t="s">
        <v>12</v>
      </c>
      <c r="E42" s="78">
        <v>11</v>
      </c>
      <c r="G42" s="67"/>
    </row>
    <row r="43" spans="2:7" x14ac:dyDescent="0.3">
      <c r="B43" s="187" t="s">
        <v>79</v>
      </c>
      <c r="C43" s="187"/>
      <c r="D43" s="167" t="s">
        <v>12</v>
      </c>
      <c r="E43" s="78">
        <v>1200</v>
      </c>
      <c r="G43" s="67"/>
    </row>
    <row r="44" spans="2:7" x14ac:dyDescent="0.3">
      <c r="B44" s="127" t="s">
        <v>90</v>
      </c>
      <c r="C44" s="127"/>
      <c r="D44" s="167" t="s">
        <v>9</v>
      </c>
      <c r="E44" s="78">
        <v>980</v>
      </c>
      <c r="G44" s="67"/>
    </row>
    <row r="45" spans="2:7" x14ac:dyDescent="0.3">
      <c r="B45" s="187" t="s">
        <v>92</v>
      </c>
      <c r="C45" s="187"/>
      <c r="D45" s="167" t="s">
        <v>91</v>
      </c>
      <c r="E45" s="78">
        <v>3968</v>
      </c>
      <c r="G45" s="67"/>
    </row>
    <row r="46" spans="2:7" x14ac:dyDescent="0.3">
      <c r="B46" s="182" t="s">
        <v>57</v>
      </c>
      <c r="C46" s="183"/>
      <c r="D46" s="167" t="s">
        <v>13</v>
      </c>
      <c r="E46" s="169" t="e">
        <f>E48*F48+E49*F49+E50*F50</f>
        <v>#REF!</v>
      </c>
      <c r="G46" s="67"/>
    </row>
    <row r="47" spans="2:7" x14ac:dyDescent="0.3">
      <c r="D47" s="167"/>
      <c r="E47" s="78"/>
      <c r="G47" s="67"/>
    </row>
    <row r="48" spans="2:7" x14ac:dyDescent="0.3">
      <c r="B48" s="184" t="s">
        <v>66</v>
      </c>
      <c r="C48" s="184"/>
      <c r="D48" s="167" t="s">
        <v>12</v>
      </c>
      <c r="E48" s="78">
        <v>45</v>
      </c>
      <c r="F48" s="68" t="e">
        <f>'Ст-сть Матер-Работ'!F26</f>
        <v>#REF!</v>
      </c>
      <c r="G48" s="67"/>
    </row>
    <row r="49" spans="2:7" x14ac:dyDescent="0.3">
      <c r="B49" s="184" t="s">
        <v>69</v>
      </c>
      <c r="C49" s="184"/>
      <c r="D49" s="167" t="s">
        <v>70</v>
      </c>
      <c r="E49" s="78">
        <v>55</v>
      </c>
      <c r="F49" s="69" t="e">
        <f>'Ст-сть Матер-Работ'!F27</f>
        <v>#REF!</v>
      </c>
      <c r="G49" s="67"/>
    </row>
    <row r="50" spans="2:7" x14ac:dyDescent="0.3">
      <c r="B50" s="184" t="s">
        <v>73</v>
      </c>
      <c r="C50" s="184"/>
      <c r="D50" s="167" t="s">
        <v>72</v>
      </c>
      <c r="E50" s="78">
        <v>170</v>
      </c>
      <c r="F50" s="68">
        <f>'Ст-сть Матер-Работ'!F28</f>
        <v>2</v>
      </c>
      <c r="G50" s="67"/>
    </row>
    <row r="51" spans="2:7" x14ac:dyDescent="0.3">
      <c r="D51" s="37"/>
      <c r="E51" s="67"/>
      <c r="G51" s="67"/>
    </row>
    <row r="52" spans="2:7" x14ac:dyDescent="0.3">
      <c r="B52" s="29" t="s">
        <v>34</v>
      </c>
      <c r="C52" s="73">
        <v>3500</v>
      </c>
      <c r="D52" s="27" t="s">
        <v>35</v>
      </c>
      <c r="E52" s="72">
        <v>120</v>
      </c>
      <c r="G52" s="67"/>
    </row>
    <row r="53" spans="2:7" x14ac:dyDescent="0.3">
      <c r="B53" s="29" t="s">
        <v>62</v>
      </c>
      <c r="C53" s="73">
        <v>8000</v>
      </c>
      <c r="D53" s="27" t="s">
        <v>35</v>
      </c>
      <c r="E53" s="72">
        <v>120</v>
      </c>
      <c r="G53" s="67"/>
    </row>
    <row r="54" spans="2:7" x14ac:dyDescent="0.3">
      <c r="B54" s="29" t="s">
        <v>63</v>
      </c>
      <c r="C54" s="73">
        <v>18500</v>
      </c>
      <c r="D54" s="27" t="s">
        <v>35</v>
      </c>
      <c r="E54" s="30"/>
      <c r="G54" s="67"/>
    </row>
    <row r="55" spans="2:7" x14ac:dyDescent="0.3">
      <c r="B55" s="32" t="s">
        <v>36</v>
      </c>
      <c r="C55" s="74">
        <v>23500</v>
      </c>
      <c r="D55" s="33" t="s">
        <v>35</v>
      </c>
      <c r="E55" s="33"/>
      <c r="G55" s="67"/>
    </row>
    <row r="56" spans="2:7" x14ac:dyDescent="0.3">
      <c r="D56" s="37"/>
      <c r="E56" s="67"/>
      <c r="G56" s="67"/>
    </row>
    <row r="57" spans="2:7" x14ac:dyDescent="0.3">
      <c r="D57" s="37"/>
      <c r="E57" s="67"/>
      <c r="G57" s="67"/>
    </row>
    <row r="58" spans="2:7" x14ac:dyDescent="0.3">
      <c r="B58" s="121" t="s">
        <v>106</v>
      </c>
      <c r="C58" s="122" t="s">
        <v>67</v>
      </c>
      <c r="D58" s="122" t="s">
        <v>107</v>
      </c>
      <c r="E58" s="67"/>
      <c r="G58" s="67"/>
    </row>
    <row r="59" spans="2:7" ht="30" x14ac:dyDescent="0.3">
      <c r="B59" s="123" t="s">
        <v>2</v>
      </c>
      <c r="C59" s="161" t="s">
        <v>3</v>
      </c>
      <c r="D59" s="162">
        <v>50</v>
      </c>
      <c r="E59" s="67"/>
      <c r="G59" s="67"/>
    </row>
    <row r="60" spans="2:7" ht="30" x14ac:dyDescent="0.3">
      <c r="B60" s="123" t="s">
        <v>108</v>
      </c>
      <c r="C60" s="161" t="s">
        <v>5</v>
      </c>
      <c r="D60" s="162">
        <v>1250</v>
      </c>
      <c r="E60" s="67"/>
      <c r="G60" s="67"/>
    </row>
    <row r="61" spans="2:7" ht="30" x14ac:dyDescent="0.3">
      <c r="B61" s="123" t="s">
        <v>6</v>
      </c>
      <c r="C61" s="161" t="s">
        <v>3</v>
      </c>
      <c r="D61" s="162">
        <v>300</v>
      </c>
      <c r="E61" s="67"/>
      <c r="G61" s="67"/>
    </row>
    <row r="62" spans="2:7" ht="30" x14ac:dyDescent="0.3">
      <c r="B62" s="123" t="s">
        <v>109</v>
      </c>
      <c r="C62" s="161" t="s">
        <v>5</v>
      </c>
      <c r="D62" s="162">
        <v>800</v>
      </c>
      <c r="E62" s="67"/>
      <c r="G62" s="67"/>
    </row>
    <row r="63" spans="2:7" ht="15" x14ac:dyDescent="0.3">
      <c r="B63" s="123" t="s">
        <v>110</v>
      </c>
      <c r="C63" s="161" t="s">
        <v>3</v>
      </c>
      <c r="D63" s="162">
        <v>50</v>
      </c>
      <c r="E63" s="67"/>
      <c r="G63" s="67"/>
    </row>
    <row r="64" spans="2:7" ht="30" x14ac:dyDescent="0.3">
      <c r="B64" s="123" t="s">
        <v>111</v>
      </c>
      <c r="C64" s="161" t="s">
        <v>5</v>
      </c>
      <c r="D64" s="162">
        <v>800</v>
      </c>
      <c r="E64" s="67"/>
      <c r="G64" s="67"/>
    </row>
    <row r="65" spans="2:7" ht="15" x14ac:dyDescent="0.3">
      <c r="B65" s="123" t="s">
        <v>58</v>
      </c>
      <c r="C65" s="161" t="s">
        <v>3</v>
      </c>
      <c r="D65" s="162">
        <v>240</v>
      </c>
      <c r="E65" s="67"/>
      <c r="G65" s="67"/>
    </row>
    <row r="66" spans="2:7" ht="30" x14ac:dyDescent="0.3">
      <c r="B66" s="123" t="s">
        <v>54</v>
      </c>
      <c r="C66" s="161" t="s">
        <v>24</v>
      </c>
      <c r="D66" s="162">
        <v>17500</v>
      </c>
      <c r="E66" s="67"/>
      <c r="G66" s="67"/>
    </row>
    <row r="67" spans="2:7" ht="15" x14ac:dyDescent="0.3">
      <c r="B67" s="123" t="s">
        <v>53</v>
      </c>
      <c r="C67" s="161" t="s">
        <v>12</v>
      </c>
      <c r="D67" s="162">
        <v>12</v>
      </c>
      <c r="E67" s="67"/>
      <c r="G67" s="67"/>
    </row>
    <row r="68" spans="2:7" ht="15" x14ac:dyDescent="0.3">
      <c r="B68" s="123" t="s">
        <v>28</v>
      </c>
      <c r="C68" s="161" t="s">
        <v>12</v>
      </c>
      <c r="D68" s="162">
        <v>7</v>
      </c>
      <c r="E68" s="67"/>
      <c r="G68" s="67"/>
    </row>
    <row r="69" spans="2:7" ht="15" x14ac:dyDescent="0.3">
      <c r="B69" s="123" t="s">
        <v>60</v>
      </c>
      <c r="C69" s="161" t="s">
        <v>12</v>
      </c>
      <c r="D69" s="162">
        <v>7</v>
      </c>
      <c r="E69" s="67"/>
      <c r="G69" s="67"/>
    </row>
    <row r="70" spans="2:7" ht="15" x14ac:dyDescent="0.3">
      <c r="B70" s="123" t="s">
        <v>80</v>
      </c>
      <c r="C70" s="161" t="s">
        <v>12</v>
      </c>
      <c r="D70" s="162">
        <v>7</v>
      </c>
      <c r="E70" s="67"/>
      <c r="G70" s="67"/>
    </row>
    <row r="71" spans="2:7" ht="15" x14ac:dyDescent="0.3">
      <c r="B71" s="123" t="s">
        <v>81</v>
      </c>
      <c r="C71" s="161" t="s">
        <v>12</v>
      </c>
      <c r="D71" s="162">
        <v>7</v>
      </c>
      <c r="E71" s="67"/>
      <c r="G71" s="67"/>
    </row>
    <row r="72" spans="2:7" ht="15" x14ac:dyDescent="0.3">
      <c r="B72" s="123" t="s">
        <v>61</v>
      </c>
      <c r="C72" s="161" t="s">
        <v>12</v>
      </c>
      <c r="D72" s="162">
        <v>3</v>
      </c>
      <c r="E72" s="67"/>
      <c r="G72" s="67"/>
    </row>
    <row r="73" spans="2:7" ht="15" x14ac:dyDescent="0.3">
      <c r="B73" s="123" t="s">
        <v>77</v>
      </c>
      <c r="C73" s="161" t="s">
        <v>12</v>
      </c>
      <c r="D73" s="162">
        <v>50</v>
      </c>
      <c r="E73" s="67"/>
      <c r="G73" s="67"/>
    </row>
    <row r="74" spans="2:7" ht="30" x14ac:dyDescent="0.3">
      <c r="B74" s="123" t="s">
        <v>31</v>
      </c>
      <c r="C74" s="161" t="s">
        <v>5</v>
      </c>
      <c r="D74" s="162">
        <v>5850</v>
      </c>
      <c r="E74" s="67"/>
      <c r="G74" s="67"/>
    </row>
    <row r="75" spans="2:7" ht="30" x14ac:dyDescent="0.3">
      <c r="B75" s="123" t="s">
        <v>89</v>
      </c>
      <c r="C75" s="161" t="s">
        <v>3</v>
      </c>
      <c r="D75" s="162">
        <v>350</v>
      </c>
      <c r="E75" s="67"/>
      <c r="G75" s="67"/>
    </row>
    <row r="76" spans="2:7" ht="30" x14ac:dyDescent="0.3">
      <c r="B76" s="123" t="s">
        <v>33</v>
      </c>
      <c r="C76" s="161" t="s">
        <v>112</v>
      </c>
      <c r="D76" s="162">
        <v>3000</v>
      </c>
      <c r="E76" s="67"/>
      <c r="G76" s="67"/>
    </row>
    <row r="77" spans="2:7" x14ac:dyDescent="0.3">
      <c r="B77" s="32"/>
      <c r="C77" s="163"/>
      <c r="D77" s="164"/>
      <c r="E77" s="67"/>
      <c r="G77" s="67"/>
    </row>
    <row r="78" spans="2:7" x14ac:dyDescent="0.3">
      <c r="B78" s="32"/>
      <c r="C78" s="163"/>
      <c r="D78" s="164"/>
      <c r="E78" s="67"/>
      <c r="G78" s="67"/>
    </row>
    <row r="79" spans="2:7" x14ac:dyDescent="0.3">
      <c r="B79" s="32"/>
      <c r="C79" s="163"/>
      <c r="D79" s="164"/>
      <c r="E79" s="67"/>
      <c r="G79" s="67"/>
    </row>
    <row r="80" spans="2:7" x14ac:dyDescent="0.3">
      <c r="D80" s="37"/>
      <c r="E80" s="67"/>
      <c r="G80" s="67"/>
    </row>
    <row r="81" spans="4:7" x14ac:dyDescent="0.3">
      <c r="D81" s="37"/>
      <c r="E81" s="67"/>
      <c r="G81" s="67"/>
    </row>
    <row r="82" spans="4:7" x14ac:dyDescent="0.3">
      <c r="D82" s="37"/>
      <c r="E82" s="67"/>
      <c r="G82" s="67"/>
    </row>
    <row r="83" spans="4:7" x14ac:dyDescent="0.3">
      <c r="D83" s="37"/>
      <c r="E83" s="67"/>
      <c r="G83" s="67"/>
    </row>
  </sheetData>
  <mergeCells count="24">
    <mergeCell ref="A4:A17"/>
    <mergeCell ref="A3:B3"/>
    <mergeCell ref="B25:C25"/>
    <mergeCell ref="B26:C26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6:C46"/>
    <mergeCell ref="B48:C48"/>
    <mergeCell ref="B49:C49"/>
    <mergeCell ref="B50:C50"/>
    <mergeCell ref="B40:C40"/>
    <mergeCell ref="B41:C41"/>
    <mergeCell ref="B42:C42"/>
    <mergeCell ref="B43:C43"/>
    <mergeCell ref="B45:C45"/>
  </mergeCells>
  <phoneticPr fontId="1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B2:G57"/>
  <sheetViews>
    <sheetView topLeftCell="A10" zoomScale="120" zoomScaleNormal="120" workbookViewId="0">
      <selection activeCell="C58" sqref="C58"/>
    </sheetView>
  </sheetViews>
  <sheetFormatPr defaultRowHeight="14.4" x14ac:dyDescent="0.3"/>
  <cols>
    <col min="2" max="2" width="54.21875" customWidth="1"/>
    <col min="3" max="3" width="9.88671875" bestFit="1" customWidth="1"/>
    <col min="4" max="4" width="9.6640625" style="37" customWidth="1"/>
    <col min="5" max="5" width="11.109375" style="67" bestFit="1" customWidth="1"/>
    <col min="6" max="6" width="8.109375" bestFit="1" customWidth="1"/>
    <col min="7" max="7" width="8.88671875" style="67"/>
  </cols>
  <sheetData>
    <row r="2" spans="2:7" x14ac:dyDescent="0.3">
      <c r="D2" s="66" t="s">
        <v>67</v>
      </c>
      <c r="E2" s="67" t="s">
        <v>68</v>
      </c>
      <c r="F2" s="67" t="s">
        <v>71</v>
      </c>
    </row>
    <row r="3" spans="2:7" x14ac:dyDescent="0.3">
      <c r="B3" s="208" t="s">
        <v>115</v>
      </c>
      <c r="C3" s="208"/>
      <c r="D3" s="66" t="s">
        <v>5</v>
      </c>
      <c r="E3" s="71">
        <f>данные!E25</f>
        <v>1900</v>
      </c>
      <c r="F3" s="67"/>
    </row>
    <row r="4" spans="2:7" x14ac:dyDescent="0.3">
      <c r="B4" s="200" t="s">
        <v>7</v>
      </c>
      <c r="C4" s="209"/>
      <c r="D4" s="37" t="s">
        <v>5</v>
      </c>
      <c r="E4" s="71">
        <f>данные!E26</f>
        <v>1300</v>
      </c>
    </row>
    <row r="5" spans="2:7" ht="28.8" x14ac:dyDescent="0.3">
      <c r="B5" s="64" t="s">
        <v>65</v>
      </c>
      <c r="C5" s="63">
        <v>1500</v>
      </c>
      <c r="D5" s="67" t="s">
        <v>3</v>
      </c>
      <c r="E5" s="71">
        <f>данные!E27</f>
        <v>65</v>
      </c>
    </row>
    <row r="6" spans="2:7" ht="28.8" x14ac:dyDescent="0.3">
      <c r="B6" s="64" t="s">
        <v>65</v>
      </c>
      <c r="C6" s="65">
        <v>2000</v>
      </c>
      <c r="D6" s="67" t="s">
        <v>3</v>
      </c>
      <c r="E6" s="71">
        <f>данные!E28</f>
        <v>65</v>
      </c>
    </row>
    <row r="7" spans="2:7" x14ac:dyDescent="0.3">
      <c r="B7" s="202" t="s">
        <v>10</v>
      </c>
      <c r="C7" s="210"/>
      <c r="D7" s="37" t="s">
        <v>5</v>
      </c>
      <c r="E7" s="71">
        <f>данные!E29</f>
        <v>3150</v>
      </c>
    </row>
    <row r="8" spans="2:7" x14ac:dyDescent="0.3">
      <c r="B8" s="192" t="s">
        <v>18</v>
      </c>
      <c r="C8" s="205"/>
      <c r="D8" s="37" t="s">
        <v>5</v>
      </c>
      <c r="E8" s="71">
        <f>данные!E30</f>
        <v>16500</v>
      </c>
      <c r="G8" s="71">
        <f>E8/33</f>
        <v>500</v>
      </c>
    </row>
    <row r="9" spans="2:7" x14ac:dyDescent="0.3">
      <c r="B9" s="192" t="s">
        <v>83</v>
      </c>
      <c r="C9" s="205"/>
      <c r="D9" s="37" t="s">
        <v>12</v>
      </c>
      <c r="E9" s="71">
        <f>данные!E31</f>
        <v>240</v>
      </c>
    </row>
    <row r="10" spans="2:7" x14ac:dyDescent="0.3">
      <c r="B10" s="192" t="s">
        <v>82</v>
      </c>
      <c r="C10" s="205"/>
      <c r="D10" s="37" t="s">
        <v>20</v>
      </c>
      <c r="E10" s="71">
        <f>данные!E32</f>
        <v>360</v>
      </c>
    </row>
    <row r="11" spans="2:7" x14ac:dyDescent="0.3">
      <c r="B11" s="192" t="s">
        <v>84</v>
      </c>
      <c r="C11" s="205"/>
      <c r="D11" s="37" t="s">
        <v>20</v>
      </c>
      <c r="E11" s="71">
        <f>данные!E33</f>
        <v>360</v>
      </c>
    </row>
    <row r="12" spans="2:7" x14ac:dyDescent="0.3">
      <c r="B12" s="192" t="s">
        <v>85</v>
      </c>
      <c r="C12" s="205"/>
      <c r="D12" s="37" t="s">
        <v>11</v>
      </c>
      <c r="E12" s="71">
        <f>данные!E34</f>
        <v>60</v>
      </c>
    </row>
    <row r="13" spans="2:7" x14ac:dyDescent="0.3">
      <c r="B13" s="188" t="s">
        <v>19</v>
      </c>
      <c r="C13" s="211"/>
      <c r="D13" s="37" t="s">
        <v>20</v>
      </c>
      <c r="E13" s="71">
        <f>данные!E35</f>
        <v>160</v>
      </c>
    </row>
    <row r="14" spans="2:7" x14ac:dyDescent="0.3">
      <c r="B14" s="190" t="s">
        <v>21</v>
      </c>
      <c r="C14" s="205"/>
      <c r="D14" s="37" t="s">
        <v>20</v>
      </c>
      <c r="E14" s="71">
        <f>данные!E36</f>
        <v>390</v>
      </c>
    </row>
    <row r="15" spans="2:7" x14ac:dyDescent="0.3">
      <c r="B15" s="192" t="s">
        <v>22</v>
      </c>
      <c r="C15" s="205"/>
      <c r="D15" s="37" t="s">
        <v>3</v>
      </c>
      <c r="E15" s="71">
        <f>данные!E37</f>
        <v>100</v>
      </c>
    </row>
    <row r="16" spans="2:7" x14ac:dyDescent="0.3">
      <c r="B16" s="193" t="s">
        <v>25</v>
      </c>
      <c r="C16" s="206"/>
      <c r="D16" s="37" t="s">
        <v>24</v>
      </c>
      <c r="E16" s="88">
        <f>1000/0.889*G16</f>
        <v>62992.125984251972</v>
      </c>
      <c r="G16" s="71">
        <v>56</v>
      </c>
    </row>
    <row r="17" spans="2:7" x14ac:dyDescent="0.3">
      <c r="B17" s="194" t="s">
        <v>26</v>
      </c>
      <c r="C17" s="206"/>
      <c r="D17" s="37" t="s">
        <v>24</v>
      </c>
      <c r="E17" s="88">
        <f>1000/0.395*G17</f>
        <v>70886.075949367078</v>
      </c>
      <c r="G17" s="71">
        <v>28</v>
      </c>
    </row>
    <row r="18" spans="2:7" x14ac:dyDescent="0.3">
      <c r="B18" s="185" t="s">
        <v>29</v>
      </c>
      <c r="C18" s="207"/>
      <c r="D18" s="37" t="s">
        <v>24</v>
      </c>
      <c r="E18" s="69">
        <f>G18*1000</f>
        <v>130000</v>
      </c>
      <c r="G18" s="71">
        <v>130</v>
      </c>
    </row>
    <row r="19" spans="2:7" x14ac:dyDescent="0.3">
      <c r="B19" s="182" t="s">
        <v>32</v>
      </c>
      <c r="C19" s="204"/>
      <c r="D19" s="37" t="s">
        <v>5</v>
      </c>
      <c r="E19" s="71">
        <f>данные!E41</f>
        <v>7200</v>
      </c>
    </row>
    <row r="20" spans="2:7" x14ac:dyDescent="0.3">
      <c r="B20" s="182" t="s">
        <v>56</v>
      </c>
      <c r="C20" s="204"/>
      <c r="D20" s="37" t="s">
        <v>12</v>
      </c>
      <c r="E20" s="71">
        <f>данные!E42</f>
        <v>11</v>
      </c>
    </row>
    <row r="21" spans="2:7" x14ac:dyDescent="0.3">
      <c r="B21" s="187" t="s">
        <v>79</v>
      </c>
      <c r="C21" s="187"/>
      <c r="D21" s="37" t="s">
        <v>12</v>
      </c>
      <c r="E21" s="71">
        <f>данные!E43</f>
        <v>1200</v>
      </c>
    </row>
    <row r="22" spans="2:7" x14ac:dyDescent="0.3">
      <c r="B22" s="87" t="s">
        <v>90</v>
      </c>
      <c r="C22" s="76"/>
      <c r="D22" s="37" t="s">
        <v>9</v>
      </c>
      <c r="E22" s="71">
        <f>данные!E44</f>
        <v>980</v>
      </c>
    </row>
    <row r="23" spans="2:7" x14ac:dyDescent="0.3">
      <c r="B23" s="187" t="s">
        <v>92</v>
      </c>
      <c r="C23" s="187"/>
      <c r="D23" s="37" t="s">
        <v>91</v>
      </c>
      <c r="E23" s="71">
        <f>данные!E45</f>
        <v>3968</v>
      </c>
    </row>
    <row r="24" spans="2:7" x14ac:dyDescent="0.3">
      <c r="B24" s="182" t="s">
        <v>57</v>
      </c>
      <c r="C24" s="204"/>
      <c r="D24" s="37" t="s">
        <v>13</v>
      </c>
      <c r="E24" s="69" t="e">
        <f>E26*F26+E27*F27+E28*F28</f>
        <v>#REF!</v>
      </c>
    </row>
    <row r="25" spans="2:7" x14ac:dyDescent="0.3">
      <c r="E25" s="71"/>
    </row>
    <row r="26" spans="2:7" x14ac:dyDescent="0.3">
      <c r="B26" s="184" t="s">
        <v>66</v>
      </c>
      <c r="C26" s="184"/>
      <c r="D26" s="37" t="s">
        <v>12</v>
      </c>
      <c r="E26" s="71">
        <f>данные!E48</f>
        <v>45</v>
      </c>
      <c r="F26" s="68" t="e">
        <f>CEILING((#REF!+#REF!+#REF!+#REF!+#REF!)/20+(#REF!+#REF!)/30,1)</f>
        <v>#REF!</v>
      </c>
    </row>
    <row r="27" spans="2:7" x14ac:dyDescent="0.3">
      <c r="B27" s="184" t="s">
        <v>69</v>
      </c>
      <c r="C27" s="184"/>
      <c r="D27" s="37" t="s">
        <v>70</v>
      </c>
      <c r="E27" s="71">
        <f>данные!E49</f>
        <v>55</v>
      </c>
      <c r="F27" s="69" t="e">
        <f>ROUNDUP(#REF!*8/1000,0)</f>
        <v>#REF!</v>
      </c>
    </row>
    <row r="28" spans="2:7" x14ac:dyDescent="0.3">
      <c r="B28" s="184" t="s">
        <v>73</v>
      </c>
      <c r="C28" s="184"/>
      <c r="D28" s="37" t="s">
        <v>72</v>
      </c>
      <c r="E28" s="71">
        <f>данные!E50</f>
        <v>170</v>
      </c>
      <c r="F28" s="68">
        <f>ROUNDUP((данные!D4+данные!D6)*2.2/150,0)</f>
        <v>2</v>
      </c>
    </row>
    <row r="30" spans="2:7" x14ac:dyDescent="0.3">
      <c r="B30" s="29" t="s">
        <v>34</v>
      </c>
      <c r="C30" s="73">
        <f>данные!C52</f>
        <v>3500</v>
      </c>
      <c r="D30" s="27" t="s">
        <v>35</v>
      </c>
      <c r="E30" s="72">
        <f>данные!E52</f>
        <v>120</v>
      </c>
    </row>
    <row r="31" spans="2:7" x14ac:dyDescent="0.3">
      <c r="B31" s="29" t="s">
        <v>62</v>
      </c>
      <c r="C31" s="73">
        <f>данные!C53</f>
        <v>8000</v>
      </c>
      <c r="D31" s="27" t="s">
        <v>35</v>
      </c>
      <c r="E31" s="72">
        <f>данные!E53</f>
        <v>120</v>
      </c>
    </row>
    <row r="32" spans="2:7" x14ac:dyDescent="0.3">
      <c r="B32" s="29" t="s">
        <v>63</v>
      </c>
      <c r="C32" s="73">
        <f>данные!C54</f>
        <v>18500</v>
      </c>
      <c r="D32" s="27" t="s">
        <v>35</v>
      </c>
      <c r="E32" s="30"/>
    </row>
    <row r="33" spans="2:5" x14ac:dyDescent="0.3">
      <c r="B33" s="32" t="s">
        <v>36</v>
      </c>
      <c r="C33" s="74">
        <f>данные!C55</f>
        <v>23500</v>
      </c>
      <c r="D33" s="33" t="s">
        <v>35</v>
      </c>
      <c r="E33" s="33"/>
    </row>
    <row r="36" spans="2:5" x14ac:dyDescent="0.3">
      <c r="B36" s="121" t="s">
        <v>106</v>
      </c>
      <c r="C36" s="122" t="s">
        <v>67</v>
      </c>
      <c r="D36" s="122" t="s">
        <v>107</v>
      </c>
    </row>
    <row r="37" spans="2:5" ht="15" x14ac:dyDescent="0.3">
      <c r="B37" s="123" t="s">
        <v>2</v>
      </c>
      <c r="C37" s="122" t="s">
        <v>3</v>
      </c>
      <c r="D37" s="159">
        <f>данные!D59</f>
        <v>50</v>
      </c>
    </row>
    <row r="38" spans="2:5" ht="15" x14ac:dyDescent="0.3">
      <c r="B38" s="123" t="s">
        <v>108</v>
      </c>
      <c r="C38" s="122" t="s">
        <v>5</v>
      </c>
      <c r="D38" s="159">
        <f>данные!D60</f>
        <v>1250</v>
      </c>
    </row>
    <row r="39" spans="2:5" ht="15" x14ac:dyDescent="0.3">
      <c r="B39" s="123" t="s">
        <v>6</v>
      </c>
      <c r="C39" s="122" t="s">
        <v>3</v>
      </c>
      <c r="D39" s="159">
        <f>данные!D61</f>
        <v>300</v>
      </c>
    </row>
    <row r="40" spans="2:5" ht="15" x14ac:dyDescent="0.3">
      <c r="B40" s="123" t="s">
        <v>109</v>
      </c>
      <c r="C40" s="122" t="s">
        <v>5</v>
      </c>
      <c r="D40" s="159">
        <f>данные!D62</f>
        <v>800</v>
      </c>
    </row>
    <row r="41" spans="2:5" ht="15" x14ac:dyDescent="0.3">
      <c r="B41" s="123" t="s">
        <v>110</v>
      </c>
      <c r="C41" s="122" t="s">
        <v>3</v>
      </c>
      <c r="D41" s="159">
        <f>данные!D63</f>
        <v>50</v>
      </c>
    </row>
    <row r="42" spans="2:5" ht="15" x14ac:dyDescent="0.3">
      <c r="B42" s="123" t="s">
        <v>111</v>
      </c>
      <c r="C42" s="122" t="s">
        <v>5</v>
      </c>
      <c r="D42" s="159">
        <f>данные!D64</f>
        <v>800</v>
      </c>
    </row>
    <row r="43" spans="2:5" ht="15" x14ac:dyDescent="0.3">
      <c r="B43" s="123" t="s">
        <v>58</v>
      </c>
      <c r="C43" s="122" t="s">
        <v>3</v>
      </c>
      <c r="D43" s="159">
        <f>данные!D65</f>
        <v>240</v>
      </c>
    </row>
    <row r="44" spans="2:5" ht="15" x14ac:dyDescent="0.3">
      <c r="B44" s="123" t="s">
        <v>54</v>
      </c>
      <c r="C44" s="122" t="s">
        <v>24</v>
      </c>
      <c r="D44" s="159">
        <f>данные!D66</f>
        <v>17500</v>
      </c>
    </row>
    <row r="45" spans="2:5" ht="15" x14ac:dyDescent="0.3">
      <c r="B45" s="123" t="s">
        <v>53</v>
      </c>
      <c r="C45" s="122" t="s">
        <v>12</v>
      </c>
      <c r="D45" s="159">
        <f>данные!D67</f>
        <v>12</v>
      </c>
    </row>
    <row r="46" spans="2:5" ht="15" x14ac:dyDescent="0.3">
      <c r="B46" s="123" t="s">
        <v>28</v>
      </c>
      <c r="C46" s="122" t="s">
        <v>12</v>
      </c>
      <c r="D46" s="159">
        <f>данные!D68</f>
        <v>7</v>
      </c>
    </row>
    <row r="47" spans="2:5" ht="15" x14ac:dyDescent="0.3">
      <c r="B47" s="123" t="s">
        <v>60</v>
      </c>
      <c r="C47" s="122" t="s">
        <v>12</v>
      </c>
      <c r="D47" s="159">
        <f>данные!D69</f>
        <v>7</v>
      </c>
    </row>
    <row r="48" spans="2:5" ht="15" x14ac:dyDescent="0.3">
      <c r="B48" s="123" t="s">
        <v>80</v>
      </c>
      <c r="C48" s="122" t="s">
        <v>12</v>
      </c>
      <c r="D48" s="159">
        <f>данные!D70</f>
        <v>7</v>
      </c>
    </row>
    <row r="49" spans="2:4" ht="15" x14ac:dyDescent="0.3">
      <c r="B49" s="123" t="s">
        <v>81</v>
      </c>
      <c r="C49" s="122" t="s">
        <v>12</v>
      </c>
      <c r="D49" s="159">
        <f>данные!D71</f>
        <v>7</v>
      </c>
    </row>
    <row r="50" spans="2:4" ht="15" x14ac:dyDescent="0.3">
      <c r="B50" s="123" t="s">
        <v>61</v>
      </c>
      <c r="C50" s="122" t="s">
        <v>12</v>
      </c>
      <c r="D50" s="159">
        <f>данные!D72</f>
        <v>3</v>
      </c>
    </row>
    <row r="51" spans="2:4" ht="15" x14ac:dyDescent="0.3">
      <c r="B51" s="123" t="s">
        <v>77</v>
      </c>
      <c r="C51" s="122" t="s">
        <v>12</v>
      </c>
      <c r="D51" s="159">
        <f>данные!D73</f>
        <v>50</v>
      </c>
    </row>
    <row r="52" spans="2:4" ht="15" x14ac:dyDescent="0.3">
      <c r="B52" s="123" t="s">
        <v>31</v>
      </c>
      <c r="C52" s="122" t="s">
        <v>5</v>
      </c>
      <c r="D52" s="159">
        <f>данные!D74</f>
        <v>5850</v>
      </c>
    </row>
    <row r="53" spans="2:4" ht="15" x14ac:dyDescent="0.3">
      <c r="B53" s="123" t="s">
        <v>89</v>
      </c>
      <c r="C53" s="122" t="s">
        <v>3</v>
      </c>
      <c r="D53" s="159">
        <f>данные!D75</f>
        <v>350</v>
      </c>
    </row>
    <row r="54" spans="2:4" ht="15" x14ac:dyDescent="0.3">
      <c r="B54" s="123" t="s">
        <v>33</v>
      </c>
      <c r="C54" s="122" t="s">
        <v>112</v>
      </c>
      <c r="D54" s="159">
        <f>данные!D76</f>
        <v>3000</v>
      </c>
    </row>
    <row r="55" spans="2:4" x14ac:dyDescent="0.3">
      <c r="B55" s="32"/>
      <c r="D55" s="160"/>
    </row>
    <row r="56" spans="2:4" x14ac:dyDescent="0.3">
      <c r="B56" s="32"/>
    </row>
    <row r="57" spans="2:4" x14ac:dyDescent="0.3">
      <c r="B57" s="32"/>
    </row>
  </sheetData>
  <mergeCells count="22">
    <mergeCell ref="B3:C3"/>
    <mergeCell ref="B4:C4"/>
    <mergeCell ref="B7:C7"/>
    <mergeCell ref="B8:C8"/>
    <mergeCell ref="B13:C13"/>
    <mergeCell ref="B14:C14"/>
    <mergeCell ref="B9:C9"/>
    <mergeCell ref="B10:C10"/>
    <mergeCell ref="B11:C11"/>
    <mergeCell ref="B12:C12"/>
    <mergeCell ref="B24:C24"/>
    <mergeCell ref="B26:C26"/>
    <mergeCell ref="B27:C27"/>
    <mergeCell ref="B28:C28"/>
    <mergeCell ref="B15:C15"/>
    <mergeCell ref="B16:C16"/>
    <mergeCell ref="B17:C17"/>
    <mergeCell ref="B18:C18"/>
    <mergeCell ref="B19:C19"/>
    <mergeCell ref="B20:C20"/>
    <mergeCell ref="B21:C21"/>
    <mergeCell ref="B23:C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64"/>
  <sheetViews>
    <sheetView tabSelected="1" zoomScaleNormal="100" workbookViewId="0">
      <selection activeCell="N6" sqref="N6"/>
    </sheetView>
  </sheetViews>
  <sheetFormatPr defaultRowHeight="14.4" x14ac:dyDescent="0.3"/>
  <cols>
    <col min="1" max="1" width="4.88671875" style="143" bestFit="1" customWidth="1"/>
    <col min="2" max="2" width="43.88671875" style="143" customWidth="1"/>
    <col min="3" max="3" width="7.33203125" style="156" customWidth="1"/>
    <col min="4" max="4" width="6.44140625" style="143" bestFit="1" customWidth="1"/>
    <col min="5" max="5" width="9.21875" style="113" bestFit="1" customWidth="1"/>
    <col min="6" max="6" width="10.44140625" style="157" bestFit="1" customWidth="1"/>
    <col min="7" max="7" width="11.6640625" style="143" customWidth="1"/>
    <col min="8" max="8" width="34.5546875" style="143" customWidth="1"/>
    <col min="9" max="9" width="6.6640625" style="143" bestFit="1" customWidth="1"/>
    <col min="10" max="10" width="7" style="143" customWidth="1"/>
    <col min="11" max="11" width="8.33203125" style="157" bestFit="1" customWidth="1"/>
    <col min="12" max="12" width="12.33203125" style="113" customWidth="1"/>
    <col min="13" max="13" width="12.33203125" style="143" customWidth="1"/>
    <col min="14" max="16384" width="8.88671875" style="143"/>
  </cols>
  <sheetData>
    <row r="1" spans="1:15" x14ac:dyDescent="0.3">
      <c r="A1" s="170"/>
      <c r="B1" s="170"/>
      <c r="D1" s="170"/>
      <c r="E1" s="171"/>
      <c r="F1" s="172"/>
      <c r="G1" s="170"/>
      <c r="H1" s="170"/>
      <c r="I1" s="170"/>
      <c r="J1" s="170"/>
      <c r="K1" s="172"/>
      <c r="L1" s="171"/>
      <c r="M1" s="170"/>
    </row>
    <row r="2" spans="1:15" x14ac:dyDescent="0.3">
      <c r="A2" s="170"/>
      <c r="B2" s="170"/>
      <c r="D2" s="170"/>
      <c r="E2" s="171"/>
      <c r="F2" s="172"/>
      <c r="G2" s="170"/>
      <c r="H2" s="170"/>
      <c r="I2" s="170"/>
      <c r="J2" s="170"/>
      <c r="K2" s="172"/>
      <c r="L2" s="171"/>
      <c r="M2" s="170"/>
    </row>
    <row r="3" spans="1:15" x14ac:dyDescent="0.3">
      <c r="A3" s="170"/>
      <c r="B3" s="170"/>
      <c r="D3" s="170"/>
      <c r="E3" s="171"/>
      <c r="F3" s="172"/>
      <c r="G3" s="170"/>
      <c r="H3" s="170"/>
      <c r="I3" s="170"/>
      <c r="J3" s="170"/>
      <c r="K3" s="172"/>
      <c r="L3" s="171"/>
      <c r="M3" s="170"/>
    </row>
    <row r="4" spans="1:15" s="115" customFormat="1" ht="15.6" x14ac:dyDescent="0.25">
      <c r="A4" s="218" t="s">
        <v>105</v>
      </c>
      <c r="B4" s="218"/>
      <c r="C4" s="218"/>
      <c r="D4" s="218"/>
      <c r="E4" s="218"/>
      <c r="F4" s="218"/>
      <c r="G4" s="218"/>
      <c r="H4" s="218"/>
      <c r="I4" s="218"/>
      <c r="J4" s="218"/>
      <c r="K4" s="218"/>
      <c r="L4" s="218"/>
      <c r="M4" s="218"/>
    </row>
    <row r="5" spans="1:15" s="115" customFormat="1" ht="15.6" x14ac:dyDescent="0.25">
      <c r="A5" s="215" t="s">
        <v>137</v>
      </c>
      <c r="B5" s="215"/>
      <c r="C5" s="215"/>
      <c r="D5" s="215"/>
      <c r="E5" s="215"/>
      <c r="F5" s="215"/>
      <c r="G5" s="215"/>
      <c r="H5" s="215"/>
      <c r="I5" s="215"/>
      <c r="J5" s="215"/>
      <c r="K5" s="215"/>
      <c r="L5" s="215"/>
      <c r="M5" s="215"/>
    </row>
    <row r="6" spans="1:15" s="115" customFormat="1" ht="15.6" x14ac:dyDescent="0.25">
      <c r="B6" s="120"/>
      <c r="C6" s="120"/>
      <c r="D6" s="217" t="e">
        <f>IF(данные!D13=0,#REF!,#REF!)</f>
        <v>#REF!</v>
      </c>
      <c r="E6" s="217"/>
      <c r="F6" s="217"/>
      <c r="G6" s="217"/>
      <c r="H6" s="217"/>
      <c r="I6" s="217"/>
      <c r="J6" s="141">
        <f>IF(данные!D13=0,данные!D8+0.1,данные!D8+0.1+данные!D13)*1000</f>
        <v>600</v>
      </c>
      <c r="K6" s="142">
        <f>данные!D5*1000</f>
        <v>300</v>
      </c>
      <c r="L6" s="132"/>
      <c r="M6" s="131"/>
    </row>
    <row r="7" spans="1:15" s="115" customFormat="1" ht="15.6" x14ac:dyDescent="0.25">
      <c r="A7" s="131"/>
      <c r="B7" s="216"/>
      <c r="C7" s="216"/>
      <c r="D7" s="216"/>
      <c r="E7" s="119"/>
      <c r="F7" s="119"/>
      <c r="G7" s="131"/>
      <c r="H7" s="131"/>
      <c r="I7" s="131"/>
      <c r="J7" s="131"/>
      <c r="K7" s="132"/>
      <c r="L7" s="132"/>
      <c r="M7" s="131"/>
    </row>
    <row r="8" spans="1:15" s="115" customFormat="1" ht="39.6" x14ac:dyDescent="0.25">
      <c r="A8" s="129" t="s">
        <v>97</v>
      </c>
      <c r="B8" s="213" t="s">
        <v>98</v>
      </c>
      <c r="C8" s="213"/>
      <c r="D8" s="129" t="s">
        <v>0</v>
      </c>
      <c r="E8" s="116" t="s">
        <v>99</v>
      </c>
      <c r="F8" s="117" t="s">
        <v>100</v>
      </c>
      <c r="G8" s="117" t="s">
        <v>101</v>
      </c>
      <c r="H8" s="213" t="s">
        <v>102</v>
      </c>
      <c r="I8" s="213"/>
      <c r="J8" s="129" t="s">
        <v>0</v>
      </c>
      <c r="K8" s="116" t="s">
        <v>99</v>
      </c>
      <c r="L8" s="116" t="s">
        <v>103</v>
      </c>
      <c r="M8" s="117" t="s">
        <v>104</v>
      </c>
    </row>
    <row r="9" spans="1:15" s="115" customFormat="1" ht="13.2" x14ac:dyDescent="0.25">
      <c r="A9" s="130">
        <v>1</v>
      </c>
      <c r="B9" s="214">
        <v>2</v>
      </c>
      <c r="C9" s="214"/>
      <c r="D9" s="130">
        <v>3</v>
      </c>
      <c r="E9" s="128">
        <v>4</v>
      </c>
      <c r="F9" s="118">
        <v>5</v>
      </c>
      <c r="G9" s="118">
        <v>6</v>
      </c>
      <c r="H9" s="212">
        <v>7</v>
      </c>
      <c r="I9" s="212"/>
      <c r="J9" s="128">
        <v>8</v>
      </c>
      <c r="K9" s="128">
        <v>9</v>
      </c>
      <c r="L9" s="128">
        <v>10</v>
      </c>
      <c r="M9" s="118">
        <v>11</v>
      </c>
    </row>
    <row r="10" spans="1:15" x14ac:dyDescent="0.3">
      <c r="A10" s="223" t="s">
        <v>1</v>
      </c>
      <c r="B10" s="223"/>
      <c r="C10" s="139"/>
      <c r="D10" s="1"/>
      <c r="E10" s="98"/>
      <c r="F10" s="98"/>
      <c r="G10" s="2"/>
      <c r="H10" s="3"/>
      <c r="I10" s="3"/>
      <c r="J10" s="2"/>
      <c r="K10" s="98"/>
      <c r="L10" s="98"/>
      <c r="M10" s="4"/>
    </row>
    <row r="11" spans="1:15" x14ac:dyDescent="0.3">
      <c r="A11" s="51" t="s">
        <v>17</v>
      </c>
      <c r="B11" s="224" t="s">
        <v>2</v>
      </c>
      <c r="C11" s="224"/>
      <c r="D11" s="43" t="s">
        <v>3</v>
      </c>
      <c r="E11" s="102">
        <f>данные!D16</f>
        <v>101.66</v>
      </c>
      <c r="F11" s="89">
        <f>'Ст-сть Матер-Работ'!D37</f>
        <v>50</v>
      </c>
      <c r="G11" s="6">
        <f t="shared" ref="G11:G16" si="0">E11*F11</f>
        <v>5083</v>
      </c>
      <c r="H11" s="244" t="s">
        <v>4</v>
      </c>
      <c r="I11" s="245"/>
      <c r="J11" s="144" t="s">
        <v>64</v>
      </c>
      <c r="K11" s="102" t="e">
        <f>#REF!</f>
        <v>#REF!</v>
      </c>
      <c r="L11" s="102">
        <f>'Ст-сть Матер-Работ'!E3</f>
        <v>1900</v>
      </c>
      <c r="M11" s="6" t="e">
        <f>K11*L11</f>
        <v>#REF!</v>
      </c>
    </row>
    <row r="12" spans="1:15" ht="27.6" customHeight="1" x14ac:dyDescent="0.3">
      <c r="A12" s="51" t="s">
        <v>23</v>
      </c>
      <c r="B12" s="224" t="s">
        <v>94</v>
      </c>
      <c r="C12" s="224"/>
      <c r="D12" s="43" t="s">
        <v>5</v>
      </c>
      <c r="E12" s="102" t="e">
        <f>#REF!</f>
        <v>#REF!</v>
      </c>
      <c r="F12" s="89">
        <f>'Ст-сть Матер-Работ'!D38</f>
        <v>1250</v>
      </c>
      <c r="G12" s="6" t="e">
        <f t="shared" si="0"/>
        <v>#REF!</v>
      </c>
      <c r="H12" s="246"/>
      <c r="I12" s="247"/>
      <c r="J12" s="144"/>
      <c r="K12" s="102"/>
      <c r="L12" s="102"/>
      <c r="M12" s="6"/>
    </row>
    <row r="13" spans="1:15" x14ac:dyDescent="0.3">
      <c r="A13" s="5" t="s">
        <v>30</v>
      </c>
      <c r="B13" s="260" t="s">
        <v>6</v>
      </c>
      <c r="C13" s="261"/>
      <c r="D13" s="43" t="s">
        <v>3</v>
      </c>
      <c r="E13" s="102" t="e">
        <f>#REF!</f>
        <v>#REF!</v>
      </c>
      <c r="F13" s="89">
        <f>'Ст-сть Матер-Работ'!D39</f>
        <v>300</v>
      </c>
      <c r="G13" s="6" t="e">
        <f t="shared" si="0"/>
        <v>#REF!</v>
      </c>
      <c r="H13" s="248"/>
      <c r="I13" s="249"/>
      <c r="J13" s="144"/>
      <c r="K13" s="102"/>
      <c r="L13" s="102"/>
      <c r="M13" s="6"/>
    </row>
    <row r="14" spans="1:15" ht="27.6" x14ac:dyDescent="0.3">
      <c r="A14" s="52" t="s">
        <v>88</v>
      </c>
      <c r="B14" s="97" t="s">
        <v>96</v>
      </c>
      <c r="C14" s="19">
        <f>данные!D14*1000</f>
        <v>200</v>
      </c>
      <c r="D14" s="44" t="s">
        <v>5</v>
      </c>
      <c r="E14" s="103" t="e">
        <f>#REF!</f>
        <v>#REF!</v>
      </c>
      <c r="F14" s="90">
        <f>'Ст-сть Матер-Работ'!D40</f>
        <v>800</v>
      </c>
      <c r="G14" s="7" t="e">
        <f t="shared" si="0"/>
        <v>#REF!</v>
      </c>
      <c r="H14" s="250" t="s">
        <v>7</v>
      </c>
      <c r="I14" s="251"/>
      <c r="J14" s="145" t="s">
        <v>5</v>
      </c>
      <c r="K14" s="103" t="e">
        <f>E14*1.15</f>
        <v>#REF!</v>
      </c>
      <c r="L14" s="103">
        <f>'Ст-сть Матер-Работ'!E4</f>
        <v>1300</v>
      </c>
      <c r="M14" s="8" t="e">
        <f>K14*L14</f>
        <v>#REF!</v>
      </c>
      <c r="O14" s="70"/>
    </row>
    <row r="15" spans="1:15" ht="27.6" x14ac:dyDescent="0.3">
      <c r="A15" s="53" t="s">
        <v>134</v>
      </c>
      <c r="B15" s="224" t="s">
        <v>93</v>
      </c>
      <c r="C15" s="224"/>
      <c r="D15" s="45" t="s">
        <v>8</v>
      </c>
      <c r="E15" s="104" t="e">
        <f>#REF!</f>
        <v>#REF!</v>
      </c>
      <c r="F15" s="92">
        <f>'Ст-сть Матер-Работ'!D41</f>
        <v>50</v>
      </c>
      <c r="G15" s="9" t="e">
        <f t="shared" si="0"/>
        <v>#REF!</v>
      </c>
      <c r="H15" s="146" t="s">
        <v>65</v>
      </c>
      <c r="I15" s="147" t="e">
        <f>#REF!</f>
        <v>#REF!</v>
      </c>
      <c r="J15" s="148" t="s">
        <v>3</v>
      </c>
      <c r="K15" s="104" t="e">
        <f>#REF!*1.1</f>
        <v>#REF!</v>
      </c>
      <c r="L15" s="104" t="e">
        <f>IF(I15=1500,'Ст-сть Матер-Работ'!E5,'Ст-сть Матер-Работ'!E6)</f>
        <v>#REF!</v>
      </c>
      <c r="M15" s="9" t="e">
        <f>K15*L15</f>
        <v>#REF!</v>
      </c>
    </row>
    <row r="16" spans="1:15" ht="27.6" x14ac:dyDescent="0.3">
      <c r="A16" s="59" t="s">
        <v>135</v>
      </c>
      <c r="B16" s="136" t="s">
        <v>95</v>
      </c>
      <c r="C16" s="19">
        <f>данные!D15*1000</f>
        <v>200</v>
      </c>
      <c r="D16" s="46" t="s">
        <v>5</v>
      </c>
      <c r="E16" s="81" t="e">
        <f>#REF!</f>
        <v>#REF!</v>
      </c>
      <c r="F16" s="82">
        <f>'Ст-сть Матер-Работ'!D42</f>
        <v>800</v>
      </c>
      <c r="G16" s="11" t="e">
        <f t="shared" si="0"/>
        <v>#REF!</v>
      </c>
      <c r="H16" s="225" t="s">
        <v>10</v>
      </c>
      <c r="I16" s="226"/>
      <c r="J16" s="149" t="s">
        <v>5</v>
      </c>
      <c r="K16" s="81" t="e">
        <f>E16*1.15</f>
        <v>#REF!</v>
      </c>
      <c r="L16" s="81">
        <f>'Ст-сть Матер-Работ'!E7</f>
        <v>3150</v>
      </c>
      <c r="M16" s="11" t="e">
        <f>K16*L16</f>
        <v>#REF!</v>
      </c>
    </row>
    <row r="17" spans="1:13" x14ac:dyDescent="0.3">
      <c r="A17" s="2"/>
      <c r="B17" s="12"/>
      <c r="C17" s="2"/>
      <c r="D17" s="2"/>
      <c r="E17" s="256" t="s">
        <v>14</v>
      </c>
      <c r="F17" s="256"/>
      <c r="G17" s="13" t="e">
        <f>SUM(G11:G16)</f>
        <v>#REF!</v>
      </c>
      <c r="H17" s="3"/>
      <c r="I17" s="3"/>
      <c r="J17" s="2"/>
      <c r="K17" s="221" t="s">
        <v>15</v>
      </c>
      <c r="L17" s="221"/>
      <c r="M17" s="42" t="e">
        <f>SUM(M11:M16)</f>
        <v>#REF!</v>
      </c>
    </row>
    <row r="18" spans="1:13" x14ac:dyDescent="0.3">
      <c r="A18" s="222" t="s">
        <v>16</v>
      </c>
      <c r="B18" s="222"/>
      <c r="C18" s="222"/>
      <c r="D18" s="222"/>
      <c r="E18" s="222"/>
      <c r="F18" s="98"/>
      <c r="G18" s="2"/>
      <c r="H18" s="3"/>
      <c r="I18" s="3"/>
      <c r="J18" s="2"/>
      <c r="K18" s="98"/>
      <c r="L18" s="98"/>
      <c r="M18" s="2"/>
    </row>
    <row r="19" spans="1:13" x14ac:dyDescent="0.3">
      <c r="A19" s="15" t="s">
        <v>17</v>
      </c>
      <c r="B19" s="225" t="s">
        <v>58</v>
      </c>
      <c r="C19" s="226"/>
      <c r="D19" s="47" t="s">
        <v>3</v>
      </c>
      <c r="E19" s="84" t="e">
        <f>#REF!</f>
        <v>#REF!</v>
      </c>
      <c r="F19" s="84">
        <f>'Ст-сть Матер-Работ'!D43</f>
        <v>240</v>
      </c>
      <c r="G19" s="11" t="e">
        <f>E19*F19</f>
        <v>#REF!</v>
      </c>
      <c r="H19" s="192" t="s">
        <v>75</v>
      </c>
      <c r="I19" s="205"/>
      <c r="J19" s="15" t="s">
        <v>5</v>
      </c>
      <c r="K19" s="84" t="e">
        <f>#REF!</f>
        <v>#REF!</v>
      </c>
      <c r="L19" s="84">
        <f>'Ст-сть Матер-Работ'!E8</f>
        <v>16500</v>
      </c>
      <c r="M19" s="11" t="e">
        <f t="shared" ref="M19:M43" si="1">K19*L19</f>
        <v>#REF!</v>
      </c>
    </row>
    <row r="20" spans="1:13" x14ac:dyDescent="0.3">
      <c r="A20" s="15"/>
      <c r="B20" s="133"/>
      <c r="C20" s="134"/>
      <c r="D20" s="47"/>
      <c r="E20" s="84"/>
      <c r="F20" s="84"/>
      <c r="G20" s="83"/>
      <c r="H20" s="192" t="s">
        <v>83</v>
      </c>
      <c r="I20" s="205"/>
      <c r="J20" s="15" t="s">
        <v>12</v>
      </c>
      <c r="K20" s="84" t="e">
        <f>#REF!+#REF!</f>
        <v>#REF!</v>
      </c>
      <c r="L20" s="84">
        <f>'Ст-сть Матер-Работ'!E9</f>
        <v>240</v>
      </c>
      <c r="M20" s="11" t="e">
        <f t="shared" si="1"/>
        <v>#REF!</v>
      </c>
    </row>
    <row r="21" spans="1:13" x14ac:dyDescent="0.3">
      <c r="A21" s="15"/>
      <c r="B21" s="133"/>
      <c r="C21" s="134"/>
      <c r="D21" s="47"/>
      <c r="E21" s="84"/>
      <c r="F21" s="84"/>
      <c r="G21" s="83"/>
      <c r="H21" s="192" t="s">
        <v>82</v>
      </c>
      <c r="I21" s="205"/>
      <c r="J21" s="15" t="s">
        <v>20</v>
      </c>
      <c r="K21" s="84" t="e">
        <f>(#REF!+#REF!)/48</f>
        <v>#REF!</v>
      </c>
      <c r="L21" s="84">
        <f>'Ст-сть Матер-Работ'!E10</f>
        <v>360</v>
      </c>
      <c r="M21" s="11" t="e">
        <f t="shared" si="1"/>
        <v>#REF!</v>
      </c>
    </row>
    <row r="22" spans="1:13" x14ac:dyDescent="0.3">
      <c r="A22" s="15"/>
      <c r="B22" s="133"/>
      <c r="C22" s="134"/>
      <c r="D22" s="47"/>
      <c r="E22" s="84"/>
      <c r="F22" s="84"/>
      <c r="G22" s="83"/>
      <c r="H22" s="192" t="s">
        <v>84</v>
      </c>
      <c r="I22" s="205"/>
      <c r="J22" s="15" t="s">
        <v>20</v>
      </c>
      <c r="K22" s="84" t="e">
        <f>(#REF!+#REF!)/62</f>
        <v>#REF!</v>
      </c>
      <c r="L22" s="84">
        <f>'Ст-сть Матер-Работ'!E11</f>
        <v>360</v>
      </c>
      <c r="M22" s="11" t="e">
        <f t="shared" si="1"/>
        <v>#REF!</v>
      </c>
    </row>
    <row r="23" spans="1:13" x14ac:dyDescent="0.3">
      <c r="A23" s="15"/>
      <c r="B23" s="133"/>
      <c r="C23" s="134"/>
      <c r="D23" s="47"/>
      <c r="E23" s="84"/>
      <c r="F23" s="84"/>
      <c r="G23" s="83"/>
      <c r="H23" s="192" t="s">
        <v>85</v>
      </c>
      <c r="I23" s="205"/>
      <c r="J23" s="15" t="s">
        <v>11</v>
      </c>
      <c r="K23" s="84" t="e">
        <f>#REF!</f>
        <v>#REF!</v>
      </c>
      <c r="L23" s="84">
        <f>'Ст-сть Матер-Работ'!E12</f>
        <v>60</v>
      </c>
      <c r="M23" s="11" t="e">
        <f t="shared" si="1"/>
        <v>#REF!</v>
      </c>
    </row>
    <row r="24" spans="1:13" x14ac:dyDescent="0.3">
      <c r="A24" s="14"/>
      <c r="B24" s="225"/>
      <c r="C24" s="226"/>
      <c r="D24" s="47"/>
      <c r="E24" s="84"/>
      <c r="F24" s="84"/>
      <c r="G24" s="83"/>
      <c r="H24" s="252" t="s">
        <v>19</v>
      </c>
      <c r="I24" s="252"/>
      <c r="J24" s="15" t="s">
        <v>20</v>
      </c>
      <c r="K24" s="84" t="e">
        <f>#REF!</f>
        <v>#REF!</v>
      </c>
      <c r="L24" s="84">
        <f>'Ст-сть Матер-Работ'!E13</f>
        <v>160</v>
      </c>
      <c r="M24" s="11" t="e">
        <f t="shared" si="1"/>
        <v>#REF!</v>
      </c>
    </row>
    <row r="25" spans="1:13" x14ac:dyDescent="0.3">
      <c r="A25" s="16"/>
      <c r="B25" s="227"/>
      <c r="C25" s="228"/>
      <c r="D25" s="48"/>
      <c r="E25" s="85"/>
      <c r="F25" s="85"/>
      <c r="G25" s="86"/>
      <c r="H25" s="253" t="s">
        <v>21</v>
      </c>
      <c r="I25" s="254"/>
      <c r="J25" s="77" t="s">
        <v>20</v>
      </c>
      <c r="K25" s="105" t="e">
        <f>#REF!</f>
        <v>#REF!</v>
      </c>
      <c r="L25" s="105">
        <f>'Ст-сть Матер-Работ'!E14</f>
        <v>390</v>
      </c>
      <c r="M25" s="18" t="e">
        <f t="shared" si="1"/>
        <v>#REF!</v>
      </c>
    </row>
    <row r="26" spans="1:13" x14ac:dyDescent="0.3">
      <c r="A26" s="14"/>
      <c r="B26" s="227"/>
      <c r="C26" s="228"/>
      <c r="D26" s="47"/>
      <c r="E26" s="84"/>
      <c r="F26" s="84"/>
      <c r="G26" s="83"/>
      <c r="H26" s="192" t="s">
        <v>22</v>
      </c>
      <c r="I26" s="205"/>
      <c r="J26" s="15" t="s">
        <v>3</v>
      </c>
      <c r="K26" s="84" t="e">
        <f>#REF!</f>
        <v>#REF!</v>
      </c>
      <c r="L26" s="84">
        <f>'Ст-сть Матер-Работ'!E15</f>
        <v>100</v>
      </c>
      <c r="M26" s="11" t="e">
        <f t="shared" si="1"/>
        <v>#REF!</v>
      </c>
    </row>
    <row r="27" spans="1:13" ht="27.6" customHeight="1" x14ac:dyDescent="0.3">
      <c r="A27" s="54" t="s">
        <v>23</v>
      </c>
      <c r="B27" s="229" t="s">
        <v>54</v>
      </c>
      <c r="C27" s="229"/>
      <c r="D27" s="49" t="s">
        <v>24</v>
      </c>
      <c r="E27" s="110" t="e">
        <f>K27+K28+K29+K30+K34+K33</f>
        <v>#REF!</v>
      </c>
      <c r="F27" s="93">
        <f>'Ст-сть Матер-Работ'!D44</f>
        <v>17500</v>
      </c>
      <c r="G27" s="11" t="e">
        <f t="shared" ref="G27:G33" si="2">E27*F27</f>
        <v>#REF!</v>
      </c>
      <c r="H27" s="255" t="s">
        <v>25</v>
      </c>
      <c r="I27" s="220"/>
      <c r="J27" s="150" t="s">
        <v>24</v>
      </c>
      <c r="K27" s="151" t="e">
        <f>#REF!</f>
        <v>#REF!</v>
      </c>
      <c r="L27" s="152">
        <f>'Ст-сть Матер-Работ'!E16</f>
        <v>62992.125984251972</v>
      </c>
      <c r="M27" s="11" t="e">
        <f t="shared" si="1"/>
        <v>#REF!</v>
      </c>
    </row>
    <row r="28" spans="1:13" x14ac:dyDescent="0.3">
      <c r="A28" s="55" t="s">
        <v>52</v>
      </c>
      <c r="B28" s="230" t="s">
        <v>53</v>
      </c>
      <c r="C28" s="231"/>
      <c r="D28" s="50" t="s">
        <v>12</v>
      </c>
      <c r="E28" s="111" t="e">
        <f>#REF!+#REF!</f>
        <v>#REF!</v>
      </c>
      <c r="F28" s="94">
        <f>'Ст-сть Матер-Работ'!D45</f>
        <v>12</v>
      </c>
      <c r="G28" s="18" t="e">
        <f t="shared" si="2"/>
        <v>#REF!</v>
      </c>
      <c r="H28" s="219" t="s">
        <v>26</v>
      </c>
      <c r="I28" s="220"/>
      <c r="J28" s="10" t="s">
        <v>24</v>
      </c>
      <c r="K28" s="153" t="e">
        <f>#REF!+#REF!</f>
        <v>#REF!</v>
      </c>
      <c r="L28" s="82">
        <f>'Ст-сть Матер-Работ'!E17</f>
        <v>70886.075949367078</v>
      </c>
      <c r="M28" s="11" t="e">
        <f t="shared" si="1"/>
        <v>#REF!</v>
      </c>
    </row>
    <row r="29" spans="1:13" x14ac:dyDescent="0.3">
      <c r="A29" s="56" t="s">
        <v>27</v>
      </c>
      <c r="B29" s="262" t="s">
        <v>116</v>
      </c>
      <c r="C29" s="263"/>
      <c r="D29" s="44" t="s">
        <v>12</v>
      </c>
      <c r="E29" s="103" t="e">
        <f>#REF!+#REF!</f>
        <v>#REF!</v>
      </c>
      <c r="F29" s="91">
        <f>'Ст-сть Матер-Работ'!D46</f>
        <v>7</v>
      </c>
      <c r="G29" s="57" t="e">
        <f t="shared" si="2"/>
        <v>#REF!</v>
      </c>
      <c r="H29" s="219" t="s">
        <v>25</v>
      </c>
      <c r="I29" s="220"/>
      <c r="J29" s="150" t="s">
        <v>24</v>
      </c>
      <c r="K29" s="151" t="e">
        <f>#REF!+#REF!</f>
        <v>#REF!</v>
      </c>
      <c r="L29" s="152">
        <f>'Ст-сть Матер-Работ'!E16</f>
        <v>62992.125984251972</v>
      </c>
      <c r="M29" s="11" t="e">
        <f t="shared" si="1"/>
        <v>#REF!</v>
      </c>
    </row>
    <row r="30" spans="1:13" x14ac:dyDescent="0.3">
      <c r="A30" s="17" t="s">
        <v>55</v>
      </c>
      <c r="B30" s="229" t="s">
        <v>117</v>
      </c>
      <c r="C30" s="229"/>
      <c r="D30" s="46" t="s">
        <v>12</v>
      </c>
      <c r="E30" s="81" t="e">
        <f>#REF!</f>
        <v>#REF!</v>
      </c>
      <c r="F30" s="83">
        <f>'Ст-сть Матер-Работ'!D47</f>
        <v>7</v>
      </c>
      <c r="G30" s="11" t="e">
        <f t="shared" si="2"/>
        <v>#REF!</v>
      </c>
      <c r="H30" s="219" t="s">
        <v>25</v>
      </c>
      <c r="I30" s="220"/>
      <c r="J30" s="10" t="s">
        <v>24</v>
      </c>
      <c r="K30" s="153" t="e">
        <f>#REF!</f>
        <v>#REF!</v>
      </c>
      <c r="L30" s="82">
        <f>'Ст-сть Матер-Работ'!E16</f>
        <v>62992.125984251972</v>
      </c>
      <c r="M30" s="11" t="e">
        <f t="shared" si="1"/>
        <v>#REF!</v>
      </c>
    </row>
    <row r="31" spans="1:13" x14ac:dyDescent="0.3">
      <c r="A31" s="17"/>
      <c r="B31" s="230" t="s">
        <v>118</v>
      </c>
      <c r="C31" s="231"/>
      <c r="D31" s="46" t="s">
        <v>12</v>
      </c>
      <c r="E31" s="81" t="e">
        <f>#REF!</f>
        <v>#REF!</v>
      </c>
      <c r="F31" s="83">
        <f>'Ст-сть Матер-Работ'!D48</f>
        <v>7</v>
      </c>
      <c r="G31" s="11" t="e">
        <f t="shared" si="2"/>
        <v>#REF!</v>
      </c>
      <c r="H31" s="219" t="s">
        <v>25</v>
      </c>
      <c r="I31" s="220"/>
      <c r="J31" s="150" t="s">
        <v>24</v>
      </c>
      <c r="K31" s="153" t="e">
        <f>#REF!</f>
        <v>#REF!</v>
      </c>
      <c r="L31" s="82">
        <f>'Ст-сть Матер-Работ'!E16</f>
        <v>62992.125984251972</v>
      </c>
      <c r="M31" s="11" t="e">
        <f t="shared" si="1"/>
        <v>#REF!</v>
      </c>
    </row>
    <row r="32" spans="1:13" x14ac:dyDescent="0.3">
      <c r="A32" s="17"/>
      <c r="B32" s="230" t="s">
        <v>119</v>
      </c>
      <c r="C32" s="231"/>
      <c r="D32" s="46" t="s">
        <v>12</v>
      </c>
      <c r="E32" s="81" t="e">
        <f>#REF!</f>
        <v>#REF!</v>
      </c>
      <c r="F32" s="83">
        <f>'Ст-сть Матер-Работ'!D49</f>
        <v>7</v>
      </c>
      <c r="G32" s="11" t="e">
        <f t="shared" si="2"/>
        <v>#REF!</v>
      </c>
      <c r="H32" s="219" t="s">
        <v>25</v>
      </c>
      <c r="I32" s="220"/>
      <c r="J32" s="10" t="s">
        <v>24</v>
      </c>
      <c r="K32" s="153" t="e">
        <f>#REF!</f>
        <v>#REF!</v>
      </c>
      <c r="L32" s="82">
        <f>'Ст-сть Матер-Работ'!E16</f>
        <v>62992.125984251972</v>
      </c>
      <c r="M32" s="11" t="e">
        <f t="shared" si="1"/>
        <v>#REF!</v>
      </c>
    </row>
    <row r="33" spans="1:13" x14ac:dyDescent="0.3">
      <c r="A33" s="17" t="s">
        <v>59</v>
      </c>
      <c r="B33" s="232" t="s">
        <v>120</v>
      </c>
      <c r="C33" s="233"/>
      <c r="D33" s="10" t="s">
        <v>12</v>
      </c>
      <c r="E33" s="81" t="e">
        <f>#REF!</f>
        <v>#REF!</v>
      </c>
      <c r="F33" s="83">
        <f>'Ст-сть Матер-Работ'!D50</f>
        <v>3</v>
      </c>
      <c r="G33" s="11" t="e">
        <f t="shared" si="2"/>
        <v>#REF!</v>
      </c>
      <c r="H33" s="219" t="s">
        <v>25</v>
      </c>
      <c r="I33" s="220"/>
      <c r="J33" s="10" t="s">
        <v>24</v>
      </c>
      <c r="K33" s="153" t="e">
        <f>#REF!</f>
        <v>#REF!</v>
      </c>
      <c r="L33" s="82">
        <f>'Ст-сть Матер-Работ'!E16</f>
        <v>62992.125984251972</v>
      </c>
      <c r="M33" s="11" t="e">
        <f t="shared" si="1"/>
        <v>#REF!</v>
      </c>
    </row>
    <row r="34" spans="1:13" x14ac:dyDescent="0.3">
      <c r="A34" s="60"/>
      <c r="B34" s="238"/>
      <c r="C34" s="238"/>
      <c r="D34" s="10"/>
      <c r="E34" s="81"/>
      <c r="F34" s="83"/>
      <c r="G34" s="11"/>
      <c r="H34" s="238" t="s">
        <v>29</v>
      </c>
      <c r="I34" s="238"/>
      <c r="J34" s="10" t="s">
        <v>24</v>
      </c>
      <c r="K34" s="153" t="e">
        <f>#REF!</f>
        <v>#REF!</v>
      </c>
      <c r="L34" s="82">
        <f>'Ст-сть Матер-Работ'!E18</f>
        <v>130000</v>
      </c>
      <c r="M34" s="11" t="e">
        <f t="shared" si="1"/>
        <v>#REF!</v>
      </c>
    </row>
    <row r="35" spans="1:13" x14ac:dyDescent="0.3">
      <c r="A35" s="75" t="s">
        <v>76</v>
      </c>
      <c r="B35" s="238" t="s">
        <v>77</v>
      </c>
      <c r="C35" s="238"/>
      <c r="D35" s="10" t="s">
        <v>12</v>
      </c>
      <c r="E35" s="81" t="e">
        <f>#REF!+#REF!</f>
        <v>#REF!</v>
      </c>
      <c r="F35" s="83">
        <f>'Ст-сть Матер-Работ'!D51</f>
        <v>50</v>
      </c>
      <c r="G35" s="11" t="e">
        <f t="shared" ref="G35:G36" si="3">E35*F35</f>
        <v>#REF!</v>
      </c>
      <c r="H35" s="219" t="s">
        <v>78</v>
      </c>
      <c r="I35" s="220"/>
      <c r="J35" s="10" t="s">
        <v>12</v>
      </c>
      <c r="K35" s="153" t="e">
        <f>#REF!</f>
        <v>#REF!</v>
      </c>
      <c r="L35" s="82">
        <f>'Ст-сть Матер-Работ'!E21</f>
        <v>1200</v>
      </c>
      <c r="M35" s="11" t="e">
        <f t="shared" si="1"/>
        <v>#REF!</v>
      </c>
    </row>
    <row r="36" spans="1:13" x14ac:dyDescent="0.3">
      <c r="A36" s="61" t="s">
        <v>30</v>
      </c>
      <c r="B36" s="224" t="s">
        <v>31</v>
      </c>
      <c r="C36" s="224"/>
      <c r="D36" s="19" t="s">
        <v>5</v>
      </c>
      <c r="E36" s="81" t="e">
        <f>#REF!</f>
        <v>#REF!</v>
      </c>
      <c r="F36" s="82">
        <f>'Ст-сть Матер-Работ'!D52</f>
        <v>5850</v>
      </c>
      <c r="G36" s="11" t="e">
        <f t="shared" si="3"/>
        <v>#REF!</v>
      </c>
      <c r="H36" s="224" t="s">
        <v>32</v>
      </c>
      <c r="I36" s="224"/>
      <c r="J36" s="19" t="s">
        <v>5</v>
      </c>
      <c r="K36" s="83" t="e">
        <f>E36*1.1</f>
        <v>#REF!</v>
      </c>
      <c r="L36" s="82">
        <f>'Ст-сть Матер-Работ'!E19</f>
        <v>7200</v>
      </c>
      <c r="M36" s="11" t="e">
        <f t="shared" si="1"/>
        <v>#REF!</v>
      </c>
    </row>
    <row r="37" spans="1:13" x14ac:dyDescent="0.3">
      <c r="A37" s="62"/>
      <c r="B37" s="224"/>
      <c r="C37" s="224"/>
      <c r="D37" s="19"/>
      <c r="E37" s="81"/>
      <c r="F37" s="82"/>
      <c r="G37" s="11"/>
      <c r="H37" s="224" t="s">
        <v>56</v>
      </c>
      <c r="I37" s="224"/>
      <c r="J37" s="19" t="s">
        <v>12</v>
      </c>
      <c r="K37" s="83" t="e">
        <f>#REF!</f>
        <v>#REF!</v>
      </c>
      <c r="L37" s="82">
        <f>'Ст-сть Матер-Работ'!E20</f>
        <v>11</v>
      </c>
      <c r="M37" s="11" t="e">
        <f t="shared" si="1"/>
        <v>#REF!</v>
      </c>
    </row>
    <row r="38" spans="1:13" x14ac:dyDescent="0.3">
      <c r="A38" s="62"/>
      <c r="B38" s="224"/>
      <c r="C38" s="224"/>
      <c r="D38" s="135"/>
      <c r="E38" s="81"/>
      <c r="F38" s="82"/>
      <c r="G38" s="11"/>
      <c r="H38" s="236" t="s">
        <v>57</v>
      </c>
      <c r="I38" s="237"/>
      <c r="J38" s="19"/>
      <c r="K38" s="83"/>
      <c r="L38" s="82"/>
      <c r="M38" s="11"/>
    </row>
    <row r="39" spans="1:13" x14ac:dyDescent="0.3">
      <c r="A39" s="80"/>
      <c r="B39" s="236"/>
      <c r="C39" s="237"/>
      <c r="D39" s="19"/>
      <c r="E39" s="81"/>
      <c r="F39" s="82"/>
      <c r="G39" s="11"/>
      <c r="H39" s="257" t="s">
        <v>66</v>
      </c>
      <c r="I39" s="257"/>
      <c r="J39" s="19" t="s">
        <v>12</v>
      </c>
      <c r="K39" s="83" t="e">
        <f>'Ст-сть Матер-Работ'!F26</f>
        <v>#REF!</v>
      </c>
      <c r="L39" s="82">
        <f>'Ст-сть Матер-Работ'!E26</f>
        <v>45</v>
      </c>
      <c r="M39" s="11" t="e">
        <f t="shared" si="1"/>
        <v>#REF!</v>
      </c>
    </row>
    <row r="40" spans="1:13" x14ac:dyDescent="0.3">
      <c r="A40" s="80"/>
      <c r="B40" s="236"/>
      <c r="C40" s="237"/>
      <c r="D40" s="19"/>
      <c r="E40" s="81"/>
      <c r="F40" s="82"/>
      <c r="G40" s="11"/>
      <c r="H40" s="257" t="s">
        <v>69</v>
      </c>
      <c r="I40" s="257"/>
      <c r="J40" s="19" t="s">
        <v>86</v>
      </c>
      <c r="K40" s="83" t="e">
        <f>'Ст-сть Матер-Работ'!F27</f>
        <v>#REF!</v>
      </c>
      <c r="L40" s="82">
        <f>'Ст-сть Матер-Работ'!E27</f>
        <v>55</v>
      </c>
      <c r="M40" s="11" t="e">
        <f t="shared" si="1"/>
        <v>#REF!</v>
      </c>
    </row>
    <row r="41" spans="1:13" x14ac:dyDescent="0.3">
      <c r="A41" s="80"/>
      <c r="B41" s="236"/>
      <c r="C41" s="237"/>
      <c r="D41" s="19"/>
      <c r="E41" s="81"/>
      <c r="F41" s="82"/>
      <c r="G41" s="11"/>
      <c r="H41" s="257" t="s">
        <v>73</v>
      </c>
      <c r="I41" s="257"/>
      <c r="J41" s="19" t="s">
        <v>87</v>
      </c>
      <c r="K41" s="83">
        <f>'Ст-сть Матер-Работ'!F28</f>
        <v>2</v>
      </c>
      <c r="L41" s="82">
        <f>'Ст-сть Матер-Работ'!E28</f>
        <v>170</v>
      </c>
      <c r="M41" s="11">
        <f t="shared" si="1"/>
        <v>340</v>
      </c>
    </row>
    <row r="42" spans="1:13" x14ac:dyDescent="0.3">
      <c r="A42" s="80" t="s">
        <v>88</v>
      </c>
      <c r="B42" s="234" t="s">
        <v>122</v>
      </c>
      <c r="C42" s="235"/>
      <c r="D42" s="19" t="s">
        <v>3</v>
      </c>
      <c r="E42" s="81" t="e">
        <f>#REF!</f>
        <v>#REF!</v>
      </c>
      <c r="F42" s="82">
        <f>'Ст-сть Матер-Работ'!D53</f>
        <v>350</v>
      </c>
      <c r="G42" s="11" t="e">
        <f>E42*F42</f>
        <v>#REF!</v>
      </c>
      <c r="H42" s="258" t="s">
        <v>90</v>
      </c>
      <c r="I42" s="259"/>
      <c r="J42" s="19" t="s">
        <v>9</v>
      </c>
      <c r="K42" s="83" t="e">
        <f>#REF!</f>
        <v>#REF!</v>
      </c>
      <c r="L42" s="82">
        <f>'Ст-сть Матер-Работ'!E22</f>
        <v>980</v>
      </c>
      <c r="M42" s="11" t="e">
        <f t="shared" si="1"/>
        <v>#REF!</v>
      </c>
    </row>
    <row r="43" spans="1:13" x14ac:dyDescent="0.3">
      <c r="A43" s="80"/>
      <c r="B43" s="264"/>
      <c r="C43" s="265"/>
      <c r="D43" s="19"/>
      <c r="E43" s="81"/>
      <c r="F43" s="82"/>
      <c r="G43" s="11"/>
      <c r="H43" s="239" t="s">
        <v>92</v>
      </c>
      <c r="I43" s="240"/>
      <c r="J43" s="19" t="s">
        <v>91</v>
      </c>
      <c r="K43" s="83" t="e">
        <f>#REF!</f>
        <v>#REF!</v>
      </c>
      <c r="L43" s="82">
        <f>'Ст-сть Матер-Работ'!E23</f>
        <v>3968</v>
      </c>
      <c r="M43" s="11" t="e">
        <f t="shared" si="1"/>
        <v>#REF!</v>
      </c>
    </row>
    <row r="44" spans="1:13" x14ac:dyDescent="0.3">
      <c r="A44" s="20"/>
      <c r="B44" s="21"/>
      <c r="C44" s="22"/>
      <c r="D44" s="22"/>
      <c r="E44" s="256" t="s">
        <v>14</v>
      </c>
      <c r="F44" s="221"/>
      <c r="G44" s="23" t="e">
        <f>SUM(G19:G43)</f>
        <v>#REF!</v>
      </c>
      <c r="H44" s="3"/>
      <c r="I44" s="3"/>
      <c r="J44" s="2"/>
      <c r="K44" s="221" t="s">
        <v>15</v>
      </c>
      <c r="L44" s="221"/>
      <c r="M44" s="79" t="e">
        <f>SUM(M19:M43)</f>
        <v>#REF!</v>
      </c>
    </row>
    <row r="45" spans="1:13" x14ac:dyDescent="0.3">
      <c r="A45" s="270" t="s">
        <v>124</v>
      </c>
      <c r="B45" s="271"/>
      <c r="C45" s="34"/>
      <c r="D45" s="24"/>
      <c r="E45" s="99"/>
      <c r="F45" s="99"/>
      <c r="G45" s="25"/>
      <c r="H45" s="26"/>
      <c r="I45" s="26"/>
      <c r="J45" s="24"/>
      <c r="K45" s="106"/>
      <c r="L45" s="106"/>
      <c r="M45" s="25"/>
    </row>
    <row r="46" spans="1:13" x14ac:dyDescent="0.3">
      <c r="A46" s="140" t="s">
        <v>17</v>
      </c>
      <c r="B46" s="252" t="s">
        <v>33</v>
      </c>
      <c r="C46" s="252"/>
      <c r="D46" s="38" t="s">
        <v>133</v>
      </c>
      <c r="E46" s="84" t="e">
        <f>#REF!</f>
        <v>#REF!</v>
      </c>
      <c r="F46" s="95">
        <f>'Ст-сть Матер-Работ'!D54</f>
        <v>3000</v>
      </c>
      <c r="G46" s="27" t="e">
        <f>E46*F46</f>
        <v>#REF!</v>
      </c>
      <c r="H46" s="28"/>
      <c r="I46" s="28"/>
      <c r="J46" s="154"/>
      <c r="K46" s="155"/>
      <c r="L46" s="82"/>
      <c r="M46" s="27"/>
    </row>
    <row r="47" spans="1:13" x14ac:dyDescent="0.3">
      <c r="A47" s="27"/>
      <c r="B47" s="252"/>
      <c r="C47" s="252"/>
      <c r="D47" s="38"/>
      <c r="E47" s="84"/>
      <c r="F47" s="95"/>
      <c r="G47" s="27"/>
      <c r="H47" s="29" t="s">
        <v>34</v>
      </c>
      <c r="I47" s="29"/>
      <c r="J47" s="27" t="s">
        <v>35</v>
      </c>
      <c r="K47" s="107" t="e">
        <f>#REF!</f>
        <v>#REF!</v>
      </c>
      <c r="L47" s="107">
        <f>'Ст-сть Матер-Работ'!C30+'Ст-сть Матер-Работ'!E30*данные!D17</f>
        <v>3500</v>
      </c>
      <c r="M47" s="27" t="e">
        <f>K47*L47</f>
        <v>#REF!</v>
      </c>
    </row>
    <row r="48" spans="1:13" x14ac:dyDescent="0.3">
      <c r="A48" s="27"/>
      <c r="B48" s="252"/>
      <c r="C48" s="252"/>
      <c r="D48" s="38"/>
      <c r="E48" s="112"/>
      <c r="F48" s="96"/>
      <c r="G48" s="31"/>
      <c r="H48" s="29" t="s">
        <v>62</v>
      </c>
      <c r="I48" s="29"/>
      <c r="J48" s="27" t="s">
        <v>35</v>
      </c>
      <c r="K48" s="107" t="e">
        <f>#REF!</f>
        <v>#REF!</v>
      </c>
      <c r="L48" s="107">
        <f>'Ст-сть Матер-Работ'!C31+'Ст-сть Матер-Работ'!E31*данные!D17</f>
        <v>8000</v>
      </c>
      <c r="M48" s="27" t="e">
        <f>K48*L48</f>
        <v>#REF!</v>
      </c>
    </row>
    <row r="49" spans="1:13" x14ac:dyDescent="0.3">
      <c r="A49" s="27"/>
      <c r="B49" s="266"/>
      <c r="C49" s="267"/>
      <c r="D49" s="38"/>
      <c r="E49" s="112"/>
      <c r="F49" s="96"/>
      <c r="G49" s="31"/>
      <c r="H49" s="29" t="s">
        <v>63</v>
      </c>
      <c r="I49" s="29"/>
      <c r="J49" s="27" t="s">
        <v>35</v>
      </c>
      <c r="K49" s="107" t="e">
        <f>#REF!*#REF!</f>
        <v>#REF!</v>
      </c>
      <c r="L49" s="107">
        <f>'Ст-сть Матер-Работ'!C32</f>
        <v>18500</v>
      </c>
      <c r="M49" s="27" t="e">
        <f t="shared" ref="M49:M50" si="4">K49*L49</f>
        <v>#REF!</v>
      </c>
    </row>
    <row r="50" spans="1:13" x14ac:dyDescent="0.3">
      <c r="A50" s="27"/>
      <c r="B50" s="252"/>
      <c r="C50" s="252"/>
      <c r="D50" s="38"/>
      <c r="E50" s="112"/>
      <c r="F50" s="96"/>
      <c r="G50" s="31"/>
      <c r="H50" s="32" t="s">
        <v>36</v>
      </c>
      <c r="I50" s="32"/>
      <c r="J50" s="33" t="s">
        <v>35</v>
      </c>
      <c r="K50" s="84" t="e">
        <f>#REF!</f>
        <v>#REF!</v>
      </c>
      <c r="L50" s="84">
        <f>'Ст-сть Матер-Работ'!C33</f>
        <v>23500</v>
      </c>
      <c r="M50" s="27" t="e">
        <f t="shared" si="4"/>
        <v>#REF!</v>
      </c>
    </row>
    <row r="51" spans="1:13" x14ac:dyDescent="0.3">
      <c r="A51" s="24"/>
      <c r="B51" s="26"/>
      <c r="C51" s="58"/>
      <c r="D51" s="24"/>
      <c r="E51" s="268" t="s">
        <v>14</v>
      </c>
      <c r="F51" s="269"/>
      <c r="G51" s="31" t="e">
        <f>SUM(G46:G50)</f>
        <v>#REF!</v>
      </c>
      <c r="H51" s="26"/>
      <c r="I51" s="26"/>
      <c r="J51" s="24"/>
      <c r="K51" s="242" t="s">
        <v>123</v>
      </c>
      <c r="L51" s="243"/>
      <c r="M51" s="31" t="e">
        <f>SUM(M46:M50)</f>
        <v>#REF!</v>
      </c>
    </row>
    <row r="52" spans="1:13" x14ac:dyDescent="0.3">
      <c r="A52" s="24"/>
      <c r="B52" s="26"/>
      <c r="C52" s="58"/>
      <c r="D52" s="24"/>
      <c r="E52" s="100"/>
      <c r="F52" s="100"/>
      <c r="G52" s="34"/>
      <c r="H52" s="26"/>
      <c r="I52" s="26"/>
      <c r="J52" s="24"/>
      <c r="K52" s="108"/>
      <c r="L52" s="108"/>
      <c r="M52" s="34"/>
    </row>
    <row r="54" spans="1:13" ht="14.4" customHeight="1" x14ac:dyDescent="0.3">
      <c r="D54" s="273" t="s">
        <v>37</v>
      </c>
      <c r="E54" s="273"/>
      <c r="F54" s="273"/>
      <c r="G54" s="273"/>
      <c r="H54" s="125" t="e">
        <f>G17+G44+G51</f>
        <v>#REF!</v>
      </c>
      <c r="I54" s="39"/>
    </row>
    <row r="55" spans="1:13" ht="16.2" customHeight="1" x14ac:dyDescent="0.3">
      <c r="D55" s="273" t="s">
        <v>38</v>
      </c>
      <c r="E55" s="273"/>
      <c r="F55" s="273"/>
      <c r="G55" s="273"/>
      <c r="H55" s="125" t="e">
        <f>H54*0.03</f>
        <v>#REF!</v>
      </c>
      <c r="I55" s="39"/>
    </row>
    <row r="56" spans="1:13" ht="19.2" customHeight="1" x14ac:dyDescent="0.3">
      <c r="D56" s="273" t="s">
        <v>39</v>
      </c>
      <c r="E56" s="273"/>
      <c r="F56" s="273"/>
      <c r="G56" s="273"/>
      <c r="H56" s="125" t="e">
        <f>H54*0.16</f>
        <v>#REF!</v>
      </c>
      <c r="I56" s="39"/>
    </row>
    <row r="57" spans="1:13" ht="14.4" customHeight="1" x14ac:dyDescent="0.3">
      <c r="D57" s="273" t="s">
        <v>40</v>
      </c>
      <c r="E57" s="273"/>
      <c r="F57" s="273"/>
      <c r="G57" s="273"/>
      <c r="H57" s="125" t="e">
        <f>H54+H55+H56</f>
        <v>#REF!</v>
      </c>
      <c r="I57" s="39"/>
    </row>
    <row r="58" spans="1:13" ht="14.4" customHeight="1" x14ac:dyDescent="0.3">
      <c r="D58" s="273" t="s">
        <v>41</v>
      </c>
      <c r="E58" s="273"/>
      <c r="F58" s="273"/>
      <c r="G58" s="273"/>
      <c r="H58" s="125" t="e">
        <f>M17+M44</f>
        <v>#REF!</v>
      </c>
      <c r="I58" s="39"/>
    </row>
    <row r="59" spans="1:13" ht="15.6" customHeight="1" x14ac:dyDescent="0.3">
      <c r="D59" s="273" t="s">
        <v>121</v>
      </c>
      <c r="E59" s="273"/>
      <c r="F59" s="273"/>
      <c r="G59" s="273"/>
      <c r="H59" s="125" t="e">
        <f>H58*0.035</f>
        <v>#REF!</v>
      </c>
      <c r="I59" s="39"/>
    </row>
    <row r="60" spans="1:13" ht="14.4" customHeight="1" x14ac:dyDescent="0.3">
      <c r="D60" s="273" t="s">
        <v>42</v>
      </c>
      <c r="E60" s="273"/>
      <c r="F60" s="273"/>
      <c r="G60" s="273"/>
      <c r="H60" s="125" t="e">
        <f>M51</f>
        <v>#REF!</v>
      </c>
      <c r="I60" s="39"/>
    </row>
    <row r="61" spans="1:13" ht="14.4" customHeight="1" x14ac:dyDescent="0.3">
      <c r="D61" s="273" t="s">
        <v>40</v>
      </c>
      <c r="E61" s="273"/>
      <c r="F61" s="273"/>
      <c r="G61" s="273"/>
      <c r="H61" s="125" t="e">
        <f>H58+H59+H60</f>
        <v>#REF!</v>
      </c>
      <c r="I61" s="39"/>
    </row>
    <row r="62" spans="1:13" x14ac:dyDescent="0.3">
      <c r="D62" s="274" t="s">
        <v>43</v>
      </c>
      <c r="E62" s="274"/>
      <c r="F62" s="274"/>
      <c r="G62" s="274"/>
      <c r="H62" s="126" t="e">
        <f>H57+H61</f>
        <v>#REF!</v>
      </c>
      <c r="I62" s="40"/>
    </row>
    <row r="63" spans="1:13" ht="15.6" customHeight="1" thickBot="1" x14ac:dyDescent="0.35">
      <c r="D63" s="272" t="s">
        <v>44</v>
      </c>
      <c r="E63" s="272"/>
      <c r="F63" s="272"/>
      <c r="G63" s="272"/>
      <c r="H63" s="137" t="e">
        <f>H54*0.03</f>
        <v>#REF!</v>
      </c>
      <c r="I63" s="41"/>
    </row>
    <row r="64" spans="1:13" ht="16.2" thickBot="1" x14ac:dyDescent="0.35">
      <c r="D64" s="241" t="s">
        <v>45</v>
      </c>
      <c r="E64" s="241"/>
      <c r="F64" s="241"/>
      <c r="G64" s="241"/>
      <c r="H64" s="138" t="e">
        <f>H62+H63</f>
        <v>#REF!</v>
      </c>
      <c r="I64" s="41"/>
      <c r="K64" s="109"/>
      <c r="L64" s="114"/>
    </row>
  </sheetData>
  <mergeCells count="88">
    <mergeCell ref="D63:G63"/>
    <mergeCell ref="D54:G54"/>
    <mergeCell ref="D55:G55"/>
    <mergeCell ref="D56:G56"/>
    <mergeCell ref="D57:G57"/>
    <mergeCell ref="D58:G58"/>
    <mergeCell ref="D59:G59"/>
    <mergeCell ref="D60:G60"/>
    <mergeCell ref="D61:G61"/>
    <mergeCell ref="D62:G62"/>
    <mergeCell ref="B43:C43"/>
    <mergeCell ref="B49:C49"/>
    <mergeCell ref="E51:F51"/>
    <mergeCell ref="B50:C50"/>
    <mergeCell ref="B46:C46"/>
    <mergeCell ref="A45:B45"/>
    <mergeCell ref="B47:C47"/>
    <mergeCell ref="B48:C48"/>
    <mergeCell ref="E44:F44"/>
    <mergeCell ref="H39:I39"/>
    <mergeCell ref="H40:I40"/>
    <mergeCell ref="H41:I41"/>
    <mergeCell ref="H42:I42"/>
    <mergeCell ref="B13:C13"/>
    <mergeCell ref="B15:C15"/>
    <mergeCell ref="B29:C29"/>
    <mergeCell ref="B30:C30"/>
    <mergeCell ref="B31:C31"/>
    <mergeCell ref="H38:I38"/>
    <mergeCell ref="B36:C36"/>
    <mergeCell ref="B37:C37"/>
    <mergeCell ref="B38:C38"/>
    <mergeCell ref="B35:C35"/>
    <mergeCell ref="D64:G64"/>
    <mergeCell ref="K51:L51"/>
    <mergeCell ref="H11:I11"/>
    <mergeCell ref="H12:I12"/>
    <mergeCell ref="H13:I13"/>
    <mergeCell ref="H14:I14"/>
    <mergeCell ref="H16:I16"/>
    <mergeCell ref="H19:I19"/>
    <mergeCell ref="H24:I24"/>
    <mergeCell ref="H25:I25"/>
    <mergeCell ref="H26:I26"/>
    <mergeCell ref="H27:I27"/>
    <mergeCell ref="H34:I34"/>
    <mergeCell ref="H37:I37"/>
    <mergeCell ref="H36:I36"/>
    <mergeCell ref="E17:F17"/>
    <mergeCell ref="K44:L44"/>
    <mergeCell ref="B19:C19"/>
    <mergeCell ref="B24:C24"/>
    <mergeCell ref="B25:C25"/>
    <mergeCell ref="B26:C26"/>
    <mergeCell ref="B27:C27"/>
    <mergeCell ref="B28:C28"/>
    <mergeCell ref="B33:C33"/>
    <mergeCell ref="B42:C42"/>
    <mergeCell ref="B39:C39"/>
    <mergeCell ref="B40:C40"/>
    <mergeCell ref="B41:C41"/>
    <mergeCell ref="H20:I20"/>
    <mergeCell ref="B32:C32"/>
    <mergeCell ref="B34:C34"/>
    <mergeCell ref="H43:I43"/>
    <mergeCell ref="A4:M4"/>
    <mergeCell ref="H21:I21"/>
    <mergeCell ref="H22:I22"/>
    <mergeCell ref="H23:I23"/>
    <mergeCell ref="H35:I35"/>
    <mergeCell ref="H28:I28"/>
    <mergeCell ref="H29:I29"/>
    <mergeCell ref="H30:I30"/>
    <mergeCell ref="H31:I31"/>
    <mergeCell ref="H32:I32"/>
    <mergeCell ref="H33:I33"/>
    <mergeCell ref="K17:L17"/>
    <mergeCell ref="A18:E18"/>
    <mergeCell ref="A10:B10"/>
    <mergeCell ref="B11:C11"/>
    <mergeCell ref="B12:C12"/>
    <mergeCell ref="H9:I9"/>
    <mergeCell ref="B8:C8"/>
    <mergeCell ref="B9:C9"/>
    <mergeCell ref="A5:M5"/>
    <mergeCell ref="B7:D7"/>
    <mergeCell ref="D6:I6"/>
    <mergeCell ref="H8:I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данные</vt:lpstr>
      <vt:lpstr>Ст-сть Матер-Работ</vt:lpstr>
      <vt:lpstr>смета 600х300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2023-10-27T11:10:16Z</dcterms:created>
  <dcterms:modified xsi:type="dcterms:W3CDTF">2024-04-16T11:01:48Z</dcterms:modified>
</cp:coreProperties>
</file>