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/Users/koss/Downloads/"/>
    </mc:Choice>
  </mc:AlternateContent>
  <xr:revisionPtr revIDLastSave="0" documentId="13_ncr:1_{BCFDA570-9BB1-C74A-953E-F1D80DD9FD86}" xr6:coauthVersionLast="47" xr6:coauthVersionMax="47" xr10:uidLastSave="{00000000-0000-0000-0000-000000000000}"/>
  <workbookProtection workbookAlgorithmName="SHA-512" workbookHashValue="7lj5wPFIEzeRTdhbPWORsdVB32p3meautu9NHSBGywzeO8eLyzdMngbgTGVHxIhTjdaCkk/lAqn/a3WVWO+x5w==" workbookSaltValue="+eNpVDXsYjqzQ781L26K1w==" workbookSpinCount="100000" lockStructure="1"/>
  <bookViews>
    <workbookView xWindow="17220" yWindow="5500" windowWidth="30080" windowHeight="16220" xr2:uid="{00000000-000D-0000-FFFF-FFFF00000000}"/>
  </bookViews>
  <sheets>
    <sheet name="данные" sheetId="1" r:id="rId1"/>
    <sheet name="расчеты" sheetId="2" state="hidden" r:id="rId2"/>
    <sheet name="Ст-сть Матер-Работ" sheetId="4" r:id="rId3"/>
    <sheet name="Смета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7" i="3" l="1"/>
  <c r="O28" i="3"/>
  <c r="O29" i="3" s="1"/>
  <c r="O30" i="3" s="1"/>
  <c r="O36" i="3" s="1"/>
  <c r="O37" i="3" s="1"/>
  <c r="O38" i="3" s="1"/>
  <c r="O39" i="3" s="1"/>
  <c r="O42" i="3" s="1"/>
  <c r="O43" i="3" s="1"/>
  <c r="O26" i="3"/>
  <c r="D18" i="3"/>
  <c r="D17" i="3"/>
  <c r="M51" i="3" a="1"/>
  <c r="M50" i="3" a="1"/>
  <c r="M49" i="3" a="1"/>
  <c r="M52" i="3" a="1"/>
  <c r="M37" i="3" a="1"/>
  <c r="M29" i="3" a="1"/>
  <c r="M44" i="3" a="1"/>
  <c r="M36" i="3" a="1"/>
  <c r="M35" i="3" a="1"/>
  <c r="M27" i="3" a="1"/>
  <c r="M34" i="3" a="1"/>
  <c r="M41" i="3" a="1"/>
  <c r="M40" i="3" a="1"/>
  <c r="M31" i="3" a="1"/>
  <c r="M38" i="3" a="1"/>
  <c r="M22" i="3" a="1"/>
  <c r="M45" i="3" a="1"/>
  <c r="M21" i="3" a="1"/>
  <c r="M28" i="3" a="1"/>
  <c r="M43" i="3" a="1"/>
  <c r="M42" i="3" a="1"/>
  <c r="M26" i="3" a="1"/>
  <c r="M33" i="3" a="1"/>
  <c r="M32" i="3" a="1"/>
  <c r="M39" i="3" a="1"/>
  <c r="M23" i="3" a="1"/>
  <c r="M30" i="3" a="1"/>
  <c r="M25" i="3" a="1"/>
  <c r="M24" i="3" a="1"/>
  <c r="M18" i="3" a="1"/>
  <c r="M17" i="3" a="1"/>
  <c r="K45" i="3" a="1"/>
  <c r="K42" i="3" a="1"/>
  <c r="K41" i="3" a="1"/>
  <c r="K43" i="3" a="1"/>
  <c r="K44" i="3" a="1"/>
  <c r="K31" i="3" a="1"/>
  <c r="K26" i="3" a="1"/>
  <c r="K24" i="3" a="1"/>
  <c r="K39" i="3" a="1"/>
  <c r="K23" i="3" a="1"/>
  <c r="K30" i="3" a="1"/>
  <c r="K22" i="3" a="1"/>
  <c r="K25" i="3" a="1"/>
  <c r="K38" i="3" a="1"/>
  <c r="K29" i="3" a="1"/>
  <c r="K21" i="3" a="1"/>
  <c r="K32" i="3" a="1"/>
  <c r="K37" i="3" a="1"/>
  <c r="K33" i="3" a="1"/>
  <c r="K28" i="3" a="1"/>
  <c r="K36" i="3" a="1"/>
  <c r="K27" i="3" a="1"/>
  <c r="K35" i="3" a="1"/>
  <c r="K34" i="3" a="1"/>
  <c r="K18" i="3" a="1"/>
  <c r="K17" i="3" a="1"/>
  <c r="K16" i="3" a="1"/>
  <c r="I35" i="3" a="1"/>
  <c r="I31" i="3" a="1"/>
  <c r="I27" i="3" a="1"/>
  <c r="I23" i="3" a="1"/>
  <c r="I30" i="3" a="1"/>
  <c r="I26" i="3" a="1"/>
  <c r="I37" i="3" a="1"/>
  <c r="I25" i="3" a="1"/>
  <c r="I32" i="3" a="1"/>
  <c r="I34" i="3" a="1"/>
  <c r="I22" i="3" a="1"/>
  <c r="I33" i="3" a="1"/>
  <c r="I21" i="3" a="1"/>
  <c r="I36" i="3" a="1"/>
  <c r="I39" i="3" a="1"/>
  <c r="I38" i="3" a="1"/>
  <c r="I29" i="3" a="1"/>
  <c r="I28" i="3" a="1"/>
  <c r="I24" i="3" a="1"/>
  <c r="I18" i="3" a="1"/>
  <c r="M16" i="3" a="1"/>
  <c r="I16" i="3" a="1"/>
  <c r="G16" i="3" a="1"/>
  <c r="E44" i="3" a="1"/>
  <c r="E38" i="3" a="1"/>
  <c r="E37" i="3" a="1"/>
  <c r="E35" i="3" a="1"/>
  <c r="E34" i="3" a="1"/>
  <c r="E31" i="3" a="1"/>
  <c r="E30" i="3" a="1"/>
  <c r="E33" i="3" a="1"/>
  <c r="E29" i="3" a="1"/>
  <c r="E32" i="3" a="1"/>
  <c r="E21" i="3" a="1"/>
  <c r="G48" i="3" a="1"/>
  <c r="G44" i="3" a="1"/>
  <c r="G37" i="3" a="1"/>
  <c r="G38" i="3" a="1"/>
  <c r="G33" i="3" a="1"/>
  <c r="G29" i="3" a="1"/>
  <c r="G35" i="3" a="1"/>
  <c r="G32" i="3" a="1"/>
  <c r="G30" i="3" a="1"/>
  <c r="G34" i="3" a="1"/>
  <c r="G31" i="3" a="1"/>
  <c r="G21" i="3" a="1"/>
  <c r="C48" i="3" a="1"/>
  <c r="C44" i="3" a="1"/>
  <c r="C37" i="3" a="1"/>
  <c r="C38" i="3" a="1"/>
  <c r="C33" i="3" a="1"/>
  <c r="C30" i="3" a="1"/>
  <c r="C35" i="3" a="1"/>
  <c r="C31" i="3" a="1"/>
  <c r="C34" i="3" a="1"/>
  <c r="C32" i="3" a="1"/>
  <c r="C21" i="3" a="1"/>
  <c r="C18" i="3" a="1"/>
  <c r="C17" i="3" a="1"/>
  <c r="E18" i="3" a="1"/>
  <c r="E17" i="3" a="1"/>
  <c r="E16" i="3" a="1"/>
  <c r="E15" i="3" a="1"/>
  <c r="C16" i="3" a="1"/>
  <c r="M52" i="3" l="1"/>
  <c r="M49" i="3"/>
  <c r="M50" i="3"/>
  <c r="M51" i="3"/>
  <c r="M24" i="3"/>
  <c r="M25" i="3"/>
  <c r="M30" i="3"/>
  <c r="M23" i="3"/>
  <c r="M39" i="3"/>
  <c r="M32" i="3"/>
  <c r="M33" i="3"/>
  <c r="M26" i="3"/>
  <c r="M42" i="3"/>
  <c r="M43" i="3"/>
  <c r="M28" i="3"/>
  <c r="M21" i="3"/>
  <c r="M45" i="3"/>
  <c r="M22" i="3"/>
  <c r="M38" i="3"/>
  <c r="M31" i="3"/>
  <c r="M40" i="3"/>
  <c r="M41" i="3"/>
  <c r="M34" i="3"/>
  <c r="M27" i="3"/>
  <c r="M35" i="3"/>
  <c r="M36" i="3"/>
  <c r="M44" i="3"/>
  <c r="M29" i="3"/>
  <c r="M37" i="3"/>
  <c r="M18" i="3"/>
  <c r="M17" i="3"/>
  <c r="K44" i="3"/>
  <c r="K43" i="3"/>
  <c r="K41" i="3"/>
  <c r="K42" i="3"/>
  <c r="K45" i="3"/>
  <c r="K34" i="3"/>
  <c r="K35" i="3"/>
  <c r="K27" i="3"/>
  <c r="K36" i="3"/>
  <c r="K28" i="3"/>
  <c r="K33" i="3"/>
  <c r="K37" i="3"/>
  <c r="K32" i="3"/>
  <c r="K21" i="3"/>
  <c r="K29" i="3"/>
  <c r="K38" i="3"/>
  <c r="K25" i="3"/>
  <c r="K22" i="3"/>
  <c r="K30" i="3"/>
  <c r="K23" i="3"/>
  <c r="K39" i="3"/>
  <c r="K24" i="3"/>
  <c r="K26" i="3"/>
  <c r="K31" i="3"/>
  <c r="K17" i="3"/>
  <c r="K18" i="3"/>
  <c r="K16" i="3"/>
  <c r="I24" i="3"/>
  <c r="I28" i="3"/>
  <c r="I29" i="3"/>
  <c r="I38" i="3"/>
  <c r="I39" i="3"/>
  <c r="I36" i="3"/>
  <c r="I21" i="3"/>
  <c r="I33" i="3"/>
  <c r="I22" i="3"/>
  <c r="I34" i="3"/>
  <c r="I32" i="3"/>
  <c r="I25" i="3"/>
  <c r="I37" i="3"/>
  <c r="I26" i="3"/>
  <c r="I30" i="3"/>
  <c r="I23" i="3"/>
  <c r="I27" i="3"/>
  <c r="I31" i="3"/>
  <c r="I35" i="3"/>
  <c r="I18" i="3"/>
  <c r="M16" i="3"/>
  <c r="I16" i="3"/>
  <c r="G16" i="3"/>
  <c r="E44" i="3"/>
  <c r="E37" i="3"/>
  <c r="E38" i="3"/>
  <c r="E32" i="3"/>
  <c r="E29" i="3"/>
  <c r="E33" i="3"/>
  <c r="E30" i="3"/>
  <c r="E31" i="3"/>
  <c r="E34" i="3"/>
  <c r="E35" i="3"/>
  <c r="E21" i="3"/>
  <c r="G48" i="3"/>
  <c r="G44" i="3"/>
  <c r="G38" i="3"/>
  <c r="G37" i="3"/>
  <c r="G31" i="3"/>
  <c r="G34" i="3"/>
  <c r="G30" i="3"/>
  <c r="G32" i="3"/>
  <c r="G35" i="3"/>
  <c r="G29" i="3"/>
  <c r="G33" i="3"/>
  <c r="G21" i="3"/>
  <c r="C48" i="3"/>
  <c r="C44" i="3"/>
  <c r="C38" i="3"/>
  <c r="C37" i="3"/>
  <c r="C32" i="3"/>
  <c r="C34" i="3"/>
  <c r="C31" i="3"/>
  <c r="C35" i="3"/>
  <c r="C30" i="3"/>
  <c r="C33" i="3"/>
  <c r="C21" i="3"/>
  <c r="C18" i="3"/>
  <c r="C17" i="3"/>
  <c r="E18" i="3"/>
  <c r="E17" i="3"/>
  <c r="E16" i="3"/>
  <c r="E15" i="3"/>
  <c r="C16" i="3"/>
  <c r="G18" i="3" a="1"/>
  <c r="G18" i="3"/>
  <c r="G17" i="3" a="1"/>
  <c r="G17" i="3"/>
  <c r="G15" i="3" a="1"/>
  <c r="G15" i="3"/>
  <c r="C15" i="3" a="1"/>
  <c r="C15" i="3"/>
  <c r="G14" i="3" a="1"/>
  <c r="G14" i="3"/>
  <c r="F14" i="3"/>
  <c r="G13" i="3"/>
  <c r="F13" i="3"/>
  <c r="D16" i="3"/>
  <c r="E14" i="3" a="1"/>
  <c r="C14" i="3" a="1"/>
  <c r="E14" i="3" l="1"/>
  <c r="C14" i="3"/>
  <c r="E13" i="3" l="1"/>
  <c r="G3" i="1"/>
  <c r="J3" i="1" s="1"/>
  <c r="J4" i="1"/>
  <c r="G4" i="1"/>
  <c r="G5" i="1" l="1"/>
  <c r="J5" i="1" s="1"/>
  <c r="G6" i="1" l="1"/>
  <c r="J6" i="1" s="1"/>
  <c r="G7" i="1" l="1"/>
  <c r="J7" i="1" s="1"/>
  <c r="G8" i="1" l="1"/>
  <c r="J8" i="1" s="1"/>
  <c r="G9" i="1" l="1"/>
  <c r="J9" i="1" s="1"/>
  <c r="G10" i="1" l="1"/>
  <c r="J10" i="1" s="1"/>
  <c r="G11" i="1" l="1"/>
  <c r="J11" i="1" s="1"/>
  <c r="G12" i="1" l="1"/>
  <c r="J12" i="1" s="1"/>
  <c r="G33" i="1" l="1"/>
  <c r="J33" i="1" s="1"/>
  <c r="G34" i="1" l="1"/>
  <c r="J34" i="1" s="1"/>
  <c r="G35" i="1" l="1"/>
  <c r="J35" i="1" s="1"/>
  <c r="H15" i="2"/>
  <c r="H14" i="2"/>
  <c r="K8" i="3"/>
  <c r="E8" i="3"/>
  <c r="L8" i="3"/>
  <c r="G36" i="1" l="1"/>
  <c r="J36" i="1" s="1"/>
  <c r="L13" i="2"/>
  <c r="H13" i="2"/>
  <c r="G37" i="1" l="1"/>
  <c r="J37" i="1" s="1"/>
  <c r="F27" i="4"/>
  <c r="N2" i="2"/>
  <c r="H5" i="2"/>
  <c r="H7" i="2" s="1"/>
  <c r="K15" i="2"/>
  <c r="P15" i="2" s="1"/>
  <c r="K14" i="2"/>
  <c r="A29" i="2"/>
  <c r="I25" i="2"/>
  <c r="H25" i="2" s="1"/>
  <c r="I26" i="2"/>
  <c r="H26" i="2" s="1"/>
  <c r="I23" i="2"/>
  <c r="I22" i="2"/>
  <c r="H23" i="2"/>
  <c r="H22" i="2"/>
  <c r="J13" i="2"/>
  <c r="H17" i="2"/>
  <c r="C23" i="2"/>
  <c r="C22" i="2"/>
  <c r="B23" i="2"/>
  <c r="B22" i="2"/>
  <c r="C20" i="2"/>
  <c r="C17" i="2"/>
  <c r="C18" i="2"/>
  <c r="C15" i="2"/>
  <c r="C13" i="2"/>
  <c r="B11" i="2"/>
  <c r="B9" i="2"/>
  <c r="B7" i="2"/>
  <c r="B5" i="2"/>
  <c r="B3" i="2"/>
  <c r="L26" i="2"/>
  <c r="L25" i="2"/>
  <c r="H3" i="2"/>
  <c r="G7" i="4"/>
  <c r="H11" i="2"/>
  <c r="I11" i="2"/>
  <c r="K11" i="2"/>
  <c r="E17" i="4"/>
  <c r="E16" i="4"/>
  <c r="E15" i="4"/>
  <c r="L49" i="3"/>
  <c r="G38" i="1" l="1"/>
  <c r="J38" i="1" s="1"/>
  <c r="K16" i="2"/>
  <c r="K22" i="2"/>
  <c r="J23" i="2"/>
  <c r="K23" i="2"/>
  <c r="L13" i="3"/>
  <c r="N13" i="3" s="1"/>
  <c r="J22" i="2"/>
  <c r="K19" i="2"/>
  <c r="C9" i="2"/>
  <c r="C5" i="2"/>
  <c r="F30" i="3"/>
  <c r="H30" i="3" s="1"/>
  <c r="C11" i="2"/>
  <c r="B20" i="2" s="1"/>
  <c r="P14" i="2"/>
  <c r="H13" i="3"/>
  <c r="C7" i="2"/>
  <c r="E22" i="2"/>
  <c r="J17" i="3"/>
  <c r="K13" i="2"/>
  <c r="C3" i="2"/>
  <c r="I7" i="2"/>
  <c r="F16" i="3" s="1"/>
  <c r="Q14" i="2"/>
  <c r="R14" i="2" s="1"/>
  <c r="N49" i="3"/>
  <c r="G39" i="1" l="1"/>
  <c r="J39" i="1" s="1"/>
  <c r="K20" i="2"/>
  <c r="L27" i="3" s="1"/>
  <c r="N27" i="3" s="1"/>
  <c r="P13" i="2"/>
  <c r="L24" i="3"/>
  <c r="N24" i="3" s="1"/>
  <c r="C25" i="2"/>
  <c r="B25" i="2" s="1"/>
  <c r="B18" i="2"/>
  <c r="E18" i="2" s="1"/>
  <c r="B17" i="2"/>
  <c r="B15" i="2"/>
  <c r="B13" i="2"/>
  <c r="L23" i="3"/>
  <c r="N23" i="3" s="1"/>
  <c r="N25" i="2"/>
  <c r="J25" i="2"/>
  <c r="F37" i="3"/>
  <c r="H37" i="3" s="1"/>
  <c r="F21" i="3"/>
  <c r="H21" i="3" s="1"/>
  <c r="H16" i="3"/>
  <c r="F17" i="3"/>
  <c r="H17" i="3" s="1"/>
  <c r="L25" i="3"/>
  <c r="N25" i="3" s="1"/>
  <c r="L43" i="3"/>
  <c r="N43" i="3" s="1"/>
  <c r="O14" i="2"/>
  <c r="J31" i="2"/>
  <c r="K31" i="2"/>
  <c r="E23" i="2"/>
  <c r="F38" i="3"/>
  <c r="H38" i="3" s="1"/>
  <c r="L31" i="2"/>
  <c r="I3" i="2"/>
  <c r="E20" i="2"/>
  <c r="L17" i="3"/>
  <c r="N17" i="3" s="1"/>
  <c r="I5" i="2"/>
  <c r="E11" i="2"/>
  <c r="G40" i="1" l="1"/>
  <c r="J40" i="1" s="1"/>
  <c r="E13" i="2"/>
  <c r="E15" i="2"/>
  <c r="S14" i="2"/>
  <c r="T14" i="2" s="1"/>
  <c r="Q15" i="2" s="1"/>
  <c r="O15" i="2" s="1"/>
  <c r="H9" i="2"/>
  <c r="I9" i="2" s="1"/>
  <c r="N27" i="2"/>
  <c r="F31" i="3"/>
  <c r="H31" i="3" s="1"/>
  <c r="E17" i="2"/>
  <c r="L44" i="3"/>
  <c r="N44" i="3" s="1"/>
  <c r="F44" i="3"/>
  <c r="H44" i="3" s="1"/>
  <c r="L16" i="3"/>
  <c r="N16" i="3" s="1"/>
  <c r="F32" i="3"/>
  <c r="H32" i="3" s="1"/>
  <c r="L30" i="3"/>
  <c r="N30" i="3" s="1"/>
  <c r="F34" i="3"/>
  <c r="H34" i="3" s="1"/>
  <c r="F33" i="3"/>
  <c r="H33" i="3" s="1"/>
  <c r="F26" i="4"/>
  <c r="F15" i="3"/>
  <c r="H15" i="3" s="1"/>
  <c r="L26" i="3"/>
  <c r="N26" i="3" s="1"/>
  <c r="L52" i="3"/>
  <c r="N52" i="3" s="1"/>
  <c r="L29" i="3"/>
  <c r="N29" i="3" s="1"/>
  <c r="H31" i="2"/>
  <c r="H14" i="3"/>
  <c r="L22" i="2"/>
  <c r="L38" i="3"/>
  <c r="N38" i="3" s="1"/>
  <c r="L51" i="3"/>
  <c r="N51" i="3" s="1"/>
  <c r="L21" i="3"/>
  <c r="N21" i="3" s="1"/>
  <c r="L28" i="3"/>
  <c r="N28" i="3" s="1"/>
  <c r="F25" i="4"/>
  <c r="E25" i="2"/>
  <c r="F35" i="3"/>
  <c r="H35" i="3" s="1"/>
  <c r="L39" i="3"/>
  <c r="N39" i="3" s="1"/>
  <c r="G41" i="1" l="1"/>
  <c r="J41" i="1" s="1"/>
  <c r="L45" i="3"/>
  <c r="N45" i="3" s="1"/>
  <c r="L22" i="3"/>
  <c r="N22" i="3" s="1"/>
  <c r="L31" i="3"/>
  <c r="N31" i="3" s="1"/>
  <c r="L32" i="3"/>
  <c r="N32" i="3" s="1"/>
  <c r="L34" i="3"/>
  <c r="N34" i="3" s="1"/>
  <c r="L35" i="3"/>
  <c r="N35" i="3" s="1"/>
  <c r="F18" i="3"/>
  <c r="H18" i="3" s="1"/>
  <c r="H19" i="3" s="1"/>
  <c r="L37" i="3"/>
  <c r="N37" i="3" s="1"/>
  <c r="L42" i="3"/>
  <c r="N42" i="3" s="1"/>
  <c r="L33" i="3"/>
  <c r="N33" i="3" s="1"/>
  <c r="E23" i="4"/>
  <c r="L41" i="3"/>
  <c r="N41" i="3" s="1"/>
  <c r="E27" i="2"/>
  <c r="G42" i="1" l="1"/>
  <c r="J42" i="1" s="1"/>
  <c r="L18" i="3"/>
  <c r="N18" i="3" s="1"/>
  <c r="N19" i="3" s="1"/>
  <c r="G31" i="2"/>
  <c r="E31" i="2" s="1"/>
  <c r="L36" i="3"/>
  <c r="N36" i="3" s="1"/>
  <c r="N46" i="3" s="1"/>
  <c r="G43" i="1" l="1"/>
  <c r="J43" i="1" s="1"/>
  <c r="F29" i="3"/>
  <c r="H29" i="3" s="1"/>
  <c r="H46" i="3" s="1"/>
  <c r="L50" i="3"/>
  <c r="N50" i="3" s="1"/>
  <c r="I60" i="3"/>
  <c r="I61" i="3" s="1"/>
  <c r="G44" i="1" l="1"/>
  <c r="J44" i="1" s="1"/>
  <c r="N53" i="3"/>
  <c r="I62" i="3" s="1"/>
  <c r="I63" i="3" s="1"/>
  <c r="F48" i="3"/>
  <c r="H48" i="3" s="1"/>
  <c r="H53" i="3" s="1"/>
  <c r="I56" i="3" s="1"/>
  <c r="I65" i="3" s="1"/>
  <c r="G45" i="1" l="1"/>
  <c r="J45" i="1" s="1"/>
  <c r="I58" i="3"/>
  <c r="I57" i="3"/>
  <c r="G46" i="1" l="1"/>
  <c r="J46" i="1" s="1"/>
  <c r="I59" i="3"/>
  <c r="I64" i="3" s="1"/>
  <c r="I66" i="3" s="1"/>
  <c r="G47" i="1" l="1"/>
  <c r="J47" i="1" s="1"/>
  <c r="G48" i="1" l="1"/>
  <c r="J48" i="1" s="1"/>
  <c r="G49" i="1" l="1"/>
  <c r="J49" i="1" s="1"/>
  <c r="G50" i="1" l="1"/>
  <c r="J50" i="1" s="1"/>
  <c r="G51" i="1" l="1"/>
  <c r="J51" i="1" s="1"/>
  <c r="G52" i="1" l="1"/>
  <c r="J52" i="1" s="1"/>
  <c r="G53" i="1" l="1"/>
  <c r="J53" i="1" s="1"/>
  <c r="G54" i="1" l="1"/>
  <c r="J54" i="1" s="1"/>
  <c r="G55" i="1" l="1"/>
  <c r="J55" i="1" s="1"/>
  <c r="G56" i="1" l="1"/>
  <c r="J56" i="1" s="1"/>
  <c r="G57" i="1" l="1"/>
  <c r="J57" i="1" s="1"/>
  <c r="G58" i="1" l="1"/>
  <c r="J58" i="1" s="1"/>
  <c r="G59" i="1" l="1"/>
  <c r="J59" i="1" s="1"/>
  <c r="G60" i="1" l="1"/>
  <c r="J60" i="1" s="1"/>
  <c r="G61" i="1" l="1"/>
  <c r="J61" i="1" s="1"/>
  <c r="G62" i="1" l="1"/>
  <c r="J62" i="1" s="1"/>
  <c r="G63" i="1" l="1"/>
  <c r="J63" i="1" s="1"/>
  <c r="G64" i="1" l="1"/>
  <c r="J64" i="1" s="1"/>
  <c r="G65" i="1" l="1"/>
  <c r="J65" i="1" s="1"/>
  <c r="G66" i="1" l="1"/>
  <c r="J66" i="1" s="1"/>
  <c r="G67" i="1" l="1"/>
  <c r="J67" i="1" s="1"/>
  <c r="G68" i="1" l="1"/>
  <c r="J68" i="1" s="1"/>
  <c r="G69" i="1" l="1"/>
  <c r="J69" i="1" s="1"/>
  <c r="G70" i="1" l="1"/>
  <c r="J70" i="1" s="1"/>
  <c r="G71" i="1" l="1"/>
  <c r="J71" i="1" s="1"/>
  <c r="G72" i="1" l="1"/>
  <c r="J72" i="1" s="1"/>
  <c r="G73" i="1" l="1"/>
  <c r="J73" i="1" s="1"/>
  <c r="G74" i="1" l="1"/>
  <c r="J74" i="1" s="1"/>
  <c r="G75" i="1" l="1"/>
  <c r="J75" i="1" s="1"/>
  <c r="G76" i="1" l="1"/>
  <c r="J76" i="1" s="1"/>
  <c r="G77" i="1" l="1"/>
  <c r="J77" i="1" s="1"/>
  <c r="G78" i="1" l="1"/>
  <c r="J78" i="1" s="1"/>
  <c r="G79" i="1" l="1"/>
  <c r="J79" i="1" s="1"/>
  <c r="G80" i="1" l="1"/>
  <c r="J80" i="1" s="1"/>
  <c r="G81" i="1" l="1"/>
  <c r="J81" i="1" s="1"/>
  <c r="G82" i="1" l="1"/>
  <c r="J82" i="1" s="1"/>
  <c r="G83" i="1" l="1"/>
  <c r="J83" i="1" s="1"/>
  <c r="G84" i="1" l="1"/>
  <c r="J8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<sst xmlns="http://schemas.openxmlformats.org/spreadsheetml/2006/main" count="450" uniqueCount="183">
  <si>
    <t>Ед. изм.</t>
  </si>
  <si>
    <t>1. Земляные и подготовительные работы</t>
  </si>
  <si>
    <t>Разбивка  площадки с выносом осей</t>
  </si>
  <si>
    <t>м2</t>
  </si>
  <si>
    <t>Расходный материал</t>
  </si>
  <si>
    <t>м3</t>
  </si>
  <si>
    <t>Зачистка дна траншеи вручную</t>
  </si>
  <si>
    <t>Песок карьерный</t>
  </si>
  <si>
    <t>рул</t>
  </si>
  <si>
    <t>Щебень фр 20х40</t>
  </si>
  <si>
    <t>м.п.</t>
  </si>
  <si>
    <t>шт</t>
  </si>
  <si>
    <t>к-т</t>
  </si>
  <si>
    <t>Итого работы</t>
  </si>
  <si>
    <t>Итого материалы</t>
  </si>
  <si>
    <t xml:space="preserve">2. Устройство фундамента </t>
  </si>
  <si>
    <t>1.</t>
  </si>
  <si>
    <t>Доска 50х150 обр</t>
  </si>
  <si>
    <t>Гвоздь строительный  100 мм</t>
  </si>
  <si>
    <t>кг</t>
  </si>
  <si>
    <t>Саморез черный по дереву усиленный 96 мм</t>
  </si>
  <si>
    <t>Пленка п/э 200 мкр</t>
  </si>
  <si>
    <t>2.</t>
  </si>
  <si>
    <t>тн</t>
  </si>
  <si>
    <t>Арматура д.12 мм  А500С</t>
  </si>
  <si>
    <t>Арматура д.8 мм  А240</t>
  </si>
  <si>
    <t>2.2.</t>
  </si>
  <si>
    <t>Изготовление Д3 "УГОЛ"</t>
  </si>
  <si>
    <t xml:space="preserve">Проволока вязальная </t>
  </si>
  <si>
    <t>3.</t>
  </si>
  <si>
    <t>Бетонирование монолитного ростверка</t>
  </si>
  <si>
    <t>Бетон В 25</t>
  </si>
  <si>
    <t>Транспортные расходы и аренда механизмов</t>
  </si>
  <si>
    <t>Прием матералов на фундамент</t>
  </si>
  <si>
    <t>см</t>
  </si>
  <si>
    <t>Аренда а/м до 1,5 тн</t>
  </si>
  <si>
    <t>м/см</t>
  </si>
  <si>
    <t>Аренда бетононасоса</t>
  </si>
  <si>
    <t>Ст-ть работ</t>
  </si>
  <si>
    <t>Транспортные расходы 3%</t>
  </si>
  <si>
    <t>Накладные расходы 16%</t>
  </si>
  <si>
    <t>Итого</t>
  </si>
  <si>
    <t>Ст-ть материалов</t>
  </si>
  <si>
    <t xml:space="preserve">Транспортные расходы </t>
  </si>
  <si>
    <t>ИТОГО по смете, руб</t>
  </si>
  <si>
    <t>ПСР 3%</t>
  </si>
  <si>
    <t>ВСЕГО по смете, руб.</t>
  </si>
  <si>
    <t>S пятна застройки</t>
  </si>
  <si>
    <t>Количество пересечений крест</t>
  </si>
  <si>
    <t>Количество пересечений Т-обр</t>
  </si>
  <si>
    <t>Количество углов 45 гр</t>
  </si>
  <si>
    <t>внутренний количество рядов по ширине</t>
  </si>
  <si>
    <t>V арматуры</t>
  </si>
  <si>
    <t>внешний количество рядов по ширине</t>
  </si>
  <si>
    <t>внешняя</t>
  </si>
  <si>
    <t>внутренняя</t>
  </si>
  <si>
    <t>внешний длина арматуры в метрах (1 прут)</t>
  </si>
  <si>
    <t>внутренний длина арматуры в метрах(1 прут)</t>
  </si>
  <si>
    <t>количество хомутов   шт/длина</t>
  </si>
  <si>
    <t>ряд</t>
  </si>
  <si>
    <t xml:space="preserve"> количество горизонтальных рядов по высоте</t>
  </si>
  <si>
    <t>количество вертикальной шаг 600 мм шт/ м.п.</t>
  </si>
  <si>
    <t>количество деталей Т шт/длина</t>
  </si>
  <si>
    <t>количество деталей крест   шт/длина</t>
  </si>
  <si>
    <t>количество деталей угол 90   шт/длина</t>
  </si>
  <si>
    <t>количество деталей угол 45   шт/длина</t>
  </si>
  <si>
    <t>армирование ленты д.12 мм А500С</t>
  </si>
  <si>
    <t>Деталь д.12 мм А500С</t>
  </si>
  <si>
    <t>Хомут А240 8 мм</t>
  </si>
  <si>
    <t>Проволока вязальная</t>
  </si>
  <si>
    <t>Проволока ВР-1</t>
  </si>
  <si>
    <t>АРМИРОВАНИЕ ЛЕНТА</t>
  </si>
  <si>
    <t>разработка траншеи</t>
  </si>
  <si>
    <t>зачистка дня траншеи</t>
  </si>
  <si>
    <t>геотекстиль</t>
  </si>
  <si>
    <t xml:space="preserve">Толщина песчаного основания </t>
  </si>
  <si>
    <t>Толщина щебеночного основания</t>
  </si>
  <si>
    <t xml:space="preserve">песок </t>
  </si>
  <si>
    <t xml:space="preserve">щебень </t>
  </si>
  <si>
    <t>ЗЕМЛЯНЫЕ РАБОТЫ</t>
  </si>
  <si>
    <t xml:space="preserve">ОПАЛУБКА </t>
  </si>
  <si>
    <t>шпилька к-т 2 гайки 2 шайбы  мм.</t>
  </si>
  <si>
    <t>труба д.15 мм</t>
  </si>
  <si>
    <t>L/шт</t>
  </si>
  <si>
    <t>доска S/вер/раскос/длина</t>
  </si>
  <si>
    <t>S/РУЛ/ ШИРИНА</t>
  </si>
  <si>
    <t>гвозди 100 мм</t>
  </si>
  <si>
    <t>внешние</t>
  </si>
  <si>
    <t>внутренние</t>
  </si>
  <si>
    <t>ГИДРОИЗОЛЯЦИЯ ГОРИЗОНТАЛЬНАЯ</t>
  </si>
  <si>
    <t>БЕТОН</t>
  </si>
  <si>
    <t>Транспорт</t>
  </si>
  <si>
    <t>Металл</t>
  </si>
  <si>
    <t>Дрова</t>
  </si>
  <si>
    <t>К-кт</t>
  </si>
  <si>
    <t>МЕХ</t>
  </si>
  <si>
    <t>Вертикаль д.12 мм А500С ШАГ 600</t>
  </si>
  <si>
    <t>2.1.</t>
  </si>
  <si>
    <t>Изготовление детали "хомут"</t>
  </si>
  <si>
    <t xml:space="preserve">Устройство армокаркаса монолитного ростверка </t>
  </si>
  <si>
    <t>2.3.</t>
  </si>
  <si>
    <t>Опорная площадка "Стульчик"</t>
  </si>
  <si>
    <t>Расходные материалы</t>
  </si>
  <si>
    <t>Монтаж опалубки</t>
  </si>
  <si>
    <t>2.4.</t>
  </si>
  <si>
    <t>Изготовление Д4 "УГОЛ 45"</t>
  </si>
  <si>
    <t>Изготовление Д1 "Стойка"</t>
  </si>
  <si>
    <t>Аренда а/м до 8 тн</t>
  </si>
  <si>
    <t>Аренда JSB</t>
  </si>
  <si>
    <t>Б/насос</t>
  </si>
  <si>
    <t>Непердвиденные 3,5%</t>
  </si>
  <si>
    <t>пленка</t>
  </si>
  <si>
    <t>РАЗБИВКА И ВЫНОС ОСЕЙ</t>
  </si>
  <si>
    <t>к-кт</t>
  </si>
  <si>
    <t>Геотекстиль плотность 160 г/м2 ,50 м.п. шириной мм.</t>
  </si>
  <si>
    <t>диск отрезной д 125 мм</t>
  </si>
  <si>
    <t>ед изм</t>
  </si>
  <si>
    <t>Цена</t>
  </si>
  <si>
    <t>собка для степлера 1000 шт</t>
  </si>
  <si>
    <t>пачка</t>
  </si>
  <si>
    <t>кол-во</t>
  </si>
  <si>
    <t xml:space="preserve">бухта </t>
  </si>
  <si>
    <t>нитка разметочная 150 м</t>
  </si>
  <si>
    <t>ФУНДАМЕНТ ЛЕНТОЧНЫЙ</t>
  </si>
  <si>
    <t>2.5.</t>
  </si>
  <si>
    <t>Монтаж продухов</t>
  </si>
  <si>
    <t>Труба SN4 д.160 мм дл.2000 мм</t>
  </si>
  <si>
    <t>Изготовление Д5 "крест"</t>
  </si>
  <si>
    <t>Изготовление Д6 "Т"</t>
  </si>
  <si>
    <t>Шайба усиленная  М12</t>
  </si>
  <si>
    <t>Шпилька М12  2000 мм</t>
  </si>
  <si>
    <t>Гайка М12</t>
  </si>
  <si>
    <t>Гильза (Трубка изолирующая)</t>
  </si>
  <si>
    <t>м</t>
  </si>
  <si>
    <t>саморез 4,8х100</t>
  </si>
  <si>
    <t>4.</t>
  </si>
  <si>
    <t>Горизонтальная гидроизоляция</t>
  </si>
  <si>
    <t>Гидроизол</t>
  </si>
  <si>
    <t>Транспорт 8 тн</t>
  </si>
  <si>
    <t>ведро 20 л</t>
  </si>
  <si>
    <t>ведро</t>
  </si>
  <si>
    <t>Мастика №24 мгтн (20 кг)</t>
  </si>
  <si>
    <t>Приложение к договору № __</t>
  </si>
  <si>
    <t>к Договору подряда № ______  от "___"_______ 202__года</t>
  </si>
  <si>
    <t xml:space="preserve">         "СОГЛАСОВАНО"</t>
  </si>
  <si>
    <t>"УТВЕРЖДАЮ"</t>
  </si>
  <si>
    <t xml:space="preserve">_________________________  /_____________/                     </t>
  </si>
  <si>
    <r>
      <t xml:space="preserve">     </t>
    </r>
    <r>
      <rPr>
        <u/>
        <sz val="11"/>
        <rFont val="Times New Roman"/>
        <family val="1"/>
        <charset val="204"/>
      </rPr>
      <t xml:space="preserve">"_____" _________ 202__ г. </t>
    </r>
    <r>
      <rPr>
        <sz val="11"/>
        <rFont val="Times New Roman"/>
        <family val="1"/>
        <charset val="204"/>
      </rPr>
      <t xml:space="preserve">   </t>
    </r>
  </si>
  <si>
    <t xml:space="preserve">                                                                                                      </t>
  </si>
  <si>
    <r>
      <t xml:space="preserve">    </t>
    </r>
    <r>
      <rPr>
        <u/>
        <sz val="11"/>
        <rFont val="Times New Roman"/>
        <family val="1"/>
        <charset val="204"/>
      </rPr>
      <t xml:space="preserve"> "___" ________ 202__ г.    </t>
    </r>
  </si>
  <si>
    <t>Вид работ</t>
  </si>
  <si>
    <t>Наименование работ</t>
  </si>
  <si>
    <t>Кол-во</t>
  </si>
  <si>
    <t>Цена работ, руб.</t>
  </si>
  <si>
    <t>Итого работы, руб.</t>
  </si>
  <si>
    <t>Наименование материалов</t>
  </si>
  <si>
    <t>Цена материалы, руб.</t>
  </si>
  <si>
    <t>Итого материалы, руб.</t>
  </si>
  <si>
    <t>Заказчик: __________________________/______________/</t>
  </si>
  <si>
    <t xml:space="preserve">                           Раздел №1 Строительно-монтажные работы по устройству "ленточного фундамента" </t>
  </si>
  <si>
    <t xml:space="preserve">                ЛОКАЛЬНАЯ СМЕТА </t>
  </si>
  <si>
    <t>сечение фундамента в мм. ВхШ</t>
  </si>
  <si>
    <t>сечение фундамента с учетом перепада грунта в мм. ВхШ</t>
  </si>
  <si>
    <t>продухи</t>
  </si>
  <si>
    <t>РАБОТЫ</t>
  </si>
  <si>
    <t>цена</t>
  </si>
  <si>
    <t>Разработка траншеи в ручную</t>
  </si>
  <si>
    <t>Устройство песчаного основания с трамбоакой</t>
  </si>
  <si>
    <t>Укладка геотекстиля</t>
  </si>
  <si>
    <t>Устройство щебеночного основания с трамбовкой</t>
  </si>
  <si>
    <t>смена</t>
  </si>
  <si>
    <t xml:space="preserve">Длина ленты </t>
  </si>
  <si>
    <t xml:space="preserve">Ширина ленты  </t>
  </si>
  <si>
    <t xml:space="preserve">Высота  цоколя </t>
  </si>
  <si>
    <t>Количество углов Г</t>
  </si>
  <si>
    <t xml:space="preserve">Подрядчик:  ______________ </t>
  </si>
  <si>
    <t>МАТЕРИАЛ</t>
  </si>
  <si>
    <t>Value</t>
  </si>
  <si>
    <t>Material</t>
  </si>
  <si>
    <t>Labour</t>
  </si>
  <si>
    <t>B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</si>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</sst>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i/>
      <sz val="11"/>
      <name val="Arial"/>
      <family val="2"/>
      <charset val="204"/>
    </font>
    <font>
      <b/>
      <sz val="12"/>
      <name val="Arial Cyr"/>
      <charset val="204"/>
    </font>
    <font>
      <b/>
      <u/>
      <sz val="12"/>
      <color theme="1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name val="Times New Roman"/>
      <family val="1"/>
      <charset val="204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u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8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auto="1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7">
    <xf numFmtId="0" fontId="0" fillId="0" borderId="0" xfId="0"/>
    <xf numFmtId="4" fontId="2" fillId="3" borderId="0" xfId="1" applyNumberFormat="1" applyFont="1" applyFill="1" applyAlignment="1">
      <alignment horizontal="center" vertical="center"/>
    </xf>
    <xf numFmtId="4" fontId="3" fillId="2" borderId="0" xfId="1" applyNumberFormat="1" applyFont="1" applyFill="1" applyAlignment="1">
      <alignment horizontal="center" vertical="center" wrapText="1"/>
    </xf>
    <xf numFmtId="4" fontId="3" fillId="2" borderId="0" xfId="1" applyNumberFormat="1" applyFont="1" applyFill="1" applyAlignment="1">
      <alignment horizontal="left" vertical="center" wrapText="1"/>
    </xf>
    <xf numFmtId="4" fontId="3" fillId="3" borderId="0" xfId="1" applyNumberFormat="1" applyFont="1" applyFill="1" applyAlignment="1">
      <alignment horizontal="center" vertical="center"/>
    </xf>
    <xf numFmtId="3" fontId="3" fillId="3" borderId="1" xfId="1" applyNumberFormat="1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4" fontId="3" fillId="2" borderId="2" xfId="0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4" fontId="3" fillId="2" borderId="3" xfId="0" applyNumberFormat="1" applyFont="1" applyFill="1" applyBorder="1" applyAlignment="1">
      <alignment horizontal="center" vertical="center"/>
    </xf>
    <xf numFmtId="4" fontId="3" fillId="2" borderId="4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" fontId="3" fillId="2" borderId="5" xfId="0" applyNumberFormat="1" applyFont="1" applyFill="1" applyBorder="1" applyAlignment="1">
      <alignment horizontal="center" vertical="center"/>
    </xf>
    <xf numFmtId="4" fontId="3" fillId="2" borderId="0" xfId="1" applyNumberFormat="1" applyFont="1" applyFill="1" applyAlignment="1">
      <alignment vertical="center" wrapText="1"/>
    </xf>
    <xf numFmtId="4" fontId="2" fillId="2" borderId="7" xfId="1" applyNumberFormat="1" applyFont="1" applyFill="1" applyBorder="1" applyAlignment="1">
      <alignment horizontal="center" vertical="center" wrapText="1"/>
    </xf>
    <xf numFmtId="4" fontId="2" fillId="2" borderId="5" xfId="1" applyNumberFormat="1" applyFont="1" applyFill="1" applyBorder="1" applyAlignment="1">
      <alignment horizontal="center" vertical="center" wrapText="1"/>
    </xf>
    <xf numFmtId="4" fontId="3" fillId="2" borderId="5" xfId="1" applyNumberFormat="1" applyFont="1" applyFill="1" applyBorder="1" applyAlignment="1">
      <alignment horizontal="center" vertical="center" wrapText="1"/>
    </xf>
    <xf numFmtId="4" fontId="3" fillId="3" borderId="5" xfId="1" applyNumberFormat="1" applyFont="1" applyFill="1" applyBorder="1" applyAlignment="1">
      <alignment horizontal="left" vertical="center" wrapText="1"/>
    </xf>
    <xf numFmtId="4" fontId="4" fillId="2" borderId="5" xfId="0" applyNumberFormat="1" applyFont="1" applyFill="1" applyBorder="1" applyAlignment="1">
      <alignment horizontal="center" vertical="center"/>
    </xf>
    <xf numFmtId="4" fontId="2" fillId="2" borderId="2" xfId="1" applyNumberFormat="1" applyFont="1" applyFill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4" fontId="3" fillId="2" borderId="12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4" fontId="2" fillId="0" borderId="12" xfId="0" applyNumberFormat="1" applyFont="1" applyBorder="1" applyAlignment="1">
      <alignment horizontal="center" vertical="center"/>
    </xf>
    <xf numFmtId="4" fontId="3" fillId="3" borderId="0" xfId="1" applyNumberFormat="1" applyFont="1" applyFill="1" applyAlignment="1">
      <alignment horizontal="center" vertical="center" wrapText="1"/>
    </xf>
    <xf numFmtId="4" fontId="2" fillId="3" borderId="0" xfId="1" applyNumberFormat="1" applyFont="1" applyFill="1" applyAlignment="1">
      <alignment horizontal="center" vertical="center" wrapText="1"/>
    </xf>
    <xf numFmtId="4" fontId="3" fillId="3" borderId="0" xfId="1" applyNumberFormat="1" applyFont="1" applyFill="1" applyAlignment="1">
      <alignment vertical="center" wrapText="1"/>
    </xf>
    <xf numFmtId="4" fontId="3" fillId="3" borderId="5" xfId="1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4" fontId="3" fillId="3" borderId="17" xfId="1" applyNumberFormat="1" applyFont="1" applyFill="1" applyBorder="1" applyAlignment="1">
      <alignment vertical="center" wrapText="1"/>
    </xf>
    <xf numFmtId="2" fontId="3" fillId="3" borderId="5" xfId="1" applyNumberFormat="1" applyFont="1" applyFill="1" applyBorder="1" applyAlignment="1">
      <alignment horizontal="center" vertical="center" wrapText="1"/>
    </xf>
    <xf numFmtId="4" fontId="2" fillId="3" borderId="5" xfId="1" applyNumberFormat="1" applyFont="1" applyFill="1" applyBorder="1" applyAlignment="1">
      <alignment horizontal="center" vertical="center" wrapText="1"/>
    </xf>
    <xf numFmtId="4" fontId="3" fillId="4" borderId="5" xfId="1" applyNumberFormat="1" applyFont="1" applyFill="1" applyBorder="1" applyAlignment="1">
      <alignment horizontal="left" vertical="center" wrapText="1"/>
    </xf>
    <xf numFmtId="4" fontId="3" fillId="4" borderId="5" xfId="1" applyNumberFormat="1" applyFont="1" applyFill="1" applyBorder="1" applyAlignment="1">
      <alignment horizontal="center" vertical="center" wrapText="1"/>
    </xf>
    <xf numFmtId="1" fontId="2" fillId="0" borderId="5" xfId="1" applyNumberFormat="1" applyFont="1" applyBorder="1" applyAlignment="1">
      <alignment horizontal="center" vertical="center" wrapText="1"/>
    </xf>
    <xf numFmtId="1" fontId="2" fillId="0" borderId="5" xfId="1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" fontId="2" fillId="0" borderId="23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/>
    <xf numFmtId="0" fontId="0" fillId="0" borderId="5" xfId="0" applyBorder="1" applyAlignment="1">
      <alignment horizontal="center" vertical="center" wrapText="1"/>
    </xf>
    <xf numFmtId="0" fontId="0" fillId="0" borderId="5" xfId="0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25" xfId="0" applyBorder="1"/>
    <xf numFmtId="0" fontId="0" fillId="0" borderId="26" xfId="0" applyBorder="1"/>
    <xf numFmtId="0" fontId="0" fillId="0" borderId="28" xfId="0" applyBorder="1" applyAlignment="1">
      <alignment horizontal="center"/>
    </xf>
    <xf numFmtId="0" fontId="0" fillId="0" borderId="29" xfId="0" applyBorder="1"/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29" xfId="0" applyBorder="1" applyAlignment="1">
      <alignment vertical="center" wrapText="1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2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28" xfId="0" applyBorder="1"/>
    <xf numFmtId="0" fontId="0" fillId="0" borderId="0" xfId="0" applyAlignment="1">
      <alignment vertical="center" wrapText="1"/>
    </xf>
    <xf numFmtId="0" fontId="0" fillId="0" borderId="25" xfId="0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2" fontId="0" fillId="0" borderId="28" xfId="0" applyNumberFormat="1" applyBorder="1"/>
    <xf numFmtId="2" fontId="0" fillId="0" borderId="28" xfId="0" applyNumberFormat="1" applyBorder="1" applyAlignment="1">
      <alignment vertical="center" wrapText="1"/>
    </xf>
    <xf numFmtId="0" fontId="8" fillId="0" borderId="27" xfId="0" applyFont="1" applyBorder="1" applyAlignment="1">
      <alignment horizontal="right"/>
    </xf>
    <xf numFmtId="0" fontId="0" fillId="0" borderId="25" xfId="0" applyBorder="1" applyAlignment="1">
      <alignment horizontal="center"/>
    </xf>
    <xf numFmtId="0" fontId="0" fillId="0" borderId="30" xfId="0" applyBorder="1" applyAlignment="1">
      <alignment horizontal="center"/>
    </xf>
    <xf numFmtId="164" fontId="0" fillId="0" borderId="31" xfId="0" applyNumberFormat="1" applyBorder="1" applyAlignment="1">
      <alignment horizontal="center"/>
    </xf>
    <xf numFmtId="2" fontId="0" fillId="0" borderId="31" xfId="0" applyNumberFormat="1" applyBorder="1" applyAlignment="1">
      <alignment horizontal="center"/>
    </xf>
    <xf numFmtId="4" fontId="2" fillId="2" borderId="0" xfId="1" applyNumberFormat="1" applyFont="1" applyFill="1" applyAlignment="1">
      <alignment horizontal="center" vertical="center" wrapText="1"/>
    </xf>
    <xf numFmtId="4" fontId="3" fillId="3" borderId="17" xfId="1" applyNumberFormat="1" applyFont="1" applyFill="1" applyBorder="1" applyAlignment="1">
      <alignment horizontal="center" vertical="center" wrapText="1"/>
    </xf>
    <xf numFmtId="1" fontId="2" fillId="0" borderId="0" xfId="1" applyNumberFormat="1" applyFont="1" applyAlignment="1">
      <alignment horizontal="center" vertical="center" wrapText="1"/>
    </xf>
    <xf numFmtId="1" fontId="2" fillId="0" borderId="0" xfId="1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4" fontId="2" fillId="2" borderId="12" xfId="1" applyNumberFormat="1" applyFont="1" applyFill="1" applyBorder="1" applyAlignment="1">
      <alignment horizontal="center" vertical="center" wrapText="1"/>
    </xf>
    <xf numFmtId="3" fontId="4" fillId="3" borderId="4" xfId="1" applyNumberFormat="1" applyFont="1" applyFill="1" applyBorder="1" applyAlignment="1">
      <alignment horizontal="left" vertical="center" wrapText="1"/>
    </xf>
    <xf numFmtId="0" fontId="3" fillId="2" borderId="34" xfId="0" applyFont="1" applyFill="1" applyBorder="1" applyAlignment="1">
      <alignment horizontal="center" vertical="center"/>
    </xf>
    <xf numFmtId="4" fontId="3" fillId="2" borderId="17" xfId="1" applyNumberFormat="1" applyFont="1" applyFill="1" applyBorder="1" applyAlignment="1">
      <alignment horizontal="center" vertical="center" wrapText="1"/>
    </xf>
    <xf numFmtId="4" fontId="3" fillId="2" borderId="19" xfId="1" applyNumberFormat="1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3" fontId="3" fillId="3" borderId="33" xfId="1" applyNumberFormat="1" applyFont="1" applyFill="1" applyBorder="1" applyAlignment="1">
      <alignment horizontal="center" vertical="center" wrapText="1"/>
    </xf>
    <xf numFmtId="3" fontId="3" fillId="3" borderId="39" xfId="1" applyNumberFormat="1" applyFont="1" applyFill="1" applyBorder="1" applyAlignment="1">
      <alignment horizontal="center" vertical="center" wrapText="1"/>
    </xf>
    <xf numFmtId="3" fontId="3" fillId="3" borderId="14" xfId="1" applyNumberFormat="1" applyFont="1" applyFill="1" applyBorder="1" applyAlignment="1">
      <alignment horizontal="center" vertical="center" wrapText="1"/>
    </xf>
    <xf numFmtId="0" fontId="3" fillId="0" borderId="13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4" fontId="3" fillId="2" borderId="11" xfId="0" applyNumberFormat="1" applyFont="1" applyFill="1" applyBorder="1" applyAlignment="1">
      <alignment horizontal="center" vertical="center"/>
    </xf>
    <xf numFmtId="3" fontId="3" fillId="3" borderId="16" xfId="1" applyNumberFormat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3" fillId="2" borderId="16" xfId="1" applyFont="1" applyFill="1" applyBorder="1" applyAlignment="1">
      <alignment horizontal="center" vertical="center" wrapText="1"/>
    </xf>
    <xf numFmtId="3" fontId="4" fillId="3" borderId="17" xfId="1" applyNumberFormat="1" applyFont="1" applyFill="1" applyBorder="1" applyAlignment="1">
      <alignment horizontal="left" vertical="center" wrapText="1"/>
    </xf>
    <xf numFmtId="4" fontId="4" fillId="3" borderId="14" xfId="1" applyNumberFormat="1" applyFont="1" applyFill="1" applyBorder="1" applyAlignment="1">
      <alignment horizontal="left" vertical="center" wrapText="1"/>
    </xf>
    <xf numFmtId="3" fontId="4" fillId="3" borderId="42" xfId="1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9" fillId="6" borderId="0" xfId="0" applyFont="1" applyFill="1" applyAlignment="1">
      <alignment horizontal="center"/>
    </xf>
    <xf numFmtId="0" fontId="9" fillId="6" borderId="0" xfId="0" applyFont="1" applyFill="1" applyAlignment="1">
      <alignment horizontal="center" vertical="center"/>
    </xf>
    <xf numFmtId="0" fontId="10" fillId="0" borderId="0" xfId="0" applyFont="1"/>
    <xf numFmtId="2" fontId="3" fillId="7" borderId="5" xfId="1" applyNumberFormat="1" applyFont="1" applyFill="1" applyBorder="1" applyAlignment="1">
      <alignment horizontal="center" vertical="center" wrapText="1"/>
    </xf>
    <xf numFmtId="4" fontId="3" fillId="7" borderId="17" xfId="1" applyNumberFormat="1" applyFont="1" applyFill="1" applyBorder="1" applyAlignment="1">
      <alignment vertical="center" wrapText="1"/>
    </xf>
    <xf numFmtId="4" fontId="3" fillId="5" borderId="5" xfId="1" applyNumberFormat="1" applyFont="1" applyFill="1" applyBorder="1" applyAlignment="1">
      <alignment horizontal="left" vertical="center" wrapText="1"/>
    </xf>
    <xf numFmtId="0" fontId="3" fillId="2" borderId="10" xfId="1" applyFont="1" applyFill="1" applyBorder="1" applyAlignment="1">
      <alignment horizontal="center" vertical="center" wrapText="1"/>
    </xf>
    <xf numFmtId="4" fontId="3" fillId="3" borderId="16" xfId="1" applyNumberFormat="1" applyFont="1" applyFill="1" applyBorder="1" applyAlignment="1">
      <alignment horizontal="left" vertical="center" wrapText="1"/>
    </xf>
    <xf numFmtId="4" fontId="3" fillId="3" borderId="17" xfId="1" applyNumberFormat="1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0" fillId="0" borderId="43" xfId="0" applyBorder="1" applyAlignment="1">
      <alignment horizontal="left"/>
    </xf>
    <xf numFmtId="4" fontId="4" fillId="3" borderId="4" xfId="1" applyNumberFormat="1" applyFont="1" applyFill="1" applyBorder="1" applyAlignment="1">
      <alignment horizontal="left" vertical="center" wrapText="1"/>
    </xf>
    <xf numFmtId="4" fontId="4" fillId="2" borderId="12" xfId="0" applyNumberFormat="1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16" xfId="0" applyBorder="1" applyAlignment="1">
      <alignment wrapText="1"/>
    </xf>
    <xf numFmtId="4" fontId="2" fillId="0" borderId="12" xfId="1" applyNumberFormat="1" applyFont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4" fontId="3" fillId="0" borderId="5" xfId="1" applyNumberFormat="1" applyFont="1" applyBorder="1" applyAlignment="1">
      <alignment horizontal="center" vertical="center"/>
    </xf>
    <xf numFmtId="4" fontId="3" fillId="0" borderId="5" xfId="0" applyNumberFormat="1" applyFont="1" applyBorder="1" applyAlignment="1">
      <alignment horizontal="center" vertical="center" wrapText="1"/>
    </xf>
    <xf numFmtId="4" fontId="3" fillId="0" borderId="5" xfId="0" applyNumberFormat="1" applyFont="1" applyBorder="1" applyAlignment="1">
      <alignment horizontal="center" vertical="center"/>
    </xf>
    <xf numFmtId="4" fontId="3" fillId="0" borderId="5" xfId="1" applyNumberFormat="1" applyFont="1" applyBorder="1" applyAlignment="1">
      <alignment horizontal="center" vertical="center" wrapText="1"/>
    </xf>
    <xf numFmtId="4" fontId="3" fillId="0" borderId="2" xfId="1" applyNumberFormat="1" applyFont="1" applyBorder="1" applyAlignment="1">
      <alignment horizontal="center" vertical="center" wrapText="1"/>
    </xf>
    <xf numFmtId="4" fontId="3" fillId="0" borderId="9" xfId="0" applyNumberFormat="1" applyFont="1" applyBorder="1" applyAlignment="1">
      <alignment horizontal="center" vertical="center"/>
    </xf>
    <xf numFmtId="164" fontId="13" fillId="6" borderId="0" xfId="0" applyNumberFormat="1" applyFont="1" applyFill="1" applyAlignment="1">
      <alignment horizontal="center" vertical="center"/>
    </xf>
    <xf numFmtId="164" fontId="13" fillId="6" borderId="31" xfId="0" applyNumberFormat="1" applyFont="1" applyFill="1" applyBorder="1" applyAlignment="1">
      <alignment horizontal="center" vertical="center"/>
    </xf>
    <xf numFmtId="0" fontId="13" fillId="6" borderId="0" xfId="0" applyFont="1" applyFill="1" applyAlignment="1">
      <alignment vertical="center"/>
    </xf>
    <xf numFmtId="0" fontId="13" fillId="6" borderId="0" xfId="0" applyFont="1" applyFill="1" applyAlignment="1">
      <alignment horizontal="center" vertical="center"/>
    </xf>
    <xf numFmtId="0" fontId="13" fillId="6" borderId="28" xfId="0" applyFont="1" applyFill="1" applyBorder="1" applyAlignment="1">
      <alignment horizontal="center" vertical="center"/>
    </xf>
    <xf numFmtId="2" fontId="13" fillId="6" borderId="29" xfId="0" applyNumberFormat="1" applyFont="1" applyFill="1" applyBorder="1" applyAlignment="1">
      <alignment horizontal="center" vertical="center"/>
    </xf>
    <xf numFmtId="0" fontId="13" fillId="6" borderId="28" xfId="0" applyFont="1" applyFill="1" applyBorder="1" applyAlignment="1">
      <alignment vertical="center"/>
    </xf>
    <xf numFmtId="0" fontId="13" fillId="6" borderId="28" xfId="0" applyFont="1" applyFill="1" applyBorder="1" applyAlignment="1">
      <alignment horizontal="center"/>
    </xf>
    <xf numFmtId="0" fontId="13" fillId="6" borderId="31" xfId="0" applyFont="1" applyFill="1" applyBorder="1" applyAlignment="1">
      <alignment horizontal="center" vertical="center"/>
    </xf>
    <xf numFmtId="0" fontId="13" fillId="6" borderId="31" xfId="0" applyFont="1" applyFill="1" applyBorder="1" applyAlignment="1">
      <alignment horizontal="center"/>
    </xf>
    <xf numFmtId="0" fontId="13" fillId="6" borderId="31" xfId="0" applyFont="1" applyFill="1" applyBorder="1"/>
    <xf numFmtId="2" fontId="9" fillId="6" borderId="0" xfId="0" applyNumberFormat="1" applyFont="1" applyFill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4" fontId="2" fillId="0" borderId="16" xfId="1" applyNumberFormat="1" applyFont="1" applyBorder="1" applyAlignment="1">
      <alignment horizontal="right" vertical="center" wrapText="1"/>
    </xf>
    <xf numFmtId="0" fontId="12" fillId="8" borderId="0" xfId="0" applyFont="1" applyFill="1" applyAlignment="1">
      <alignment horizontal="center" vertical="center"/>
    </xf>
    <xf numFmtId="0" fontId="13" fillId="0" borderId="28" xfId="0" applyFont="1" applyBorder="1" applyAlignment="1">
      <alignment vertical="center"/>
    </xf>
    <xf numFmtId="0" fontId="0" fillId="5" borderId="0" xfId="0" applyFill="1" applyAlignment="1">
      <alignment vertical="center"/>
    </xf>
    <xf numFmtId="0" fontId="16" fillId="0" borderId="0" xfId="0" applyFont="1"/>
    <xf numFmtId="0" fontId="17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vertical="center"/>
    </xf>
    <xf numFmtId="0" fontId="17" fillId="3" borderId="0" xfId="0" applyFont="1" applyFill="1" applyAlignment="1">
      <alignment horizontal="left" vertical="center"/>
    </xf>
    <xf numFmtId="4" fontId="17" fillId="3" borderId="0" xfId="0" applyNumberFormat="1" applyFont="1" applyFill="1" applyAlignment="1">
      <alignment horizontal="left" vertical="center"/>
    </xf>
    <xf numFmtId="0" fontId="17" fillId="3" borderId="0" xfId="1" applyFont="1" applyFill="1" applyAlignment="1">
      <alignment vertical="center"/>
    </xf>
    <xf numFmtId="4" fontId="4" fillId="0" borderId="5" xfId="0" applyNumberFormat="1" applyFont="1" applyBorder="1" applyAlignment="1">
      <alignment horizontal="center" vertical="center"/>
    </xf>
    <xf numFmtId="4" fontId="17" fillId="0" borderId="0" xfId="0" applyNumberFormat="1" applyFont="1" applyAlignment="1">
      <alignment horizontal="left" vertical="center"/>
    </xf>
    <xf numFmtId="4" fontId="3" fillId="0" borderId="0" xfId="1" applyNumberFormat="1" applyFont="1" applyAlignment="1">
      <alignment horizontal="center" vertical="center" wrapText="1"/>
    </xf>
    <xf numFmtId="4" fontId="2" fillId="0" borderId="0" xfId="1" applyNumberFormat="1" applyFont="1" applyAlignment="1">
      <alignment horizontal="right" vertical="center" wrapText="1"/>
    </xf>
    <xf numFmtId="4" fontId="3" fillId="0" borderId="1" xfId="1" applyNumberFormat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/>
    </xf>
    <xf numFmtId="4" fontId="3" fillId="0" borderId="11" xfId="1" applyNumberFormat="1" applyFont="1" applyBorder="1" applyAlignment="1">
      <alignment horizontal="center" vertical="center" wrapText="1"/>
    </xf>
    <xf numFmtId="164" fontId="4" fillId="0" borderId="11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2" fontId="2" fillId="0" borderId="0" xfId="1" applyNumberFormat="1" applyFont="1" applyAlignment="1">
      <alignment horizontal="right" vertical="center" wrapText="1"/>
    </xf>
    <xf numFmtId="2" fontId="4" fillId="0" borderId="5" xfId="0" applyNumberFormat="1" applyFont="1" applyBorder="1" applyAlignment="1">
      <alignment horizontal="center" vertical="center"/>
    </xf>
    <xf numFmtId="2" fontId="3" fillId="0" borderId="5" xfId="1" applyNumberFormat="1" applyFont="1" applyBorder="1" applyAlignment="1">
      <alignment horizontal="center" vertical="center" wrapText="1"/>
    </xf>
    <xf numFmtId="0" fontId="5" fillId="0" borderId="0" xfId="0" applyFont="1"/>
    <xf numFmtId="4" fontId="4" fillId="0" borderId="5" xfId="0" applyNumberFormat="1" applyFont="1" applyBorder="1" applyAlignment="1">
      <alignment horizontal="center" vertical="center" wrapText="1"/>
    </xf>
    <xf numFmtId="4" fontId="3" fillId="0" borderId="7" xfId="1" applyNumberFormat="1" applyFont="1" applyBorder="1" applyAlignment="1">
      <alignment horizontal="center" vertical="center"/>
    </xf>
    <xf numFmtId="4" fontId="3" fillId="0" borderId="9" xfId="1" applyNumberFormat="1" applyFont="1" applyBorder="1" applyAlignment="1">
      <alignment horizontal="center" vertical="center"/>
    </xf>
    <xf numFmtId="4" fontId="2" fillId="0" borderId="5" xfId="1" applyNumberFormat="1" applyFont="1" applyBorder="1" applyAlignment="1">
      <alignment horizontal="right" vertical="center" wrapText="1"/>
    </xf>
    <xf numFmtId="0" fontId="21" fillId="0" borderId="0" xfId="0" applyFont="1"/>
    <xf numFmtId="4" fontId="4" fillId="0" borderId="1" xfId="1" applyNumberFormat="1" applyFont="1" applyBorder="1" applyAlignment="1">
      <alignment horizontal="center" vertical="center"/>
    </xf>
    <xf numFmtId="4" fontId="4" fillId="0" borderId="2" xfId="1" applyNumberFormat="1" applyFont="1" applyBorder="1" applyAlignment="1">
      <alignment horizontal="center" vertical="center"/>
    </xf>
    <xf numFmtId="1" fontId="21" fillId="0" borderId="0" xfId="0" applyNumberFormat="1" applyFont="1"/>
    <xf numFmtId="4" fontId="19" fillId="2" borderId="0" xfId="1" applyNumberFormat="1" applyFont="1" applyFill="1" applyAlignment="1">
      <alignment horizontal="center" vertical="center"/>
    </xf>
    <xf numFmtId="4" fontId="19" fillId="0" borderId="0" xfId="1" applyNumberFormat="1" applyFont="1" applyAlignment="1">
      <alignment horizontal="center" vertical="center"/>
    </xf>
    <xf numFmtId="0" fontId="20" fillId="2" borderId="5" xfId="1" applyFont="1" applyFill="1" applyBorder="1" applyAlignment="1">
      <alignment horizontal="center" vertical="center" wrapText="1"/>
    </xf>
    <xf numFmtId="4" fontId="20" fillId="2" borderId="5" xfId="1" applyNumberFormat="1" applyFont="1" applyFill="1" applyBorder="1" applyAlignment="1">
      <alignment horizontal="center" vertical="center" wrapText="1"/>
    </xf>
    <xf numFmtId="4" fontId="20" fillId="0" borderId="5" xfId="1" applyNumberFormat="1" applyFont="1" applyBorder="1" applyAlignment="1">
      <alignment horizontal="center" vertical="center" wrapText="1"/>
    </xf>
    <xf numFmtId="0" fontId="20" fillId="2" borderId="5" xfId="1" applyFont="1" applyFill="1" applyBorder="1" applyAlignment="1">
      <alignment horizontal="center" vertical="center"/>
    </xf>
    <xf numFmtId="3" fontId="20" fillId="2" borderId="5" xfId="1" applyNumberFormat="1" applyFont="1" applyFill="1" applyBorder="1" applyAlignment="1">
      <alignment horizontal="center" vertical="center" wrapText="1"/>
    </xf>
    <xf numFmtId="3" fontId="20" fillId="0" borderId="5" xfId="1" applyNumberFormat="1" applyFont="1" applyBorder="1" applyAlignment="1">
      <alignment horizontal="center" vertical="center" wrapText="1"/>
    </xf>
    <xf numFmtId="3" fontId="19" fillId="0" borderId="0" xfId="1" applyNumberFormat="1" applyFont="1" applyAlignment="1">
      <alignment horizontal="center" vertical="center"/>
    </xf>
    <xf numFmtId="0" fontId="19" fillId="2" borderId="0" xfId="1" applyFont="1" applyFill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15" fillId="3" borderId="0" xfId="1" applyFont="1" applyFill="1" applyAlignment="1">
      <alignment vertical="center"/>
    </xf>
    <xf numFmtId="0" fontId="19" fillId="2" borderId="0" xfId="1" applyFont="1" applyFill="1" applyAlignment="1">
      <alignment vertical="center"/>
    </xf>
    <xf numFmtId="0" fontId="22" fillId="0" borderId="29" xfId="0" applyFont="1" applyBorder="1" applyAlignment="1">
      <alignment vertical="center"/>
    </xf>
    <xf numFmtId="0" fontId="22" fillId="0" borderId="32" xfId="0" applyFont="1" applyBorder="1" applyAlignment="1">
      <alignment vertical="center"/>
    </xf>
    <xf numFmtId="4" fontId="2" fillId="4" borderId="5" xfId="1" applyNumberFormat="1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/>
    </xf>
    <xf numFmtId="4" fontId="23" fillId="4" borderId="5" xfId="1" applyNumberFormat="1" applyFont="1" applyFill="1" applyBorder="1" applyAlignment="1">
      <alignment horizontal="left" vertical="center" wrapText="1"/>
    </xf>
    <xf numFmtId="2" fontId="0" fillId="0" borderId="0" xfId="0" applyNumberFormat="1" applyAlignment="1">
      <alignment horizontal="center"/>
    </xf>
    <xf numFmtId="0" fontId="22" fillId="0" borderId="0" xfId="0" applyFont="1"/>
    <xf numFmtId="0" fontId="0" fillId="11" borderId="0" xfId="0" applyFill="1"/>
    <xf numFmtId="0" fontId="0" fillId="12" borderId="0" xfId="0" applyFill="1"/>
    <xf numFmtId="0" fontId="4" fillId="3" borderId="16" xfId="0" applyFont="1" applyFill="1" applyBorder="1" applyAlignment="1">
      <alignment horizontal="left" vertical="center" wrapText="1"/>
    </xf>
    <xf numFmtId="0" fontId="4" fillId="3" borderId="17" xfId="0" applyFont="1" applyFill="1" applyBorder="1" applyAlignment="1">
      <alignment horizontal="left" vertical="center" wrapText="1"/>
    </xf>
    <xf numFmtId="0" fontId="0" fillId="0" borderId="0" xfId="0" applyAlignment="1">
      <alignment horizontal="right"/>
    </xf>
    <xf numFmtId="4" fontId="3" fillId="2" borderId="16" xfId="1" applyNumberFormat="1" applyFont="1" applyFill="1" applyBorder="1" applyAlignment="1">
      <alignment horizontal="left" vertical="center" wrapText="1"/>
    </xf>
    <xf numFmtId="4" fontId="3" fillId="2" borderId="17" xfId="1" applyNumberFormat="1" applyFont="1" applyFill="1" applyBorder="1" applyAlignment="1">
      <alignment horizontal="left" vertical="center" wrapText="1"/>
    </xf>
    <xf numFmtId="0" fontId="4" fillId="2" borderId="43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4" fillId="2" borderId="41" xfId="0" applyFont="1" applyFill="1" applyBorder="1" applyAlignment="1">
      <alignment horizontal="left" vertical="center"/>
    </xf>
    <xf numFmtId="0" fontId="4" fillId="2" borderId="42" xfId="0" applyFont="1" applyFill="1" applyBorder="1" applyAlignment="1">
      <alignment horizontal="left" vertical="center"/>
    </xf>
    <xf numFmtId="4" fontId="4" fillId="3" borderId="37" xfId="1" applyNumberFormat="1" applyFont="1" applyFill="1" applyBorder="1" applyAlignment="1">
      <alignment horizontal="left" vertical="center" wrapText="1"/>
    </xf>
    <xf numFmtId="4" fontId="4" fillId="3" borderId="19" xfId="1" applyNumberFormat="1" applyFont="1" applyFill="1" applyBorder="1" applyAlignment="1">
      <alignment horizontal="left" vertical="center" wrapText="1"/>
    </xf>
    <xf numFmtId="4" fontId="4" fillId="3" borderId="16" xfId="1" applyNumberFormat="1" applyFont="1" applyFill="1" applyBorder="1" applyAlignment="1">
      <alignment horizontal="left" vertical="center" wrapText="1"/>
    </xf>
    <xf numFmtId="4" fontId="4" fillId="3" borderId="42" xfId="1" applyNumberFormat="1" applyFont="1" applyFill="1" applyBorder="1" applyAlignment="1">
      <alignment horizontal="left" vertical="center" wrapText="1"/>
    </xf>
    <xf numFmtId="4" fontId="4" fillId="3" borderId="40" xfId="1" applyNumberFormat="1" applyFont="1" applyFill="1" applyBorder="1" applyAlignment="1">
      <alignment horizontal="left" vertical="center" wrapText="1"/>
    </xf>
    <xf numFmtId="4" fontId="4" fillId="3" borderId="17" xfId="1" applyNumberFormat="1" applyFont="1" applyFill="1" applyBorder="1" applyAlignment="1">
      <alignment horizontal="left" vertical="center" wrapText="1"/>
    </xf>
    <xf numFmtId="4" fontId="3" fillId="2" borderId="40" xfId="1" applyNumberFormat="1" applyFont="1" applyFill="1" applyBorder="1" applyAlignment="1">
      <alignment horizontal="left" vertical="center" wrapText="1"/>
    </xf>
    <xf numFmtId="0" fontId="0" fillId="0" borderId="24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3" fillId="6" borderId="0" xfId="0" applyFont="1" applyFill="1" applyAlignment="1">
      <alignment horizontal="center" vertical="center"/>
    </xf>
    <xf numFmtId="0" fontId="13" fillId="6" borderId="31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2" fontId="13" fillId="6" borderId="0" xfId="0" applyNumberFormat="1" applyFont="1" applyFill="1" applyAlignment="1">
      <alignment horizontal="center" vertical="center"/>
    </xf>
    <xf numFmtId="49" fontId="19" fillId="9" borderId="0" xfId="1" applyNumberFormat="1" applyFont="1" applyFill="1" applyAlignment="1">
      <alignment horizontal="center" vertical="center"/>
    </xf>
    <xf numFmtId="49" fontId="19" fillId="10" borderId="0" xfId="1" applyNumberFormat="1" applyFont="1" applyFill="1" applyAlignment="1">
      <alignment horizontal="center" vertical="center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26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4" fontId="4" fillId="3" borderId="37" xfId="1" applyNumberFormat="1" applyFont="1" applyFill="1" applyBorder="1" applyAlignment="1">
      <alignment horizontal="left" vertical="center" wrapText="1"/>
    </xf>
    <xf numFmtId="4" fontId="4" fillId="3" borderId="19" xfId="1" applyNumberFormat="1" applyFont="1" applyFill="1" applyBorder="1" applyAlignment="1">
      <alignment horizontal="left" vertical="center" wrapText="1"/>
    </xf>
    <xf numFmtId="4" fontId="4" fillId="3" borderId="16" xfId="1" applyNumberFormat="1" applyFont="1" applyFill="1" applyBorder="1" applyAlignment="1">
      <alignment horizontal="left" vertical="center" wrapText="1"/>
    </xf>
    <xf numFmtId="4" fontId="4" fillId="3" borderId="42" xfId="1" applyNumberFormat="1" applyFont="1" applyFill="1" applyBorder="1" applyAlignment="1">
      <alignment horizontal="left" vertical="center" wrapText="1"/>
    </xf>
    <xf numFmtId="4" fontId="3" fillId="2" borderId="16" xfId="1" applyNumberFormat="1" applyFont="1" applyFill="1" applyBorder="1" applyAlignment="1">
      <alignment horizontal="left" vertical="center" wrapText="1"/>
    </xf>
    <xf numFmtId="4" fontId="3" fillId="2" borderId="17" xfId="1" applyNumberFormat="1" applyFont="1" applyFill="1" applyBorder="1" applyAlignment="1">
      <alignment horizontal="left" vertical="center" wrapText="1"/>
    </xf>
    <xf numFmtId="4" fontId="4" fillId="3" borderId="40" xfId="1" applyNumberFormat="1" applyFont="1" applyFill="1" applyBorder="1" applyAlignment="1">
      <alignment horizontal="left" vertical="center" wrapText="1"/>
    </xf>
    <xf numFmtId="4" fontId="4" fillId="3" borderId="17" xfId="1" applyNumberFormat="1" applyFont="1" applyFill="1" applyBorder="1" applyAlignment="1">
      <alignment horizontal="left" vertical="center" wrapText="1"/>
    </xf>
    <xf numFmtId="4" fontId="3" fillId="2" borderId="40" xfId="1" applyNumberFormat="1" applyFont="1" applyFill="1" applyBorder="1" applyAlignment="1">
      <alignment horizontal="left" vertical="center" wrapText="1"/>
    </xf>
    <xf numFmtId="0" fontId="4" fillId="3" borderId="16" xfId="0" applyFont="1" applyFill="1" applyBorder="1" applyAlignment="1">
      <alignment horizontal="left" vertical="center" wrapText="1"/>
    </xf>
    <xf numFmtId="0" fontId="4" fillId="3" borderId="17" xfId="0" applyFont="1" applyFill="1" applyBorder="1" applyAlignment="1">
      <alignment horizontal="left" vertical="center" wrapText="1"/>
    </xf>
    <xf numFmtId="0" fontId="0" fillId="0" borderId="0" xfId="0" applyAlignment="1">
      <alignment horizontal="right"/>
    </xf>
    <xf numFmtId="0" fontId="4" fillId="2" borderId="43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4" fillId="2" borderId="41" xfId="0" applyFont="1" applyFill="1" applyBorder="1" applyAlignment="1">
      <alignment horizontal="left" vertical="center"/>
    </xf>
    <xf numFmtId="0" fontId="4" fillId="2" borderId="42" xfId="0" applyFont="1" applyFill="1" applyBorder="1" applyAlignment="1">
      <alignment horizontal="left" vertical="center"/>
    </xf>
    <xf numFmtId="0" fontId="0" fillId="0" borderId="43" xfId="0" applyBorder="1" applyAlignment="1">
      <alignment horizontal="left"/>
    </xf>
    <xf numFmtId="0" fontId="3" fillId="3" borderId="5" xfId="0" applyFont="1" applyFill="1" applyBorder="1" applyAlignment="1">
      <alignment horizontal="left" vertical="center" wrapText="1"/>
    </xf>
    <xf numFmtId="4" fontId="2" fillId="2" borderId="0" xfId="1" applyNumberFormat="1" applyFont="1" applyFill="1" applyAlignment="1">
      <alignment horizontal="left" vertical="center" wrapText="1"/>
    </xf>
    <xf numFmtId="4" fontId="2" fillId="0" borderId="5" xfId="1" applyNumberFormat="1" applyFont="1" applyBorder="1" applyAlignment="1">
      <alignment horizontal="center" vertical="center" wrapText="1"/>
    </xf>
    <xf numFmtId="4" fontId="2" fillId="3" borderId="18" xfId="1" applyNumberFormat="1" applyFont="1" applyFill="1" applyBorder="1" applyAlignment="1">
      <alignment horizontal="right" vertical="center" wrapText="1"/>
    </xf>
    <xf numFmtId="4" fontId="2" fillId="3" borderId="19" xfId="1" applyNumberFormat="1" applyFont="1" applyFill="1" applyBorder="1" applyAlignment="1">
      <alignment horizontal="right" vertical="center" wrapText="1"/>
    </xf>
    <xf numFmtId="4" fontId="3" fillId="3" borderId="5" xfId="1" applyNumberFormat="1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0" fontId="14" fillId="0" borderId="16" xfId="0" applyFont="1" applyBorder="1" applyAlignment="1">
      <alignment horizontal="left"/>
    </xf>
    <xf numFmtId="0" fontId="14" fillId="0" borderId="17" xfId="0" applyFont="1" applyBorder="1" applyAlignment="1">
      <alignment horizontal="left"/>
    </xf>
    <xf numFmtId="0" fontId="14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4" fontId="2" fillId="0" borderId="22" xfId="0" applyNumberFormat="1" applyFont="1" applyBorder="1" applyAlignment="1">
      <alignment horizontal="center"/>
    </xf>
    <xf numFmtId="4" fontId="2" fillId="0" borderId="23" xfId="0" applyNumberFormat="1" applyFont="1" applyBorder="1" applyAlignment="1">
      <alignment horizontal="center"/>
    </xf>
    <xf numFmtId="4" fontId="2" fillId="0" borderId="5" xfId="1" applyNumberFormat="1" applyFont="1" applyBorder="1" applyAlignment="1">
      <alignment horizontal="center" vertical="center"/>
    </xf>
    <xf numFmtId="4" fontId="2" fillId="0" borderId="20" xfId="0" applyNumberFormat="1" applyFont="1" applyBorder="1" applyAlignment="1">
      <alignment horizontal="center" vertical="center" wrapText="1"/>
    </xf>
    <xf numFmtId="4" fontId="2" fillId="0" borderId="21" xfId="0" applyNumberFormat="1" applyFont="1" applyBorder="1" applyAlignment="1">
      <alignment horizontal="center" vertical="center" wrapText="1"/>
    </xf>
    <xf numFmtId="4" fontId="2" fillId="0" borderId="16" xfId="1" applyNumberFormat="1" applyFont="1" applyBorder="1" applyAlignment="1">
      <alignment horizontal="center" vertical="center" wrapText="1"/>
    </xf>
    <xf numFmtId="4" fontId="2" fillId="0" borderId="17" xfId="1" applyNumberFormat="1" applyFont="1" applyBorder="1" applyAlignment="1">
      <alignment horizontal="center" vertical="center" wrapText="1"/>
    </xf>
    <xf numFmtId="2" fontId="2" fillId="3" borderId="18" xfId="1" applyNumberFormat="1" applyFont="1" applyFill="1" applyBorder="1" applyAlignment="1">
      <alignment horizontal="right" vertical="center" wrapText="1"/>
    </xf>
    <xf numFmtId="2" fontId="2" fillId="3" borderId="19" xfId="1" applyNumberFormat="1" applyFont="1" applyFill="1" applyBorder="1" applyAlignment="1">
      <alignment horizontal="right" vertical="center" wrapText="1"/>
    </xf>
    <xf numFmtId="4" fontId="4" fillId="3" borderId="33" xfId="1" applyNumberFormat="1" applyFont="1" applyFill="1" applyBorder="1" applyAlignment="1">
      <alignment horizontal="left" vertical="center" wrapText="1"/>
    </xf>
    <xf numFmtId="4" fontId="4" fillId="3" borderId="34" xfId="1" applyNumberFormat="1" applyFont="1" applyFill="1" applyBorder="1" applyAlignment="1">
      <alignment horizontal="left" vertical="center" wrapText="1"/>
    </xf>
    <xf numFmtId="4" fontId="4" fillId="3" borderId="33" xfId="1" applyNumberFormat="1" applyFont="1" applyFill="1" applyBorder="1" applyAlignment="1">
      <alignment horizontal="center" vertical="center" wrapText="1"/>
    </xf>
    <xf numFmtId="4" fontId="4" fillId="3" borderId="34" xfId="1" applyNumberFormat="1" applyFont="1" applyFill="1" applyBorder="1" applyAlignment="1">
      <alignment horizontal="center" vertical="center" wrapText="1"/>
    </xf>
    <xf numFmtId="4" fontId="4" fillId="3" borderId="35" xfId="1" applyNumberFormat="1" applyFont="1" applyFill="1" applyBorder="1" applyAlignment="1">
      <alignment horizontal="center" vertical="center" wrapText="1"/>
    </xf>
    <xf numFmtId="4" fontId="4" fillId="3" borderId="36" xfId="1" applyNumberFormat="1" applyFont="1" applyFill="1" applyBorder="1" applyAlignment="1">
      <alignment horizontal="center" vertical="center" wrapText="1"/>
    </xf>
    <xf numFmtId="4" fontId="4" fillId="3" borderId="38" xfId="1" applyNumberFormat="1" applyFont="1" applyFill="1" applyBorder="1" applyAlignment="1">
      <alignment horizontal="left" vertical="center" wrapText="1"/>
    </xf>
    <xf numFmtId="4" fontId="2" fillId="2" borderId="6" xfId="1" applyNumberFormat="1" applyFont="1" applyFill="1" applyBorder="1" applyAlignment="1">
      <alignment horizontal="right" vertical="center" wrapText="1"/>
    </xf>
    <xf numFmtId="4" fontId="2" fillId="2" borderId="0" xfId="1" applyNumberFormat="1" applyFont="1" applyFill="1" applyAlignment="1">
      <alignment horizontal="right" vertical="center" wrapText="1"/>
    </xf>
    <xf numFmtId="4" fontId="2" fillId="2" borderId="8" xfId="1" applyNumberFormat="1" applyFont="1" applyFill="1" applyBorder="1" applyAlignment="1">
      <alignment horizontal="left" vertical="center" wrapText="1"/>
    </xf>
    <xf numFmtId="4" fontId="3" fillId="3" borderId="16" xfId="1" applyNumberFormat="1" applyFont="1" applyFill="1" applyBorder="1" applyAlignment="1">
      <alignment horizontal="left" vertical="center" wrapText="1"/>
    </xf>
    <xf numFmtId="4" fontId="3" fillId="3" borderId="17" xfId="1" applyNumberFormat="1" applyFont="1" applyFill="1" applyBorder="1" applyAlignment="1">
      <alignment horizontal="left" vertical="center" wrapText="1"/>
    </xf>
    <xf numFmtId="4" fontId="2" fillId="3" borderId="16" xfId="1" applyNumberFormat="1" applyFont="1" applyFill="1" applyBorder="1" applyAlignment="1">
      <alignment horizontal="left" vertical="center" wrapText="1"/>
    </xf>
    <xf numFmtId="4" fontId="2" fillId="3" borderId="17" xfId="1" applyNumberFormat="1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4" fontId="2" fillId="3" borderId="15" xfId="1" applyNumberFormat="1" applyFont="1" applyFill="1" applyBorder="1" applyAlignment="1">
      <alignment horizontal="center" vertical="center" wrapText="1"/>
    </xf>
    <xf numFmtId="4" fontId="2" fillId="3" borderId="0" xfId="1" applyNumberFormat="1" applyFont="1" applyFill="1" applyAlignment="1">
      <alignment horizontal="center" vertical="center" wrapText="1"/>
    </xf>
    <xf numFmtId="0" fontId="15" fillId="3" borderId="0" xfId="0" applyFont="1" applyFill="1" applyAlignment="1">
      <alignment horizontal="left" vertical="center"/>
    </xf>
    <xf numFmtId="4" fontId="15" fillId="3" borderId="0" xfId="0" applyNumberFormat="1" applyFont="1" applyFill="1" applyAlignment="1">
      <alignment horizontal="center" vertical="center"/>
    </xf>
    <xf numFmtId="0" fontId="15" fillId="3" borderId="0" xfId="0" applyFont="1" applyFill="1" applyAlignment="1">
      <alignment horizontal="right" vertical="center"/>
    </xf>
    <xf numFmtId="0" fontId="15" fillId="3" borderId="0" xfId="1" applyFont="1" applyFill="1" applyAlignment="1">
      <alignment horizontal="right" vertical="center"/>
    </xf>
    <xf numFmtId="0" fontId="17" fillId="3" borderId="0" xfId="0" applyFont="1" applyFill="1" applyAlignment="1">
      <alignment horizontal="left" vertical="center"/>
    </xf>
    <xf numFmtId="4" fontId="17" fillId="3" borderId="0" xfId="0" applyNumberFormat="1" applyFont="1" applyFill="1" applyAlignment="1">
      <alignment horizontal="left" vertical="center"/>
    </xf>
    <xf numFmtId="0" fontId="17" fillId="3" borderId="0" xfId="0" applyFont="1" applyFill="1" applyAlignment="1">
      <alignment horizontal="right" vertical="center"/>
    </xf>
    <xf numFmtId="4" fontId="17" fillId="3" borderId="0" xfId="0" applyNumberFormat="1" applyFont="1" applyFill="1" applyAlignment="1">
      <alignment horizontal="right" vertical="center"/>
    </xf>
    <xf numFmtId="0" fontId="20" fillId="2" borderId="5" xfId="1" applyFont="1" applyFill="1" applyBorder="1" applyAlignment="1">
      <alignment horizontal="center" vertical="center" wrapText="1"/>
    </xf>
    <xf numFmtId="0" fontId="19" fillId="3" borderId="0" xfId="0" applyFont="1" applyFill="1" applyAlignment="1">
      <alignment horizontal="center" vertical="center"/>
    </xf>
    <xf numFmtId="3" fontId="20" fillId="2" borderId="5" xfId="1" applyNumberFormat="1" applyFont="1" applyFill="1" applyBorder="1" applyAlignment="1">
      <alignment horizontal="center" vertical="center" wrapText="1"/>
    </xf>
    <xf numFmtId="0" fontId="20" fillId="2" borderId="5" xfId="1" applyFont="1" applyFill="1" applyBorder="1" applyAlignment="1">
      <alignment horizontal="center" vertical="center"/>
    </xf>
    <xf numFmtId="4" fontId="19" fillId="2" borderId="0" xfId="1" applyNumberFormat="1" applyFont="1" applyFill="1" applyAlignment="1">
      <alignment horizontal="center" vertical="center"/>
    </xf>
    <xf numFmtId="4" fontId="19" fillId="0" borderId="0" xfId="1" applyNumberFormat="1" applyFont="1" applyAlignment="1">
      <alignment horizontal="center" vertical="center"/>
    </xf>
    <xf numFmtId="0" fontId="19" fillId="2" borderId="0" xfId="1" applyFont="1" applyFill="1" applyAlignment="1">
      <alignment horizontal="center" vertical="center"/>
    </xf>
    <xf numFmtId="4" fontId="4" fillId="3" borderId="39" xfId="1" applyNumberFormat="1" applyFont="1" applyFill="1" applyBorder="1" applyAlignment="1">
      <alignment horizontal="left" vertical="center" wrapText="1"/>
    </xf>
    <xf numFmtId="4" fontId="3" fillId="2" borderId="34" xfId="0" applyNumberFormat="1" applyFont="1" applyFill="1" applyBorder="1" applyAlignment="1">
      <alignment horizontal="center" vertical="center"/>
    </xf>
    <xf numFmtId="4" fontId="3" fillId="3" borderId="5" xfId="0" applyNumberFormat="1" applyFont="1" applyFill="1" applyBorder="1" applyAlignment="1">
      <alignment horizontal="left" vertical="center" wrapText="1"/>
    </xf>
    <xf numFmtId="4" fontId="3" fillId="3" borderId="40" xfId="0" applyNumberFormat="1" applyFont="1" applyFill="1" applyBorder="1" applyAlignment="1">
      <alignment horizontal="left" vertical="center" wrapText="1"/>
    </xf>
    <xf numFmtId="4" fontId="3" fillId="3" borderId="17" xfId="0" applyNumberFormat="1" applyFont="1" applyFill="1" applyBorder="1" applyAlignment="1">
      <alignment horizontal="left" vertical="center" wrapText="1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</cellXfs>
  <cellStyles count="2">
    <cellStyle name="Normal" xfId="0" builtinId="0"/>
    <cellStyle name="Обычный_Парк-Плейс. Перечень используемых материалов и работ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J84"/>
  <sheetViews>
    <sheetView tabSelected="1" topLeftCell="A42" zoomScale="115" zoomScaleNormal="115" workbookViewId="0">
      <selection activeCell="H61" sqref="H61"/>
    </sheetView>
  </sheetViews>
  <sheetFormatPr baseColWidth="10" defaultColWidth="8.83203125" defaultRowHeight="15"/>
  <cols>
    <col min="2" max="2" width="31.33203125" bestFit="1" customWidth="1"/>
    <col min="3" max="3" width="5" customWidth="1"/>
    <col min="4" max="4" width="8.5" customWidth="1"/>
  </cols>
  <sheetData>
    <row r="1" spans="1:10">
      <c r="E1" t="s">
        <v>177</v>
      </c>
      <c r="F1" s="196"/>
    </row>
    <row r="2" spans="1:10">
      <c r="E2" s="46"/>
    </row>
    <row r="3" spans="1:10" ht="32">
      <c r="A3" s="217" t="s">
        <v>123</v>
      </c>
      <c r="B3" s="218"/>
      <c r="C3" s="46" t="s">
        <v>0</v>
      </c>
      <c r="D3" s="46"/>
      <c r="E3" s="121"/>
      <c r="G3">
        <f>3</f>
        <v>3</v>
      </c>
      <c r="J3" t="str">
        <f>_xlfn.CONCAT("D",G3)</f>
        <v>D3</v>
      </c>
    </row>
    <row r="4" spans="1:10">
      <c r="A4" s="216"/>
      <c r="B4" s="45" t="s">
        <v>171</v>
      </c>
      <c r="C4" s="44" t="s">
        <v>133</v>
      </c>
      <c r="D4" s="121">
        <v>79.7</v>
      </c>
      <c r="E4" s="121"/>
      <c r="G4" s="48">
        <f>G3+1</f>
        <v>4</v>
      </c>
      <c r="J4" t="str">
        <f>_xlfn.CONCAT("D",G4)</f>
        <v>D4</v>
      </c>
    </row>
    <row r="5" spans="1:10">
      <c r="A5" s="216"/>
      <c r="B5" s="45" t="s">
        <v>172</v>
      </c>
      <c r="C5" s="44" t="s">
        <v>133</v>
      </c>
      <c r="D5" s="121">
        <v>0.3</v>
      </c>
      <c r="E5" s="121"/>
      <c r="F5" s="197"/>
      <c r="G5" s="48">
        <f t="shared" ref="G5:G12" si="0">G4+1</f>
        <v>5</v>
      </c>
      <c r="J5" t="str">
        <f>_xlfn.CONCAT("D",G5)</f>
        <v>D5</v>
      </c>
    </row>
    <row r="6" spans="1:10">
      <c r="A6" s="216"/>
      <c r="B6" s="45"/>
      <c r="C6" s="44"/>
      <c r="D6" s="44"/>
      <c r="E6" s="121"/>
      <c r="F6" s="197"/>
      <c r="G6" s="48">
        <f t="shared" si="0"/>
        <v>6</v>
      </c>
      <c r="J6" t="str">
        <f>_xlfn.CONCAT("D",G6)</f>
        <v>D6</v>
      </c>
    </row>
    <row r="7" spans="1:10">
      <c r="A7" s="216"/>
      <c r="B7" s="45"/>
      <c r="C7" s="44"/>
      <c r="D7" s="44"/>
      <c r="E7" s="121"/>
      <c r="F7" s="197"/>
      <c r="G7" s="48">
        <f t="shared" si="0"/>
        <v>7</v>
      </c>
      <c r="J7" t="str">
        <f>_xlfn.CONCAT("D",G7)</f>
        <v>D7</v>
      </c>
    </row>
    <row r="8" spans="1:10" ht="16">
      <c r="A8" s="216"/>
      <c r="B8" s="122" t="s">
        <v>173</v>
      </c>
      <c r="C8" s="44" t="s">
        <v>133</v>
      </c>
      <c r="D8" s="121">
        <v>0.5</v>
      </c>
      <c r="E8" s="121"/>
      <c r="F8" s="197"/>
      <c r="G8" s="48">
        <f t="shared" si="0"/>
        <v>8</v>
      </c>
      <c r="J8" t="str">
        <f>_xlfn.CONCAT("D",G8)</f>
        <v>D8</v>
      </c>
    </row>
    <row r="9" spans="1:10">
      <c r="A9" s="216"/>
      <c r="B9" s="45" t="s">
        <v>48</v>
      </c>
      <c r="C9" s="44" t="s">
        <v>11</v>
      </c>
      <c r="D9" s="121">
        <v>2</v>
      </c>
      <c r="E9" s="121"/>
      <c r="F9" s="197"/>
      <c r="G9" s="48">
        <f t="shared" si="0"/>
        <v>9</v>
      </c>
      <c r="J9" t="str">
        <f>_xlfn.CONCAT("D",G9)</f>
        <v>D9</v>
      </c>
    </row>
    <row r="10" spans="1:10">
      <c r="A10" s="216"/>
      <c r="B10" s="45" t="s">
        <v>49</v>
      </c>
      <c r="C10" s="44" t="s">
        <v>11</v>
      </c>
      <c r="D10" s="121">
        <v>6</v>
      </c>
      <c r="E10" s="121"/>
      <c r="F10" s="198"/>
      <c r="G10" s="48">
        <f t="shared" si="0"/>
        <v>10</v>
      </c>
      <c r="J10" t="str">
        <f>_xlfn.CONCAT("D",G10)</f>
        <v>D10</v>
      </c>
    </row>
    <row r="11" spans="1:10">
      <c r="A11" s="216"/>
      <c r="B11" s="45" t="s">
        <v>174</v>
      </c>
      <c r="C11" s="44" t="s">
        <v>11</v>
      </c>
      <c r="D11" s="121">
        <v>6</v>
      </c>
      <c r="E11" s="121"/>
      <c r="F11" s="198"/>
      <c r="G11" s="48">
        <f t="shared" si="0"/>
        <v>11</v>
      </c>
      <c r="J11" t="str">
        <f>_xlfn.CONCAT("D",G11)</f>
        <v>D11</v>
      </c>
    </row>
    <row r="12" spans="1:10">
      <c r="A12" s="216"/>
      <c r="B12" s="45" t="s">
        <v>50</v>
      </c>
      <c r="C12" s="44" t="s">
        <v>11</v>
      </c>
      <c r="D12" s="121">
        <v>0</v>
      </c>
      <c r="E12" s="121"/>
      <c r="F12" s="198"/>
      <c r="G12" s="48">
        <f t="shared" si="0"/>
        <v>12</v>
      </c>
      <c r="J12" t="str">
        <f>_xlfn.CONCAT("D",G12)</f>
        <v>D12</v>
      </c>
    </row>
    <row r="13" spans="1:10">
      <c r="A13" s="216"/>
      <c r="B13" s="45"/>
      <c r="C13" s="44"/>
      <c r="D13" s="44"/>
    </row>
    <row r="14" spans="1:10">
      <c r="A14" s="216"/>
      <c r="B14" s="47" t="s">
        <v>75</v>
      </c>
      <c r="C14" s="44" t="s">
        <v>133</v>
      </c>
      <c r="D14" s="121">
        <v>0.2</v>
      </c>
    </row>
    <row r="15" spans="1:10">
      <c r="A15" s="216"/>
      <c r="B15" s="47" t="s">
        <v>76</v>
      </c>
      <c r="C15" s="44" t="s">
        <v>133</v>
      </c>
      <c r="D15" s="121">
        <v>0</v>
      </c>
    </row>
    <row r="16" spans="1:10">
      <c r="A16" s="216"/>
      <c r="B16" s="45" t="s">
        <v>47</v>
      </c>
      <c r="C16" s="44" t="s">
        <v>3</v>
      </c>
      <c r="D16" s="121">
        <v>111.72</v>
      </c>
    </row>
    <row r="17" spans="1:4">
      <c r="A17" s="216"/>
      <c r="B17" s="47"/>
      <c r="C17" s="44"/>
      <c r="D17" s="44"/>
    </row>
    <row r="33" spans="1:10">
      <c r="A33" t="s">
        <v>178</v>
      </c>
      <c r="B33" s="209" t="s">
        <v>7</v>
      </c>
      <c r="C33" s="210"/>
      <c r="D33" s="48" t="s">
        <v>5</v>
      </c>
      <c r="E33" s="65"/>
      <c r="G33" s="48">
        <f>G12+1</f>
        <v>13</v>
      </c>
      <c r="J33" t="str">
        <f>_xlfn.CONCAT("D",G33)</f>
        <v>D13</v>
      </c>
    </row>
    <row r="34" spans="1:10" ht="30">
      <c r="A34" t="s">
        <v>178</v>
      </c>
      <c r="B34" s="105" t="s">
        <v>114</v>
      </c>
      <c r="C34" s="104">
        <v>1500</v>
      </c>
      <c r="D34" s="61" t="s">
        <v>3</v>
      </c>
      <c r="E34" s="65"/>
      <c r="G34" s="48">
        <f>G33+1</f>
        <v>14</v>
      </c>
      <c r="J34" t="str">
        <f>_xlfn.CONCAT("D",G34)</f>
        <v>D14</v>
      </c>
    </row>
    <row r="35" spans="1:10" ht="30">
      <c r="A35" t="s">
        <v>178</v>
      </c>
      <c r="B35" s="105" t="s">
        <v>114</v>
      </c>
      <c r="C35" s="106">
        <v>2000</v>
      </c>
      <c r="D35" s="61" t="s">
        <v>3</v>
      </c>
      <c r="E35" s="65"/>
      <c r="G35" s="48">
        <f>G34+1</f>
        <v>15</v>
      </c>
      <c r="J35" t="str">
        <f>_xlfn.CONCAT("D",G35)</f>
        <v>D15</v>
      </c>
    </row>
    <row r="36" spans="1:10">
      <c r="A36" t="s">
        <v>178</v>
      </c>
      <c r="B36" s="211" t="s">
        <v>9</v>
      </c>
      <c r="C36" s="212"/>
      <c r="D36" s="48" t="s">
        <v>5</v>
      </c>
      <c r="E36" s="65"/>
      <c r="G36" s="48">
        <f>G35+1</f>
        <v>16</v>
      </c>
      <c r="J36" t="str">
        <f>_xlfn.CONCAT("D",G36)</f>
        <v>D16</v>
      </c>
    </row>
    <row r="37" spans="1:10">
      <c r="A37" t="s">
        <v>178</v>
      </c>
      <c r="B37" s="202" t="s">
        <v>17</v>
      </c>
      <c r="C37" s="203"/>
      <c r="D37" s="48" t="s">
        <v>5</v>
      </c>
      <c r="E37" s="65"/>
      <c r="G37" s="48">
        <f>G36+1</f>
        <v>17</v>
      </c>
      <c r="J37" t="str">
        <f>_xlfn.CONCAT("D",G37)</f>
        <v>D17</v>
      </c>
    </row>
    <row r="38" spans="1:10">
      <c r="A38" t="s">
        <v>178</v>
      </c>
      <c r="B38" s="202" t="s">
        <v>130</v>
      </c>
      <c r="C38" s="203"/>
      <c r="D38" s="48" t="s">
        <v>11</v>
      </c>
      <c r="E38" s="65"/>
      <c r="G38" s="48">
        <f>G37+1</f>
        <v>18</v>
      </c>
      <c r="J38" t="str">
        <f>_xlfn.CONCAT("D",G38)</f>
        <v>D18</v>
      </c>
    </row>
    <row r="39" spans="1:10">
      <c r="A39" t="s">
        <v>178</v>
      </c>
      <c r="B39" s="202" t="s">
        <v>129</v>
      </c>
      <c r="C39" s="203"/>
      <c r="D39" s="48" t="s">
        <v>19</v>
      </c>
      <c r="E39" s="65"/>
      <c r="G39" s="48">
        <f>G38+1</f>
        <v>19</v>
      </c>
      <c r="J39" t="str">
        <f>_xlfn.CONCAT("D",G39)</f>
        <v>D19</v>
      </c>
    </row>
    <row r="40" spans="1:10">
      <c r="A40" t="s">
        <v>178</v>
      </c>
      <c r="B40" s="202" t="s">
        <v>131</v>
      </c>
      <c r="C40" s="203"/>
      <c r="D40" s="48" t="s">
        <v>19</v>
      </c>
      <c r="E40" s="65"/>
      <c r="G40" s="48">
        <f>G39+1</f>
        <v>20</v>
      </c>
      <c r="J40" t="str">
        <f>_xlfn.CONCAT("D",G40)</f>
        <v>D20</v>
      </c>
    </row>
    <row r="41" spans="1:10">
      <c r="A41" t="s">
        <v>178</v>
      </c>
      <c r="B41" s="202" t="s">
        <v>132</v>
      </c>
      <c r="C41" s="203"/>
      <c r="D41" s="48" t="s">
        <v>10</v>
      </c>
      <c r="E41" s="65"/>
      <c r="G41" s="48">
        <f>G40+1</f>
        <v>21</v>
      </c>
      <c r="J41" t="str">
        <f>_xlfn.CONCAT("D",G41)</f>
        <v>D21</v>
      </c>
    </row>
    <row r="42" spans="1:10">
      <c r="A42" t="s">
        <v>178</v>
      </c>
      <c r="B42" s="213" t="s">
        <v>18</v>
      </c>
      <c r="C42" s="214"/>
      <c r="D42" s="48" t="s">
        <v>19</v>
      </c>
      <c r="E42" s="65"/>
      <c r="G42" s="48">
        <f>G41+1</f>
        <v>22</v>
      </c>
      <c r="J42" t="str">
        <f>_xlfn.CONCAT("D",G42)</f>
        <v>D22</v>
      </c>
    </row>
    <row r="43" spans="1:10" ht="30">
      <c r="A43" t="s">
        <v>178</v>
      </c>
      <c r="B43" s="215" t="s">
        <v>20</v>
      </c>
      <c r="C43" s="203"/>
      <c r="D43" s="48" t="s">
        <v>19</v>
      </c>
      <c r="E43" s="65"/>
      <c r="G43" s="48">
        <f>G42+1</f>
        <v>23</v>
      </c>
      <c r="J43" t="str">
        <f>_xlfn.CONCAT("D",G43)</f>
        <v>D23</v>
      </c>
    </row>
    <row r="44" spans="1:10">
      <c r="A44" t="s">
        <v>178</v>
      </c>
      <c r="B44" s="202" t="s">
        <v>21</v>
      </c>
      <c r="C44" s="203"/>
      <c r="D44" s="48" t="s">
        <v>3</v>
      </c>
      <c r="E44" s="65"/>
      <c r="G44" s="48">
        <f>G43+1</f>
        <v>24</v>
      </c>
      <c r="J44" t="str">
        <f>_xlfn.CONCAT("D",G44)</f>
        <v>D24</v>
      </c>
    </row>
    <row r="45" spans="1:10">
      <c r="A45" t="s">
        <v>178</v>
      </c>
      <c r="B45" s="204" t="s">
        <v>24</v>
      </c>
      <c r="C45" s="205"/>
      <c r="D45" s="48" t="s">
        <v>23</v>
      </c>
      <c r="E45" s="65"/>
      <c r="F45" s="142"/>
      <c r="G45" s="48">
        <f>G44+1</f>
        <v>25</v>
      </c>
      <c r="J45" t="str">
        <f>_xlfn.CONCAT("D",G45)</f>
        <v>D25</v>
      </c>
    </row>
    <row r="46" spans="1:10">
      <c r="A46" t="s">
        <v>178</v>
      </c>
      <c r="B46" s="206" t="s">
        <v>25</v>
      </c>
      <c r="C46" s="205"/>
      <c r="D46" s="48" t="s">
        <v>23</v>
      </c>
      <c r="E46" s="65"/>
      <c r="F46" s="142"/>
      <c r="G46" s="48">
        <f>G45+1</f>
        <v>26</v>
      </c>
      <c r="J46" t="str">
        <f>_xlfn.CONCAT("D",G46)</f>
        <v>D26</v>
      </c>
    </row>
    <row r="47" spans="1:10">
      <c r="A47" t="s">
        <v>178</v>
      </c>
      <c r="B47" s="207" t="s">
        <v>28</v>
      </c>
      <c r="C47" s="208"/>
      <c r="D47" s="48" t="s">
        <v>23</v>
      </c>
      <c r="E47" s="65"/>
      <c r="F47" s="109"/>
      <c r="G47" s="48">
        <f>G46+1</f>
        <v>27</v>
      </c>
      <c r="J47" t="str">
        <f>_xlfn.CONCAT("D",G47)</f>
        <v>D27</v>
      </c>
    </row>
    <row r="48" spans="1:10">
      <c r="A48" t="s">
        <v>178</v>
      </c>
      <c r="B48" s="199" t="s">
        <v>31</v>
      </c>
      <c r="C48" s="200"/>
      <c r="D48" s="48" t="s">
        <v>5</v>
      </c>
      <c r="E48" s="65"/>
      <c r="G48" s="48">
        <f>G47+1</f>
        <v>28</v>
      </c>
      <c r="J48" t="str">
        <f>_xlfn.CONCAT("D",G48)</f>
        <v>D28</v>
      </c>
    </row>
    <row r="49" spans="1:10">
      <c r="A49" t="s">
        <v>178</v>
      </c>
      <c r="B49" s="199" t="s">
        <v>101</v>
      </c>
      <c r="C49" s="200"/>
      <c r="D49" s="48" t="s">
        <v>11</v>
      </c>
      <c r="E49" s="65"/>
      <c r="G49" s="48">
        <f>G48+1</f>
        <v>29</v>
      </c>
      <c r="J49" t="str">
        <f>_xlfn.CONCAT("D",G49)</f>
        <v>D29</v>
      </c>
    </row>
    <row r="50" spans="1:10">
      <c r="A50" t="s">
        <v>178</v>
      </c>
      <c r="B50" s="118" t="s">
        <v>126</v>
      </c>
      <c r="C50" s="118"/>
      <c r="D50" s="48" t="s">
        <v>11</v>
      </c>
      <c r="E50" s="65"/>
      <c r="G50" s="48">
        <f>G49+1</f>
        <v>30</v>
      </c>
      <c r="J50" t="str">
        <f>_xlfn.CONCAT("D",G50)</f>
        <v>D30</v>
      </c>
    </row>
    <row r="51" spans="1:10">
      <c r="A51" t="s">
        <v>178</v>
      </c>
      <c r="B51" s="118" t="s">
        <v>137</v>
      </c>
      <c r="C51" s="118"/>
      <c r="D51" s="48" t="s">
        <v>8</v>
      </c>
      <c r="E51" s="65"/>
      <c r="G51" s="48">
        <f>G50+1</f>
        <v>31</v>
      </c>
      <c r="J51" t="str">
        <f>_xlfn.CONCAT("D",G51)</f>
        <v>D31</v>
      </c>
    </row>
    <row r="52" spans="1:10">
      <c r="A52" t="s">
        <v>178</v>
      </c>
      <c r="B52" s="255" t="s">
        <v>141</v>
      </c>
      <c r="C52" s="255"/>
      <c r="D52" s="48" t="s">
        <v>140</v>
      </c>
      <c r="E52" s="65"/>
      <c r="G52" s="48">
        <f>G51+1</f>
        <v>32</v>
      </c>
      <c r="J52" t="str">
        <f>_xlfn.CONCAT("D",G52)</f>
        <v>D32</v>
      </c>
    </row>
    <row r="53" spans="1:10">
      <c r="A53" t="s">
        <v>178</v>
      </c>
      <c r="B53" s="310" t="s">
        <v>7</v>
      </c>
      <c r="C53" s="210"/>
      <c r="D53" s="48" t="s">
        <v>5</v>
      </c>
      <c r="E53" s="65"/>
      <c r="G53" s="48">
        <f>G52+1</f>
        <v>33</v>
      </c>
      <c r="J53" t="str">
        <f>_xlfn.CONCAT("D",G53)</f>
        <v>D33</v>
      </c>
    </row>
    <row r="54" spans="1:10" ht="30">
      <c r="A54" t="s">
        <v>178</v>
      </c>
      <c r="B54" s="105" t="s">
        <v>114</v>
      </c>
      <c r="C54" s="104">
        <v>1500</v>
      </c>
      <c r="D54" s="61" t="s">
        <v>3</v>
      </c>
      <c r="E54" s="65"/>
      <c r="G54" s="48">
        <f>G53+1</f>
        <v>34</v>
      </c>
      <c r="J54" t="str">
        <f>_xlfn.CONCAT("D",G54)</f>
        <v>D34</v>
      </c>
    </row>
    <row r="55" spans="1:10" ht="30">
      <c r="A55" t="s">
        <v>178</v>
      </c>
      <c r="B55" s="105" t="s">
        <v>114</v>
      </c>
      <c r="C55" s="106">
        <v>2000</v>
      </c>
      <c r="D55" s="61" t="s">
        <v>3</v>
      </c>
      <c r="E55" s="65"/>
      <c r="G55" s="48">
        <f>G54+1</f>
        <v>35</v>
      </c>
      <c r="J55" t="str">
        <f>_xlfn.CONCAT("D",G55)</f>
        <v>D35</v>
      </c>
    </row>
    <row r="56" spans="1:10">
      <c r="A56" t="s">
        <v>178</v>
      </c>
      <c r="B56" s="211" t="s">
        <v>9</v>
      </c>
      <c r="C56" s="214"/>
      <c r="D56" s="48" t="s">
        <v>5</v>
      </c>
      <c r="E56" s="65"/>
      <c r="G56" s="48">
        <f>G55+1</f>
        <v>36</v>
      </c>
      <c r="J56" t="str">
        <f>_xlfn.CONCAT("D",G56)</f>
        <v>D36</v>
      </c>
    </row>
    <row r="57" spans="1:10">
      <c r="A57" t="s">
        <v>178</v>
      </c>
      <c r="B57" s="202" t="s">
        <v>17</v>
      </c>
      <c r="C57" s="203"/>
      <c r="D57" s="48" t="s">
        <v>5</v>
      </c>
      <c r="E57" s="65"/>
      <c r="F57" s="142"/>
      <c r="G57" s="48">
        <f>G56+1</f>
        <v>37</v>
      </c>
      <c r="J57" t="str">
        <f>_xlfn.CONCAT("D",G57)</f>
        <v>D37</v>
      </c>
    </row>
    <row r="58" spans="1:10">
      <c r="A58" t="s">
        <v>178</v>
      </c>
      <c r="B58" s="202" t="s">
        <v>130</v>
      </c>
      <c r="C58" s="203"/>
      <c r="D58" s="48" t="s">
        <v>11</v>
      </c>
      <c r="E58" s="65"/>
      <c r="G58" s="48">
        <f>G57+1</f>
        <v>38</v>
      </c>
      <c r="J58" t="str">
        <f>_xlfn.CONCAT("D",G58)</f>
        <v>D38</v>
      </c>
    </row>
    <row r="59" spans="1:10">
      <c r="A59" t="s">
        <v>178</v>
      </c>
      <c r="B59" s="202" t="s">
        <v>129</v>
      </c>
      <c r="C59" s="203"/>
      <c r="D59" s="48" t="s">
        <v>19</v>
      </c>
      <c r="E59" s="65"/>
      <c r="G59" s="48">
        <f>G58+1</f>
        <v>39</v>
      </c>
      <c r="J59" t="str">
        <f>_xlfn.CONCAT("D",G59)</f>
        <v>D39</v>
      </c>
    </row>
    <row r="60" spans="1:10">
      <c r="A60" t="s">
        <v>178</v>
      </c>
      <c r="B60" s="201" t="s">
        <v>115</v>
      </c>
      <c r="C60" s="201"/>
      <c r="D60" s="48" t="s">
        <v>11</v>
      </c>
      <c r="E60" s="65"/>
      <c r="F60" s="108"/>
      <c r="G60" s="48">
        <f>G59+1</f>
        <v>40</v>
      </c>
      <c r="J60" t="str">
        <f>_xlfn.CONCAT("D",G60)</f>
        <v>D40</v>
      </c>
    </row>
    <row r="61" spans="1:10">
      <c r="A61" t="s">
        <v>178</v>
      </c>
      <c r="B61" s="201" t="s">
        <v>118</v>
      </c>
      <c r="C61" s="201"/>
      <c r="D61" s="48" t="s">
        <v>119</v>
      </c>
      <c r="E61" s="65"/>
      <c r="F61" s="109"/>
      <c r="G61" s="48">
        <f>G60+1</f>
        <v>41</v>
      </c>
      <c r="J61" t="str">
        <f>_xlfn.CONCAT("D",G61)</f>
        <v>D41</v>
      </c>
    </row>
    <row r="62" spans="1:10">
      <c r="A62" t="s">
        <v>178</v>
      </c>
      <c r="B62" s="201" t="s">
        <v>122</v>
      </c>
      <c r="C62" s="201"/>
      <c r="D62" s="48" t="s">
        <v>121</v>
      </c>
      <c r="E62" s="65"/>
      <c r="F62" s="108"/>
      <c r="G62" s="48">
        <f>G61+1</f>
        <v>42</v>
      </c>
      <c r="J62" t="str">
        <f>_xlfn.CONCAT("D",G62)</f>
        <v>D42</v>
      </c>
    </row>
    <row r="63" spans="1:10">
      <c r="A63" t="s">
        <v>178</v>
      </c>
      <c r="B63" s="35" t="s">
        <v>35</v>
      </c>
      <c r="D63" s="32" t="s">
        <v>36</v>
      </c>
      <c r="E63" s="112"/>
      <c r="F63" s="111">
        <v>120</v>
      </c>
      <c r="G63" s="48">
        <f>G62+1</f>
        <v>43</v>
      </c>
      <c r="J63" t="str">
        <f>_xlfn.CONCAT("D",G63)</f>
        <v>D43</v>
      </c>
    </row>
    <row r="64" spans="1:10">
      <c r="A64" t="s">
        <v>178</v>
      </c>
      <c r="B64" s="35" t="s">
        <v>107</v>
      </c>
      <c r="D64" s="32" t="s">
        <v>36</v>
      </c>
      <c r="E64" s="112"/>
      <c r="F64" s="111">
        <v>120</v>
      </c>
      <c r="G64" s="48">
        <f>G63+1</f>
        <v>44</v>
      </c>
      <c r="J64" t="str">
        <f>_xlfn.CONCAT("D",G64)</f>
        <v>D44</v>
      </c>
    </row>
    <row r="65" spans="1:10">
      <c r="A65" t="s">
        <v>178</v>
      </c>
      <c r="B65" s="35" t="s">
        <v>108</v>
      </c>
      <c r="D65" s="32" t="s">
        <v>36</v>
      </c>
      <c r="E65" s="112"/>
      <c r="G65" s="48">
        <f>G64+1</f>
        <v>45</v>
      </c>
      <c r="J65" t="str">
        <f>_xlfn.CONCAT("D",G65)</f>
        <v>D45</v>
      </c>
    </row>
    <row r="66" spans="1:10">
      <c r="A66" t="s">
        <v>178</v>
      </c>
      <c r="B66" s="38" t="s">
        <v>37</v>
      </c>
      <c r="D66" s="39" t="s">
        <v>36</v>
      </c>
      <c r="E66" s="113"/>
      <c r="G66" s="48">
        <f>G65+1</f>
        <v>46</v>
      </c>
      <c r="J66" t="str">
        <f>_xlfn.CONCAT("D",G66)</f>
        <v>D46</v>
      </c>
    </row>
    <row r="67" spans="1:10" ht="34">
      <c r="A67" t="s">
        <v>179</v>
      </c>
      <c r="B67" s="194" t="s">
        <v>2</v>
      </c>
      <c r="D67" s="193" t="s">
        <v>3</v>
      </c>
      <c r="E67" s="195"/>
      <c r="G67" s="48">
        <f>G66+1</f>
        <v>47</v>
      </c>
      <c r="J67" t="str">
        <f>_xlfn.CONCAT("D",G67)</f>
        <v>D47</v>
      </c>
    </row>
    <row r="68" spans="1:10" ht="17">
      <c r="A68" t="s">
        <v>179</v>
      </c>
      <c r="B68" s="194" t="s">
        <v>166</v>
      </c>
      <c r="D68" s="193" t="s">
        <v>5</v>
      </c>
      <c r="E68" s="195"/>
      <c r="G68" s="48">
        <f>G67+1</f>
        <v>48</v>
      </c>
      <c r="J68" t="str">
        <f>_xlfn.CONCAT("D",G68)</f>
        <v>D48</v>
      </c>
    </row>
    <row r="69" spans="1:10" ht="17">
      <c r="A69" t="s">
        <v>179</v>
      </c>
      <c r="B69" s="194" t="s">
        <v>6</v>
      </c>
      <c r="D69" s="193" t="s">
        <v>3</v>
      </c>
      <c r="E69" s="195"/>
      <c r="G69" s="48">
        <f>G68+1</f>
        <v>49</v>
      </c>
      <c r="J69" t="str">
        <f>_xlfn.CONCAT("D",G69)</f>
        <v>D49</v>
      </c>
    </row>
    <row r="70" spans="1:10" ht="34">
      <c r="A70" t="s">
        <v>179</v>
      </c>
      <c r="B70" s="194" t="s">
        <v>167</v>
      </c>
      <c r="D70" s="193" t="s">
        <v>5</v>
      </c>
      <c r="E70" s="195"/>
      <c r="G70" s="48">
        <f>G69+1</f>
        <v>50</v>
      </c>
      <c r="J70" t="str">
        <f>_xlfn.CONCAT("D",G70)</f>
        <v>D50</v>
      </c>
    </row>
    <row r="71" spans="1:10" ht="17">
      <c r="A71" t="s">
        <v>179</v>
      </c>
      <c r="B71" s="194" t="s">
        <v>168</v>
      </c>
      <c r="D71" s="193" t="s">
        <v>3</v>
      </c>
      <c r="E71" s="195"/>
      <c r="G71" s="48">
        <f>G70+1</f>
        <v>51</v>
      </c>
      <c r="J71" t="str">
        <f>_xlfn.CONCAT("D",G71)</f>
        <v>D51</v>
      </c>
    </row>
    <row r="72" spans="1:10" ht="34">
      <c r="A72" t="s">
        <v>179</v>
      </c>
      <c r="B72" s="194" t="s">
        <v>169</v>
      </c>
      <c r="D72" s="193" t="s">
        <v>5</v>
      </c>
      <c r="E72" s="195"/>
      <c r="G72" s="48">
        <f>G71+1</f>
        <v>52</v>
      </c>
      <c r="J72" t="str">
        <f>_xlfn.CONCAT("D",G72)</f>
        <v>D52</v>
      </c>
    </row>
    <row r="73" spans="1:10" ht="17">
      <c r="A73" t="s">
        <v>179</v>
      </c>
      <c r="B73" s="194" t="s">
        <v>103</v>
      </c>
      <c r="D73" s="193" t="s">
        <v>3</v>
      </c>
      <c r="E73" s="195"/>
      <c r="G73" s="48">
        <f>G72+1</f>
        <v>53</v>
      </c>
      <c r="J73" t="str">
        <f>_xlfn.CONCAT("D",G73)</f>
        <v>D53</v>
      </c>
    </row>
    <row r="74" spans="1:10" ht="34">
      <c r="A74" t="s">
        <v>179</v>
      </c>
      <c r="B74" s="194" t="s">
        <v>99</v>
      </c>
      <c r="D74" s="193" t="s">
        <v>23</v>
      </c>
      <c r="E74" s="195"/>
      <c r="G74" s="48">
        <f>G73+1</f>
        <v>54</v>
      </c>
      <c r="J74" t="str">
        <f>_xlfn.CONCAT("D",G74)</f>
        <v>D54</v>
      </c>
    </row>
    <row r="75" spans="1:10" ht="17">
      <c r="A75" t="s">
        <v>179</v>
      </c>
      <c r="B75" s="194" t="s">
        <v>98</v>
      </c>
      <c r="D75" s="193" t="s">
        <v>11</v>
      </c>
      <c r="E75" s="195"/>
      <c r="G75" s="48">
        <f>G74+1</f>
        <v>55</v>
      </c>
      <c r="J75" t="str">
        <f>_xlfn.CONCAT("D",G75)</f>
        <v>D55</v>
      </c>
    </row>
    <row r="76" spans="1:10" ht="17">
      <c r="A76" t="s">
        <v>179</v>
      </c>
      <c r="B76" s="194" t="s">
        <v>27</v>
      </c>
      <c r="D76" s="193" t="s">
        <v>11</v>
      </c>
      <c r="E76" s="195"/>
      <c r="G76" s="48">
        <f>G75+1</f>
        <v>56</v>
      </c>
      <c r="J76" t="str">
        <f>_xlfn.CONCAT("D",G76)</f>
        <v>D56</v>
      </c>
    </row>
    <row r="77" spans="1:10" ht="17">
      <c r="A77" t="s">
        <v>179</v>
      </c>
      <c r="B77" s="194" t="s">
        <v>105</v>
      </c>
      <c r="D77" s="193" t="s">
        <v>11</v>
      </c>
      <c r="E77" s="195"/>
      <c r="G77" s="48">
        <f>G76+1</f>
        <v>57</v>
      </c>
      <c r="J77" t="str">
        <f>_xlfn.CONCAT("D",G77)</f>
        <v>D57</v>
      </c>
    </row>
    <row r="78" spans="1:10" ht="17">
      <c r="A78" t="s">
        <v>179</v>
      </c>
      <c r="B78" s="194" t="s">
        <v>127</v>
      </c>
      <c r="D78" s="193" t="s">
        <v>11</v>
      </c>
      <c r="E78" s="195"/>
      <c r="G78" s="48">
        <f>G77+1</f>
        <v>58</v>
      </c>
      <c r="J78" t="str">
        <f>_xlfn.CONCAT("D",G78)</f>
        <v>D58</v>
      </c>
    </row>
    <row r="79" spans="1:10" ht="17">
      <c r="A79" t="s">
        <v>179</v>
      </c>
      <c r="B79" s="194" t="s">
        <v>128</v>
      </c>
      <c r="D79" s="193" t="s">
        <v>11</v>
      </c>
      <c r="E79" s="195"/>
      <c r="G79" s="48">
        <f>G78+1</f>
        <v>59</v>
      </c>
      <c r="J79" t="str">
        <f>_xlfn.CONCAT("D",G79)</f>
        <v>D59</v>
      </c>
    </row>
    <row r="80" spans="1:10" ht="17">
      <c r="A80" t="s">
        <v>179</v>
      </c>
      <c r="B80" s="194" t="s">
        <v>106</v>
      </c>
      <c r="D80" s="193" t="s">
        <v>11</v>
      </c>
      <c r="E80" s="195"/>
      <c r="G80" s="48">
        <f>G79+1</f>
        <v>60</v>
      </c>
      <c r="J80" t="str">
        <f>_xlfn.CONCAT("D",G80)</f>
        <v>D60</v>
      </c>
    </row>
    <row r="81" spans="1:10" ht="17">
      <c r="A81" t="s">
        <v>179</v>
      </c>
      <c r="B81" s="194" t="s">
        <v>125</v>
      </c>
      <c r="D81" s="193" t="s">
        <v>11</v>
      </c>
      <c r="E81" s="195"/>
      <c r="G81" s="48">
        <f>G80+1</f>
        <v>61</v>
      </c>
      <c r="J81" t="str">
        <f>_xlfn.CONCAT("D",G81)</f>
        <v>D61</v>
      </c>
    </row>
    <row r="82" spans="1:10" ht="34">
      <c r="A82" t="s">
        <v>179</v>
      </c>
      <c r="B82" s="194" t="s">
        <v>30</v>
      </c>
      <c r="D82" s="193" t="s">
        <v>5</v>
      </c>
      <c r="E82" s="195"/>
      <c r="G82" s="48">
        <f>G81+1</f>
        <v>62</v>
      </c>
      <c r="J82" t="str">
        <f>_xlfn.CONCAT("D",G82)</f>
        <v>D62</v>
      </c>
    </row>
    <row r="83" spans="1:10" ht="34">
      <c r="A83" t="s">
        <v>179</v>
      </c>
      <c r="B83" s="194" t="s">
        <v>136</v>
      </c>
      <c r="D83" s="193" t="s">
        <v>3</v>
      </c>
      <c r="E83" s="195"/>
      <c r="G83" s="48">
        <f>G82+1</f>
        <v>63</v>
      </c>
      <c r="J83" t="str">
        <f>_xlfn.CONCAT("D",G83)</f>
        <v>D63</v>
      </c>
    </row>
    <row r="84" spans="1:10" ht="34">
      <c r="A84" t="s">
        <v>179</v>
      </c>
      <c r="B84" s="194" t="s">
        <v>33</v>
      </c>
      <c r="D84" s="193" t="s">
        <v>170</v>
      </c>
      <c r="E84" s="195"/>
      <c r="G84" s="48">
        <f>G83+1</f>
        <v>64</v>
      </c>
      <c r="J84" t="str">
        <f>_xlfn.CONCAT("D",G84)</f>
        <v>D64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4:A17"/>
    <mergeCell ref="A3:B3"/>
    <mergeCell ref="B52:C52"/>
  </mergeCells>
  <phoneticPr fontId="2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>
    <tabColor rgb="FFFF0000"/>
  </sheetPr>
  <dimension ref="A1:T35"/>
  <sheetViews>
    <sheetView topLeftCell="A22" zoomScale="110" zoomScaleNormal="110" workbookViewId="0">
      <selection activeCell="H17" sqref="H17"/>
    </sheetView>
  </sheetViews>
  <sheetFormatPr baseColWidth="10" defaultColWidth="8.83203125" defaultRowHeight="15"/>
  <cols>
    <col min="1" max="1" width="11.1640625" bestFit="1" customWidth="1"/>
    <col min="2" max="2" width="10" bestFit="1" customWidth="1"/>
    <col min="3" max="3" width="19.33203125" customWidth="1"/>
    <col min="4" max="4" width="6.1640625" style="48" customWidth="1"/>
    <col min="5" max="5" width="11" bestFit="1" customWidth="1"/>
    <col min="6" max="6" width="2.83203125" style="48" bestFit="1" customWidth="1"/>
    <col min="7" max="7" width="18.6640625" customWidth="1"/>
    <col min="8" max="8" width="9.1640625" customWidth="1"/>
    <col min="9" max="9" width="11.33203125" customWidth="1"/>
    <col min="10" max="10" width="6" style="48" customWidth="1"/>
    <col min="11" max="11" width="8.33203125" bestFit="1" customWidth="1"/>
    <col min="13" max="13" width="4.5" bestFit="1" customWidth="1"/>
  </cols>
  <sheetData>
    <row r="1" spans="1:20" ht="16">
      <c r="A1" s="50"/>
      <c r="B1" s="51"/>
      <c r="C1" s="51"/>
      <c r="D1" s="60"/>
      <c r="E1" s="230" t="s">
        <v>71</v>
      </c>
      <c r="F1" s="230"/>
      <c r="G1" s="231"/>
      <c r="H1" s="50"/>
      <c r="I1" s="236" t="s">
        <v>79</v>
      </c>
      <c r="J1" s="236"/>
      <c r="K1" s="236"/>
      <c r="L1" s="237"/>
      <c r="M1" s="50"/>
      <c r="N1" s="225" t="s">
        <v>112</v>
      </c>
      <c r="O1" s="225"/>
      <c r="P1" s="226"/>
    </row>
    <row r="2" spans="1:20">
      <c r="A2" s="219" t="s">
        <v>56</v>
      </c>
      <c r="B2" s="220"/>
      <c r="C2" s="220"/>
      <c r="G2" s="53"/>
      <c r="H2" s="219" t="s">
        <v>72</v>
      </c>
      <c r="I2" s="220"/>
      <c r="L2" s="53"/>
      <c r="M2" s="66"/>
      <c r="N2" s="134" t="e">
        <f>ROUNDUP(данные!D36/100,0)</f>
        <v>#VALUE!</v>
      </c>
      <c r="P2" s="53"/>
    </row>
    <row r="3" spans="1:20" s="49" customFormat="1" ht="16" thickBot="1">
      <c r="A3" s="54"/>
      <c r="B3" s="49">
        <f>данные!D4/5.45</f>
        <v>14.623853211009175</v>
      </c>
      <c r="C3" s="146">
        <f>ROUNDUP(B3,0)*5.85</f>
        <v>87.75</v>
      </c>
      <c r="D3" s="61" t="s">
        <v>10</v>
      </c>
      <c r="F3" s="61"/>
      <c r="G3" s="55"/>
      <c r="H3" s="64" t="e">
        <f>данные!D4*(данные!D5+0.1)*(0.1+данные!D34+данные!D35+данные!D33/2)+данные!D6*(данные!D7+0.1)*(0.1+данные!D34+данные!D35+данные!D33/2)</f>
        <v>#VALUE!</v>
      </c>
      <c r="I3" s="134" t="e">
        <f>H3</f>
        <v>#VALUE!</v>
      </c>
      <c r="J3" s="61" t="s">
        <v>5</v>
      </c>
      <c r="L3" s="55"/>
      <c r="M3" s="72"/>
      <c r="N3" s="73"/>
      <c r="O3" s="73"/>
      <c r="P3" s="74"/>
    </row>
    <row r="4" spans="1:20">
      <c r="A4" s="219" t="s">
        <v>57</v>
      </c>
      <c r="B4" s="220"/>
      <c r="C4" s="220"/>
      <c r="G4" s="53"/>
      <c r="H4" s="219" t="s">
        <v>73</v>
      </c>
      <c r="I4" s="220"/>
      <c r="L4" s="53"/>
    </row>
    <row r="5" spans="1:20" s="49" customFormat="1">
      <c r="A5" s="54"/>
      <c r="B5" s="49">
        <f>данные!D6/5.45</f>
        <v>0</v>
      </c>
      <c r="C5" s="146">
        <f>ROUNDUP(B5,0)*5.85</f>
        <v>0</v>
      </c>
      <c r="D5" s="61" t="s">
        <v>10</v>
      </c>
      <c r="F5" s="61"/>
      <c r="G5" s="55"/>
      <c r="H5" s="64">
        <f>данные!D4*(данные!D5+0.1)+данные!D6*(данные!D7+0.1)</f>
        <v>31.880000000000003</v>
      </c>
      <c r="I5" s="134">
        <f>H5</f>
        <v>31.880000000000003</v>
      </c>
      <c r="J5" s="61" t="s">
        <v>3</v>
      </c>
      <c r="L5" s="55"/>
    </row>
    <row r="6" spans="1:20">
      <c r="A6" s="219" t="s">
        <v>53</v>
      </c>
      <c r="B6" s="220"/>
      <c r="C6" s="220"/>
      <c r="G6" s="53"/>
      <c r="H6" s="232" t="s">
        <v>77</v>
      </c>
      <c r="I6" s="233"/>
      <c r="L6" s="53"/>
    </row>
    <row r="7" spans="1:20" s="49" customFormat="1">
      <c r="A7" s="54"/>
      <c r="B7" s="49">
        <f>(данные!D5-0.06)/0.17</f>
        <v>1.4117647058823528</v>
      </c>
      <c r="C7" s="146">
        <f>ROUNDUP(B7,0)</f>
        <v>2</v>
      </c>
      <c r="D7" s="61" t="s">
        <v>59</v>
      </c>
      <c r="F7" s="61"/>
      <c r="G7" s="55"/>
      <c r="H7" s="64" t="e">
        <f>H5*данные!D34</f>
        <v>#VALUE!</v>
      </c>
      <c r="I7" s="134" t="e">
        <f>H7</f>
        <v>#VALUE!</v>
      </c>
      <c r="J7" s="61" t="s">
        <v>5</v>
      </c>
      <c r="L7" s="55"/>
    </row>
    <row r="8" spans="1:20">
      <c r="A8" s="219" t="s">
        <v>51</v>
      </c>
      <c r="B8" s="220"/>
      <c r="C8" s="220"/>
      <c r="G8" s="53"/>
      <c r="H8" s="66" t="s">
        <v>78</v>
      </c>
      <c r="L8" s="53"/>
    </row>
    <row r="9" spans="1:20" s="49" customFormat="1">
      <c r="A9" s="54"/>
      <c r="B9" s="49">
        <f>IF(данные!D6=0,0,(данные!D7-0.06)/0.15)</f>
        <v>0</v>
      </c>
      <c r="C9" s="146">
        <f>ROUNDUP(B9,0)</f>
        <v>0</v>
      </c>
      <c r="D9" s="61" t="s">
        <v>59</v>
      </c>
      <c r="F9" s="61"/>
      <c r="G9" s="55"/>
      <c r="H9" s="64" t="e">
        <f>I5*данные!D35</f>
        <v>#VALUE!</v>
      </c>
      <c r="I9" s="134" t="e">
        <f>H9</f>
        <v>#VALUE!</v>
      </c>
      <c r="J9" s="61" t="s">
        <v>5</v>
      </c>
      <c r="L9" s="55"/>
    </row>
    <row r="10" spans="1:20" s="49" customFormat="1">
      <c r="A10" s="219" t="s">
        <v>60</v>
      </c>
      <c r="B10" s="220"/>
      <c r="C10" s="220"/>
      <c r="D10" s="48"/>
      <c r="E10" t="s">
        <v>52</v>
      </c>
      <c r="F10" s="48"/>
      <c r="G10" s="53"/>
      <c r="H10" s="234" t="s">
        <v>74</v>
      </c>
      <c r="I10" s="235"/>
      <c r="J10" s="61"/>
      <c r="L10" s="55"/>
    </row>
    <row r="11" spans="1:20" s="49" customFormat="1" ht="33" thickBot="1">
      <c r="A11" s="54"/>
      <c r="B11" s="49" t="e">
        <f>(данные!D8+данные!D33)/0.3+1</f>
        <v>#VALUE!</v>
      </c>
      <c r="C11" s="146" t="e">
        <f>ROUNDUP(B11,0)</f>
        <v>#VALUE!</v>
      </c>
      <c r="D11" s="61" t="s">
        <v>59</v>
      </c>
      <c r="E11" s="131" t="e">
        <f>(C11*C7*C3+C11*C9*C5)*0.889/1000*1.05</f>
        <v>#VALUE!</v>
      </c>
      <c r="F11" s="61" t="s">
        <v>23</v>
      </c>
      <c r="G11" s="56" t="s">
        <v>66</v>
      </c>
      <c r="H11" s="135" t="e">
        <f>(данные!D4)*(данные!D5+0.1+0.1*2+данные!D33+(данные!D34+данные!D35)*2)+(данные!D6*(данные!D7+0.1+0.1*2+данные!D33+(данные!D34+данные!D35)*2))+(данные!D9+данные!D10+данные!D11+данные!D12)*((данные!D5+0.1)*2)</f>
        <v>#VALUE!</v>
      </c>
      <c r="I11" s="65">
        <f>ROUNDUP((данные!D4+данные!D6)/1000/48,0)</f>
        <v>1</v>
      </c>
      <c r="J11" s="61" t="s">
        <v>3</v>
      </c>
      <c r="K11" s="133" t="e">
        <f>IF((данные!D5+0.1+0.1*2+данные!D33+(данные!D34+данные!D35)*2)&lt;1.5,1500,2000)</f>
        <v>#VALUE!</v>
      </c>
      <c r="L11" s="55"/>
      <c r="N11" s="67" t="s">
        <v>85</v>
      </c>
    </row>
    <row r="12" spans="1:20">
      <c r="A12" s="219" t="s">
        <v>63</v>
      </c>
      <c r="B12" s="220"/>
      <c r="C12" s="220"/>
      <c r="G12" s="53"/>
      <c r="H12" s="68"/>
      <c r="I12" s="51"/>
      <c r="J12" s="60"/>
      <c r="K12" s="51"/>
      <c r="L12" s="51"/>
      <c r="M12" s="51"/>
      <c r="N12" s="225" t="s">
        <v>80</v>
      </c>
      <c r="O12" s="225"/>
      <c r="P12" s="226"/>
    </row>
    <row r="13" spans="1:20" s="49" customFormat="1" ht="64">
      <c r="A13" s="54"/>
      <c r="B13" s="134" t="e">
        <f>данные!D9*расчеты!C11*4</f>
        <v>#VALUE!</v>
      </c>
      <c r="C13" s="146">
        <f>данные!D7+1.4</f>
        <v>1.4</v>
      </c>
      <c r="D13" s="61" t="s">
        <v>10</v>
      </c>
      <c r="E13" s="131" t="e">
        <f>данные!D5*5*B13*0.889/1000*1.02</f>
        <v>#VALUE!</v>
      </c>
      <c r="F13" s="61" t="s">
        <v>23</v>
      </c>
      <c r="G13" s="56" t="s">
        <v>67</v>
      </c>
      <c r="H13" s="135" t="e">
        <f>(данные!D4+данные!D6)*2*(ROUNDUP((данные!D8+0.1+данные!D33)/0.1,0)*0.1)</f>
        <v>#VALUE!</v>
      </c>
      <c r="J13" s="61">
        <f>ROUNDUP((данные!D4+данные!D6)/0.9,0)*2</f>
        <v>178</v>
      </c>
      <c r="K13" s="49">
        <f>J13/2</f>
        <v>89</v>
      </c>
      <c r="L13" s="49" t="e">
        <f>(данные!D8+0.1+данные!D33)*2</f>
        <v>#VALUE!</v>
      </c>
      <c r="N13" s="67" t="s">
        <v>84</v>
      </c>
      <c r="P13" s="136" t="e">
        <f>(H13*0.05+J13*(данные!D8+0.1+данные!D33)*0.05*0.1+K13*L13*0.05*0.1)*1.05</f>
        <v>#VALUE!</v>
      </c>
      <c r="Q13" s="148"/>
    </row>
    <row r="14" spans="1:20" ht="80">
      <c r="A14" s="219" t="s">
        <v>62</v>
      </c>
      <c r="B14" s="220"/>
      <c r="C14" s="220"/>
      <c r="G14" s="53"/>
      <c r="H14" s="64">
        <f>(данные!D5+0.3)*1000</f>
        <v>600</v>
      </c>
      <c r="I14" s="61" t="s">
        <v>54</v>
      </c>
      <c r="K14" s="69">
        <f>ROUNDUP(данные!D4/0.9,0)*2</f>
        <v>178</v>
      </c>
      <c r="M14" s="49" t="s">
        <v>83</v>
      </c>
      <c r="N14" s="70" t="s">
        <v>81</v>
      </c>
      <c r="O14" s="134">
        <f>CEILING(K14/ROUNDDOWN(2000/H14,0),1)</f>
        <v>60</v>
      </c>
      <c r="P14" s="71">
        <f>K14*2</f>
        <v>356</v>
      </c>
      <c r="Q14" s="61">
        <f>FLOOR(2000/H14,1)</f>
        <v>3</v>
      </c>
      <c r="R14" s="61">
        <f>2000-H14*Q14</f>
        <v>200</v>
      </c>
      <c r="S14" s="61">
        <f>IF(R14&gt;H15-1,O14,0)</f>
        <v>0</v>
      </c>
      <c r="T14" s="61">
        <f>S14/FLOOR(2000/H15,1)</f>
        <v>0</v>
      </c>
    </row>
    <row r="15" spans="1:20" s="49" customFormat="1" ht="80">
      <c r="A15" s="54"/>
      <c r="B15" s="134" t="e">
        <f>данные!D10*C11*2</f>
        <v>#VALUE!</v>
      </c>
      <c r="C15" s="146">
        <f>данные!D5+1.4</f>
        <v>1.7</v>
      </c>
      <c r="D15" s="61" t="s">
        <v>10</v>
      </c>
      <c r="E15" s="131" t="e">
        <f>данные!D5*6*B15*0.889/1000*1.02</f>
        <v>#VALUE!</v>
      </c>
      <c r="F15" s="61" t="s">
        <v>23</v>
      </c>
      <c r="G15" s="56" t="s">
        <v>67</v>
      </c>
      <c r="H15" s="64">
        <f>(данные!D7+0.3)*1000</f>
        <v>300</v>
      </c>
      <c r="I15" s="49" t="s">
        <v>55</v>
      </c>
      <c r="J15" s="61"/>
      <c r="K15" s="69">
        <f>ROUNDUP(данные!D6/0.9,0)*2</f>
        <v>0</v>
      </c>
      <c r="M15" s="49" t="s">
        <v>83</v>
      </c>
      <c r="N15" s="70" t="s">
        <v>81</v>
      </c>
      <c r="O15" s="134">
        <f>CEILING(K15/ROUNDDOWN(2000/H15,0),1)-Q15</f>
        <v>0</v>
      </c>
      <c r="P15" s="71">
        <f>K15*2</f>
        <v>0</v>
      </c>
      <c r="Q15" s="49">
        <f>T14</f>
        <v>0</v>
      </c>
    </row>
    <row r="16" spans="1:20" ht="32">
      <c r="A16" s="219" t="s">
        <v>64</v>
      </c>
      <c r="B16" s="220"/>
      <c r="C16" s="220"/>
      <c r="G16" s="53"/>
      <c r="H16" s="66"/>
      <c r="K16" s="134">
        <f>ROUNDUP(K14*H14/1000+K15*H15/1000,0)</f>
        <v>107</v>
      </c>
      <c r="M16" t="s">
        <v>10</v>
      </c>
      <c r="N16" s="70" t="s">
        <v>82</v>
      </c>
      <c r="P16" s="53"/>
    </row>
    <row r="17" spans="1:16" s="49" customFormat="1" ht="16">
      <c r="A17" s="54"/>
      <c r="B17" s="134" t="e">
        <f>данные!D11*C11*2</f>
        <v>#VALUE!</v>
      </c>
      <c r="C17" s="146">
        <f>данные!D5+1.4</f>
        <v>1.7</v>
      </c>
      <c r="D17" s="61" t="s">
        <v>10</v>
      </c>
      <c r="E17" s="131" t="e">
        <f>C17*B17*0.889/1000*1.02</f>
        <v>#VALUE!</v>
      </c>
      <c r="F17" s="61" t="s">
        <v>23</v>
      </c>
      <c r="G17" s="56" t="s">
        <v>67</v>
      </c>
      <c r="H17" s="137" t="e">
        <f>H13+данные!D4*данные!D5+данные!D6*данные!D7+(данные!D4+данные!D6)*0.2</f>
        <v>#VALUE!</v>
      </c>
      <c r="I17" s="48"/>
      <c r="J17" s="61"/>
      <c r="N17" s="49" t="s">
        <v>111</v>
      </c>
      <c r="P17" s="55"/>
    </row>
    <row r="18" spans="1:16" s="49" customFormat="1" ht="16">
      <c r="A18" s="54"/>
      <c r="B18" s="134" t="e">
        <f>данные!D11*C11</f>
        <v>#VALUE!</v>
      </c>
      <c r="C18" s="146">
        <f>данные!D5*2+1.4</f>
        <v>2</v>
      </c>
      <c r="D18" s="61" t="s">
        <v>10</v>
      </c>
      <c r="E18" s="131" t="e">
        <f>C18*B18*0.889/1000*1.02</f>
        <v>#VALUE!</v>
      </c>
      <c r="F18" s="61" t="s">
        <v>23</v>
      </c>
      <c r="G18" s="56" t="s">
        <v>67</v>
      </c>
      <c r="H18" s="147"/>
      <c r="I18" s="48"/>
      <c r="J18" s="61"/>
      <c r="P18" s="55"/>
    </row>
    <row r="19" spans="1:16" ht="32">
      <c r="A19" s="219" t="s">
        <v>65</v>
      </c>
      <c r="B19" s="220"/>
      <c r="C19" s="220"/>
      <c r="G19" s="53"/>
      <c r="H19" s="66"/>
      <c r="K19" s="134" t="e">
        <f>(ROUNDUP((данные!D8+данные!D33)/0.1,0))*J13*2/102</f>
        <v>#VALUE!</v>
      </c>
      <c r="M19" s="49" t="s">
        <v>19</v>
      </c>
      <c r="N19" s="70" t="s">
        <v>86</v>
      </c>
      <c r="P19" s="53"/>
    </row>
    <row r="20" spans="1:16" s="49" customFormat="1" ht="32">
      <c r="A20" s="54"/>
      <c r="B20" s="134" t="e">
        <f>данные!D12*C11*2</f>
        <v>#VALUE!</v>
      </c>
      <c r="C20" s="146">
        <f>1.6</f>
        <v>1.6</v>
      </c>
      <c r="D20" s="61" t="s">
        <v>10</v>
      </c>
      <c r="E20" s="131" t="e">
        <f>C20*B20*0.889/1000*1.02</f>
        <v>#VALUE!</v>
      </c>
      <c r="F20" s="61" t="s">
        <v>23</v>
      </c>
      <c r="G20" s="56" t="s">
        <v>67</v>
      </c>
      <c r="H20" s="54"/>
      <c r="J20" s="61"/>
      <c r="K20" s="134">
        <f>K13*4/130</f>
        <v>2.7384615384615385</v>
      </c>
      <c r="M20" s="49" t="s">
        <v>19</v>
      </c>
      <c r="N20" s="67" t="s">
        <v>134</v>
      </c>
      <c r="P20" s="55"/>
    </row>
    <row r="21" spans="1:16">
      <c r="A21" s="219" t="s">
        <v>58</v>
      </c>
      <c r="B21" s="220"/>
      <c r="C21" s="220"/>
      <c r="G21" s="53"/>
      <c r="H21" s="66"/>
      <c r="P21" s="53"/>
    </row>
    <row r="22" spans="1:16" s="49" customFormat="1">
      <c r="A22" s="54" t="s">
        <v>54</v>
      </c>
      <c r="B22" s="134">
        <f>данные!D4/0.2</f>
        <v>398.5</v>
      </c>
      <c r="C22" s="146" t="e">
        <f>(данные!D8+данные!D33-0.1)*2+(данные!D5-0.06)*2+0.12*2</f>
        <v>#VALUE!</v>
      </c>
      <c r="D22" s="61" t="s">
        <v>10</v>
      </c>
      <c r="E22" s="131" t="e">
        <f>B22*C22*0.395/1000*1.05</f>
        <v>#VALUE!</v>
      </c>
      <c r="F22" s="61" t="s">
        <v>23</v>
      </c>
      <c r="G22" s="55" t="s">
        <v>68</v>
      </c>
      <c r="H22" s="54">
        <f>данные!D5</f>
        <v>0.3</v>
      </c>
      <c r="I22" s="49">
        <f>ROUNDUP(данные!D4/5*2,0)</f>
        <v>32</v>
      </c>
      <c r="J22" s="49">
        <f>данные!D5*I22</f>
        <v>9.6</v>
      </c>
      <c r="K22" s="49">
        <f>CEILING(I22/ROUNDDOWN(2/H22,0),1)</f>
        <v>6</v>
      </c>
      <c r="L22" s="223">
        <f>K22+K23</f>
        <v>6</v>
      </c>
      <c r="N22" s="49" t="s">
        <v>87</v>
      </c>
      <c r="P22" s="190" t="s">
        <v>163</v>
      </c>
    </row>
    <row r="23" spans="1:16" s="49" customFormat="1" ht="16" thickBot="1">
      <c r="A23" s="54" t="s">
        <v>55</v>
      </c>
      <c r="B23" s="134">
        <f>данные!D6/0.2</f>
        <v>0</v>
      </c>
      <c r="C23" s="146" t="e">
        <f>(данные!D8+данные!D33-0.1)*2+(данные!D7-0.06)*2+0.12*2</f>
        <v>#VALUE!</v>
      </c>
      <c r="D23" s="61" t="s">
        <v>10</v>
      </c>
      <c r="E23" s="131" t="e">
        <f>B23*C23*0.395/1000*1.05</f>
        <v>#VALUE!</v>
      </c>
      <c r="F23" s="61" t="s">
        <v>23</v>
      </c>
      <c r="G23" s="55" t="s">
        <v>68</v>
      </c>
      <c r="H23" s="72">
        <f>данные!D7</f>
        <v>0</v>
      </c>
      <c r="I23" s="73">
        <f>ROUNDUP(данные!D6/5*3,0)</f>
        <v>0</v>
      </c>
      <c r="J23" s="73">
        <f>данные!D7*I23</f>
        <v>0</v>
      </c>
      <c r="K23" s="73">
        <f>IF(данные!D6=0,0,CEILING(I23/ROUNDDOWN(2/H23,0),1))</f>
        <v>0</v>
      </c>
      <c r="L23" s="224"/>
      <c r="M23" s="73"/>
      <c r="N23" s="73" t="s">
        <v>88</v>
      </c>
      <c r="O23" s="73"/>
      <c r="P23" s="191" t="s">
        <v>163</v>
      </c>
    </row>
    <row r="24" spans="1:16">
      <c r="A24" s="219" t="s">
        <v>61</v>
      </c>
      <c r="B24" s="220"/>
      <c r="C24" s="220"/>
      <c r="G24" s="53"/>
      <c r="H24" s="50"/>
      <c r="I24" s="51"/>
      <c r="J24" s="60"/>
      <c r="K24" s="51"/>
      <c r="L24" s="225" t="s">
        <v>89</v>
      </c>
      <c r="M24" s="225"/>
      <c r="N24" s="225"/>
      <c r="O24" s="225"/>
      <c r="P24" s="226"/>
    </row>
    <row r="25" spans="1:16" s="49" customFormat="1" ht="31.25" customHeight="1">
      <c r="A25" s="54"/>
      <c r="B25" s="134" t="e">
        <f>ROUNDUP(C25/((данные!D8+данные!D33-0.05)),0)+1</f>
        <v>#VALUE!</v>
      </c>
      <c r="C25" s="146" t="e">
        <f>ROUNDUP(((данные!D4/0.6*расчеты!C7+данные!D6/0.6*расчеты!C9)*(данные!D8+данные!D33-0.05)),0)</f>
        <v>#VALUE!</v>
      </c>
      <c r="D25" s="61" t="s">
        <v>10</v>
      </c>
      <c r="E25" s="131" t="e">
        <f>C25*0.889/1000*1.02</f>
        <v>#VALUE!</v>
      </c>
      <c r="F25" s="61" t="s">
        <v>23</v>
      </c>
      <c r="G25" s="56" t="s">
        <v>96</v>
      </c>
      <c r="H25" s="76">
        <f>данные!D4/9/I25</f>
        <v>2.9518518518518522</v>
      </c>
      <c r="I25" s="49">
        <f>ROUNDDOWN(1/данные!D5,0)</f>
        <v>3</v>
      </c>
      <c r="J25" s="227">
        <f>CEILING(H25+H26,1)</f>
        <v>3</v>
      </c>
      <c r="K25" t="s">
        <v>8</v>
      </c>
      <c r="L25" s="49">
        <f>данные!D4*данные!D5</f>
        <v>23.91</v>
      </c>
      <c r="N25" s="227">
        <f>L25+L26</f>
        <v>23.91</v>
      </c>
      <c r="O25" t="s">
        <v>3</v>
      </c>
      <c r="P25" s="55"/>
    </row>
    <row r="26" spans="1:16">
      <c r="A26" s="219" t="s">
        <v>69</v>
      </c>
      <c r="B26" s="220"/>
      <c r="C26" s="220"/>
      <c r="G26" s="53"/>
      <c r="H26" s="75">
        <f>IF(данные!D6=0,0,данные!D6/9/I26)</f>
        <v>0</v>
      </c>
      <c r="I26" s="49">
        <f>IF(данные!D7=0,0,ROUNDDOWN(1/данные!D7,0))</f>
        <v>0</v>
      </c>
      <c r="J26" s="223"/>
      <c r="L26" s="49">
        <f>данные!D6*данные!D7</f>
        <v>0</v>
      </c>
      <c r="N26" s="227"/>
      <c r="P26" s="53"/>
    </row>
    <row r="27" spans="1:16" ht="16" thickBot="1">
      <c r="A27" s="57"/>
      <c r="B27" s="58"/>
      <c r="C27" s="58"/>
      <c r="D27" s="62"/>
      <c r="E27" s="132" t="e">
        <f>(E11+E13+E15+E17+E20+E22+E23+E25)*0.03</f>
        <v>#VALUE!</v>
      </c>
      <c r="F27" s="63" t="s">
        <v>23</v>
      </c>
      <c r="G27" s="59" t="s">
        <v>70</v>
      </c>
      <c r="H27" s="57"/>
      <c r="I27" s="58"/>
      <c r="J27" s="62"/>
      <c r="K27" s="58"/>
      <c r="L27" s="58"/>
      <c r="M27" s="58"/>
      <c r="N27" s="139">
        <f>ROUNDUP(N25*1.2/20,0)</f>
        <v>2</v>
      </c>
      <c r="O27" s="58" t="s">
        <v>139</v>
      </c>
      <c r="P27" s="59"/>
    </row>
    <row r="28" spans="1:16">
      <c r="A28" s="50"/>
      <c r="B28" s="51"/>
      <c r="C28" s="77" t="s">
        <v>90</v>
      </c>
      <c r="D28" s="78"/>
      <c r="E28" s="51"/>
      <c r="F28" s="60"/>
      <c r="G28" s="51"/>
      <c r="H28" s="51"/>
      <c r="I28" s="51"/>
      <c r="J28" s="60"/>
      <c r="K28" s="51"/>
      <c r="L28" s="51"/>
      <c r="M28" s="51"/>
      <c r="N28" s="221" t="s">
        <v>91</v>
      </c>
      <c r="O28" s="221"/>
      <c r="P28" s="222"/>
    </row>
    <row r="29" spans="1:16">
      <c r="A29" s="138" t="e">
        <f>данные!D4*данные!D5*((данные!D8+данные!D33+0.1))+данные!D6*данные!D7*((данные!D8+данные!D33+0.1))</f>
        <v>#VALUE!</v>
      </c>
      <c r="C29" s="53"/>
      <c r="D29" s="52"/>
      <c r="E29" t="s">
        <v>138</v>
      </c>
      <c r="G29" s="48" t="s">
        <v>92</v>
      </c>
      <c r="H29" s="48" t="s">
        <v>93</v>
      </c>
      <c r="I29" s="48" t="s">
        <v>94</v>
      </c>
      <c r="J29" s="48" t="s">
        <v>95</v>
      </c>
      <c r="L29" s="48" t="s">
        <v>109</v>
      </c>
      <c r="P29" s="53"/>
    </row>
    <row r="30" spans="1:16">
      <c r="A30" s="66"/>
      <c r="C30" s="53"/>
      <c r="D30" s="52"/>
      <c r="G30" s="61" t="s">
        <v>23</v>
      </c>
      <c r="H30" s="61" t="s">
        <v>23</v>
      </c>
      <c r="I30" s="48"/>
      <c r="P30" s="53"/>
    </row>
    <row r="31" spans="1:16" ht="16" thickBot="1">
      <c r="A31" s="57"/>
      <c r="B31" s="58"/>
      <c r="C31" s="59"/>
      <c r="D31" s="79"/>
      <c r="E31" s="139" t="e">
        <f>CEILING((G31+H31)/8,1)</f>
        <v>#VALUE!</v>
      </c>
      <c r="F31" s="62"/>
      <c r="G31" s="80" t="e">
        <f>E11+E13+E15+E17+E20+E22+E23+E25+E27</f>
        <v>#VALUE!</v>
      </c>
      <c r="H31" s="81" t="e">
        <f>P13*0.8</f>
        <v>#VALUE!</v>
      </c>
      <c r="I31" s="140">
        <v>1</v>
      </c>
      <c r="J31" s="140" t="e">
        <f>IF(H3&gt;20,1,0)</f>
        <v>#VALUE!</v>
      </c>
      <c r="K31" s="141" t="e">
        <f>+CEILING(H3/34,1)</f>
        <v>#VALUE!</v>
      </c>
      <c r="L31" s="141" t="e">
        <f>ROUNDUP(A29/54,0)</f>
        <v>#VALUE!</v>
      </c>
      <c r="M31" s="58"/>
      <c r="N31" s="58"/>
      <c r="O31" s="58"/>
      <c r="P31" s="59"/>
    </row>
    <row r="34" spans="2:6" ht="16">
      <c r="B34" s="228" t="s">
        <v>161</v>
      </c>
      <c r="C34" s="228"/>
      <c r="D34" s="228"/>
      <c r="E34" s="185"/>
      <c r="F34" s="185"/>
    </row>
    <row r="35" spans="2:6" ht="16">
      <c r="B35" s="229" t="s">
        <v>162</v>
      </c>
      <c r="C35" s="229"/>
      <c r="D35" s="229"/>
      <c r="E35" s="185"/>
      <c r="F35" s="185"/>
    </row>
  </sheetData>
  <mergeCells count="27">
    <mergeCell ref="B34:D34"/>
    <mergeCell ref="B35:D35"/>
    <mergeCell ref="N1:P1"/>
    <mergeCell ref="N12:P12"/>
    <mergeCell ref="A10:C10"/>
    <mergeCell ref="A6:C6"/>
    <mergeCell ref="A8:C8"/>
    <mergeCell ref="A4:C4"/>
    <mergeCell ref="A12:C12"/>
    <mergeCell ref="A14:C14"/>
    <mergeCell ref="E1:G1"/>
    <mergeCell ref="H2:I2"/>
    <mergeCell ref="H4:I4"/>
    <mergeCell ref="H6:I6"/>
    <mergeCell ref="H10:I10"/>
    <mergeCell ref="I1:L1"/>
    <mergeCell ref="A2:C2"/>
    <mergeCell ref="N28:P28"/>
    <mergeCell ref="A16:C16"/>
    <mergeCell ref="A19:C19"/>
    <mergeCell ref="L22:L23"/>
    <mergeCell ref="A26:C26"/>
    <mergeCell ref="L24:P24"/>
    <mergeCell ref="J25:J26"/>
    <mergeCell ref="N25:N26"/>
    <mergeCell ref="A24:C24"/>
    <mergeCell ref="A21:C2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>
    <tabColor rgb="FFFFFF00"/>
  </sheetPr>
  <dimension ref="B2:G56"/>
  <sheetViews>
    <sheetView zoomScale="120" zoomScaleNormal="120" workbookViewId="0">
      <selection activeCell="D37" sqref="D37"/>
    </sheetView>
  </sheetViews>
  <sheetFormatPr baseColWidth="10" defaultColWidth="8.83203125" defaultRowHeight="15"/>
  <cols>
    <col min="2" max="2" width="54.1640625" customWidth="1"/>
    <col min="3" max="3" width="9.83203125" bestFit="1" customWidth="1"/>
    <col min="4" max="4" width="9.6640625" style="48" customWidth="1"/>
    <col min="5" max="5" width="11.1640625" style="61" bestFit="1" customWidth="1"/>
    <col min="6" max="6" width="8.1640625" bestFit="1" customWidth="1"/>
    <col min="7" max="7" width="8.83203125" style="61"/>
  </cols>
  <sheetData>
    <row r="2" spans="2:7" ht="16">
      <c r="B2" s="193" t="s">
        <v>176</v>
      </c>
      <c r="D2" s="107" t="s">
        <v>116</v>
      </c>
      <c r="E2" s="61" t="s">
        <v>117</v>
      </c>
      <c r="F2" s="61" t="s">
        <v>120</v>
      </c>
    </row>
    <row r="3" spans="2:7">
      <c r="B3" s="238" t="s">
        <v>7</v>
      </c>
      <c r="C3" s="239"/>
      <c r="D3" s="48" t="s">
        <v>5</v>
      </c>
      <c r="E3" s="65">
        <v>1300</v>
      </c>
    </row>
    <row r="4" spans="2:7">
      <c r="B4" s="105" t="s">
        <v>114</v>
      </c>
      <c r="C4" s="104">
        <v>1500</v>
      </c>
      <c r="D4" s="61" t="s">
        <v>3</v>
      </c>
      <c r="E4" s="65">
        <v>65</v>
      </c>
    </row>
    <row r="5" spans="2:7">
      <c r="B5" s="105" t="s">
        <v>114</v>
      </c>
      <c r="C5" s="106">
        <v>2000</v>
      </c>
      <c r="D5" s="61" t="s">
        <v>3</v>
      </c>
      <c r="E5" s="65">
        <v>65</v>
      </c>
    </row>
    <row r="6" spans="2:7">
      <c r="B6" s="240" t="s">
        <v>9</v>
      </c>
      <c r="C6" s="241"/>
      <c r="D6" s="48" t="s">
        <v>5</v>
      </c>
      <c r="E6" s="65">
        <v>3150</v>
      </c>
    </row>
    <row r="7" spans="2:7">
      <c r="B7" s="242" t="s">
        <v>17</v>
      </c>
      <c r="C7" s="243"/>
      <c r="D7" s="48" t="s">
        <v>5</v>
      </c>
      <c r="E7" s="65">
        <v>16500</v>
      </c>
      <c r="G7" s="65">
        <f>E7/33</f>
        <v>500</v>
      </c>
    </row>
    <row r="8" spans="2:7">
      <c r="B8" s="242" t="s">
        <v>130</v>
      </c>
      <c r="C8" s="243"/>
      <c r="D8" s="48" t="s">
        <v>11</v>
      </c>
      <c r="E8" s="65">
        <v>240</v>
      </c>
    </row>
    <row r="9" spans="2:7">
      <c r="B9" s="242" t="s">
        <v>129</v>
      </c>
      <c r="C9" s="243"/>
      <c r="D9" s="48" t="s">
        <v>19</v>
      </c>
      <c r="E9" s="65">
        <v>360</v>
      </c>
    </row>
    <row r="10" spans="2:7">
      <c r="B10" s="242" t="s">
        <v>131</v>
      </c>
      <c r="C10" s="243"/>
      <c r="D10" s="48" t="s">
        <v>19</v>
      </c>
      <c r="E10" s="65">
        <v>360</v>
      </c>
    </row>
    <row r="11" spans="2:7">
      <c r="B11" s="242" t="s">
        <v>132</v>
      </c>
      <c r="C11" s="243"/>
      <c r="D11" s="48" t="s">
        <v>10</v>
      </c>
      <c r="E11" s="65">
        <v>60</v>
      </c>
    </row>
    <row r="12" spans="2:7">
      <c r="B12" s="244" t="s">
        <v>18</v>
      </c>
      <c r="C12" s="245"/>
      <c r="D12" s="48" t="s">
        <v>19</v>
      </c>
      <c r="E12" s="65">
        <v>160</v>
      </c>
    </row>
    <row r="13" spans="2:7">
      <c r="B13" s="246" t="s">
        <v>20</v>
      </c>
      <c r="C13" s="243"/>
      <c r="D13" s="48" t="s">
        <v>19</v>
      </c>
      <c r="E13" s="65">
        <v>390</v>
      </c>
    </row>
    <row r="14" spans="2:7">
      <c r="B14" s="242" t="s">
        <v>21</v>
      </c>
      <c r="C14" s="243"/>
      <c r="D14" s="48" t="s">
        <v>3</v>
      </c>
      <c r="E14" s="65">
        <v>100</v>
      </c>
    </row>
    <row r="15" spans="2:7">
      <c r="B15" s="250" t="s">
        <v>24</v>
      </c>
      <c r="C15" s="251"/>
      <c r="D15" s="48" t="s">
        <v>23</v>
      </c>
      <c r="E15" s="142">
        <f>1000/1.21*G15</f>
        <v>61735.53719008265</v>
      </c>
      <c r="G15" s="65">
        <v>74.7</v>
      </c>
    </row>
    <row r="16" spans="2:7">
      <c r="B16" s="252" t="s">
        <v>25</v>
      </c>
      <c r="C16" s="251"/>
      <c r="D16" s="48" t="s">
        <v>23</v>
      </c>
      <c r="E16" s="142">
        <f>1000/0.395*G16</f>
        <v>70886.075949367078</v>
      </c>
      <c r="G16" s="65">
        <v>28</v>
      </c>
    </row>
    <row r="17" spans="2:7">
      <c r="B17" s="253" t="s">
        <v>28</v>
      </c>
      <c r="C17" s="254"/>
      <c r="D17" s="48" t="s">
        <v>23</v>
      </c>
      <c r="E17" s="109">
        <f>G17*1000</f>
        <v>130000</v>
      </c>
      <c r="G17" s="65">
        <v>130</v>
      </c>
    </row>
    <row r="18" spans="2:7">
      <c r="B18" s="247" t="s">
        <v>31</v>
      </c>
      <c r="C18" s="248"/>
      <c r="D18" s="48" t="s">
        <v>5</v>
      </c>
      <c r="E18" s="65">
        <v>7200</v>
      </c>
    </row>
    <row r="19" spans="2:7">
      <c r="B19" s="247" t="s">
        <v>101</v>
      </c>
      <c r="C19" s="248"/>
      <c r="D19" s="48" t="s">
        <v>11</v>
      </c>
      <c r="E19" s="65">
        <v>11</v>
      </c>
    </row>
    <row r="20" spans="2:7">
      <c r="B20" s="255" t="s">
        <v>126</v>
      </c>
      <c r="C20" s="255"/>
      <c r="D20" s="48" t="s">
        <v>11</v>
      </c>
      <c r="E20" s="65">
        <v>1200</v>
      </c>
    </row>
    <row r="21" spans="2:7">
      <c r="B21" s="118" t="s">
        <v>137</v>
      </c>
      <c r="C21" s="118"/>
      <c r="D21" s="48" t="s">
        <v>8</v>
      </c>
      <c r="E21" s="65">
        <v>980</v>
      </c>
    </row>
    <row r="22" spans="2:7">
      <c r="B22" s="255" t="s">
        <v>141</v>
      </c>
      <c r="C22" s="255"/>
      <c r="D22" s="48" t="s">
        <v>140</v>
      </c>
      <c r="E22" s="65">
        <v>3968</v>
      </c>
    </row>
    <row r="23" spans="2:7">
      <c r="B23" s="247" t="s">
        <v>102</v>
      </c>
      <c r="C23" s="248"/>
      <c r="D23" s="48" t="s">
        <v>12</v>
      </c>
      <c r="E23" s="109" t="e">
        <f>E25*F25+E26*F26+E27*F27</f>
        <v>#VALUE!</v>
      </c>
    </row>
    <row r="24" spans="2:7">
      <c r="E24" s="65"/>
    </row>
    <row r="25" spans="2:7">
      <c r="B25" s="249" t="s">
        <v>115</v>
      </c>
      <c r="C25" s="249"/>
      <c r="D25" s="48" t="s">
        <v>11</v>
      </c>
      <c r="E25" s="65">
        <v>45</v>
      </c>
      <c r="F25" s="108" t="e">
        <f>CEILING((расчеты!B13+расчеты!B15+расчеты!B17+расчеты!B20+расчеты!B25)/20+(расчеты!B22+расчеты!B23)/30,1)</f>
        <v>#VALUE!</v>
      </c>
    </row>
    <row r="26" spans="2:7">
      <c r="B26" s="249" t="s">
        <v>118</v>
      </c>
      <c r="C26" s="249"/>
      <c r="D26" s="48" t="s">
        <v>119</v>
      </c>
      <c r="E26" s="65">
        <v>55</v>
      </c>
      <c r="F26" s="109" t="e">
        <f>ROUNDUP(расчеты!H17*8/1000,0)</f>
        <v>#VALUE!</v>
      </c>
    </row>
    <row r="27" spans="2:7">
      <c r="B27" s="249" t="s">
        <v>122</v>
      </c>
      <c r="C27" s="249"/>
      <c r="D27" s="48" t="s">
        <v>121</v>
      </c>
      <c r="E27" s="65">
        <v>170</v>
      </c>
      <c r="F27" s="108">
        <f>ROUNDUP((данные!D4+данные!D6)*2.2/150,0)</f>
        <v>2</v>
      </c>
    </row>
    <row r="29" spans="2:7">
      <c r="B29" s="35" t="s">
        <v>35</v>
      </c>
      <c r="C29" s="112">
        <v>3500</v>
      </c>
      <c r="D29" s="32" t="s">
        <v>36</v>
      </c>
      <c r="E29" s="111">
        <v>120</v>
      </c>
    </row>
    <row r="30" spans="2:7">
      <c r="B30" s="35" t="s">
        <v>107</v>
      </c>
      <c r="C30" s="112">
        <v>5000</v>
      </c>
      <c r="D30" s="32" t="s">
        <v>36</v>
      </c>
      <c r="E30" s="111">
        <v>120</v>
      </c>
    </row>
    <row r="31" spans="2:7">
      <c r="B31" s="35" t="s">
        <v>108</v>
      </c>
      <c r="C31" s="112">
        <v>18500</v>
      </c>
      <c r="D31" s="32" t="s">
        <v>36</v>
      </c>
      <c r="E31" s="36"/>
    </row>
    <row r="32" spans="2:7">
      <c r="B32" s="38" t="s">
        <v>37</v>
      </c>
      <c r="C32" s="113">
        <v>23500</v>
      </c>
      <c r="D32" s="39" t="s">
        <v>36</v>
      </c>
      <c r="E32" s="39"/>
    </row>
    <row r="35" spans="2:4">
      <c r="B35" s="192" t="s">
        <v>164</v>
      </c>
      <c r="C35" s="193" t="s">
        <v>116</v>
      </c>
      <c r="D35" s="193" t="s">
        <v>165</v>
      </c>
    </row>
    <row r="36" spans="2:4" ht="17">
      <c r="B36" s="194" t="s">
        <v>2</v>
      </c>
      <c r="C36" s="193" t="s">
        <v>3</v>
      </c>
      <c r="D36" s="195">
        <v>50</v>
      </c>
    </row>
    <row r="37" spans="2:4" ht="17">
      <c r="B37" s="194" t="s">
        <v>166</v>
      </c>
      <c r="C37" s="193" t="s">
        <v>5</v>
      </c>
      <c r="D37" s="195">
        <v>1250</v>
      </c>
    </row>
    <row r="38" spans="2:4" ht="17">
      <c r="B38" s="194" t="s">
        <v>6</v>
      </c>
      <c r="C38" s="193" t="s">
        <v>3</v>
      </c>
      <c r="D38" s="195">
        <v>150</v>
      </c>
    </row>
    <row r="39" spans="2:4" ht="17">
      <c r="B39" s="194" t="s">
        <v>167</v>
      </c>
      <c r="C39" s="193" t="s">
        <v>5</v>
      </c>
      <c r="D39" s="195">
        <v>800</v>
      </c>
    </row>
    <row r="40" spans="2:4" ht="17">
      <c r="B40" s="194" t="s">
        <v>168</v>
      </c>
      <c r="C40" s="193" t="s">
        <v>3</v>
      </c>
      <c r="D40" s="195">
        <v>50</v>
      </c>
    </row>
    <row r="41" spans="2:4" ht="17">
      <c r="B41" s="194" t="s">
        <v>169</v>
      </c>
      <c r="C41" s="193" t="s">
        <v>5</v>
      </c>
      <c r="D41" s="195">
        <v>800</v>
      </c>
    </row>
    <row r="42" spans="2:4" ht="17">
      <c r="B42" s="194" t="s">
        <v>103</v>
      </c>
      <c r="C42" s="193" t="s">
        <v>3</v>
      </c>
      <c r="D42" s="195">
        <v>240</v>
      </c>
    </row>
    <row r="43" spans="2:4" ht="17">
      <c r="B43" s="194" t="s">
        <v>99</v>
      </c>
      <c r="C43" s="193" t="s">
        <v>23</v>
      </c>
      <c r="D43" s="195">
        <v>17500</v>
      </c>
    </row>
    <row r="44" spans="2:4" ht="17">
      <c r="B44" s="194" t="s">
        <v>98</v>
      </c>
      <c r="C44" s="193" t="s">
        <v>11</v>
      </c>
      <c r="D44" s="195">
        <v>12</v>
      </c>
    </row>
    <row r="45" spans="2:4" ht="17">
      <c r="B45" s="194" t="s">
        <v>27</v>
      </c>
      <c r="C45" s="193" t="s">
        <v>11</v>
      </c>
      <c r="D45" s="195">
        <v>7</v>
      </c>
    </row>
    <row r="46" spans="2:4" ht="17">
      <c r="B46" s="194" t="s">
        <v>105</v>
      </c>
      <c r="C46" s="193" t="s">
        <v>11</v>
      </c>
      <c r="D46" s="195">
        <v>7</v>
      </c>
    </row>
    <row r="47" spans="2:4" ht="17">
      <c r="B47" s="194" t="s">
        <v>127</v>
      </c>
      <c r="C47" s="193" t="s">
        <v>11</v>
      </c>
      <c r="D47" s="195">
        <v>7</v>
      </c>
    </row>
    <row r="48" spans="2:4" ht="17">
      <c r="B48" s="194" t="s">
        <v>128</v>
      </c>
      <c r="C48" s="193" t="s">
        <v>11</v>
      </c>
      <c r="D48" s="195">
        <v>7</v>
      </c>
    </row>
    <row r="49" spans="2:4" ht="17">
      <c r="B49" s="194" t="s">
        <v>106</v>
      </c>
      <c r="C49" s="193" t="s">
        <v>11</v>
      </c>
      <c r="D49" s="195">
        <v>3</v>
      </c>
    </row>
    <row r="50" spans="2:4" ht="17">
      <c r="B50" s="194" t="s">
        <v>125</v>
      </c>
      <c r="C50" s="193" t="s">
        <v>11</v>
      </c>
      <c r="D50" s="195">
        <v>50</v>
      </c>
    </row>
    <row r="51" spans="2:4" ht="17">
      <c r="B51" s="194" t="s">
        <v>30</v>
      </c>
      <c r="C51" s="193" t="s">
        <v>5</v>
      </c>
      <c r="D51" s="195">
        <v>5000</v>
      </c>
    </row>
    <row r="52" spans="2:4" ht="17">
      <c r="B52" s="194" t="s">
        <v>136</v>
      </c>
      <c r="C52" s="193" t="s">
        <v>3</v>
      </c>
      <c r="D52" s="195">
        <v>450</v>
      </c>
    </row>
    <row r="53" spans="2:4" ht="17">
      <c r="B53" s="194" t="s">
        <v>33</v>
      </c>
      <c r="C53" s="193" t="s">
        <v>170</v>
      </c>
      <c r="D53" s="195">
        <v>4500</v>
      </c>
    </row>
    <row r="54" spans="2:4">
      <c r="B54" s="38"/>
    </row>
    <row r="55" spans="2:4">
      <c r="B55" s="38"/>
    </row>
    <row r="56" spans="2:4">
      <c r="B56" s="38"/>
    </row>
  </sheetData>
  <sheetProtection formatCells="0" formatColumns="0" formatRows="0" insertColumns="0" insertRows="0" insertHyperlinks="0" deleteColumns="0" deleteRows="0" sort="0" autoFilter="0" pivotTables="0"/>
  <mergeCells count="21">
    <mergeCell ref="B23:C23"/>
    <mergeCell ref="B25:C25"/>
    <mergeCell ref="B26:C26"/>
    <mergeCell ref="B27:C27"/>
    <mergeCell ref="B14:C14"/>
    <mergeCell ref="B15:C15"/>
    <mergeCell ref="B16:C16"/>
    <mergeCell ref="B17:C17"/>
    <mergeCell ref="B18:C18"/>
    <mergeCell ref="B19:C19"/>
    <mergeCell ref="B20:C20"/>
    <mergeCell ref="B22:C22"/>
    <mergeCell ref="B3:C3"/>
    <mergeCell ref="B6:C6"/>
    <mergeCell ref="B7:C7"/>
    <mergeCell ref="B12:C12"/>
    <mergeCell ref="B13:C13"/>
    <mergeCell ref="B8:C8"/>
    <mergeCell ref="B9:C9"/>
    <mergeCell ref="B10:C10"/>
    <mergeCell ref="B11:C1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P66"/>
  <sheetViews>
    <sheetView zoomScale="110" zoomScaleNormal="110" workbookViewId="0">
      <selection activeCell="O1" sqref="O1:O1048576"/>
    </sheetView>
  </sheetViews>
  <sheetFormatPr baseColWidth="10" defaultColWidth="8.83203125" defaultRowHeight="15"/>
  <cols>
    <col min="2" max="2" width="4.33203125" bestFit="1" customWidth="1"/>
    <col min="3" max="3" width="42" customWidth="1"/>
    <col min="4" max="4" width="8.6640625" style="61" customWidth="1"/>
    <col min="5" max="5" width="6.5" bestFit="1" customWidth="1"/>
    <col min="6" max="6" width="9.1640625" style="173" bestFit="1" customWidth="1"/>
    <col min="7" max="7" width="10.5" bestFit="1" customWidth="1"/>
    <col min="8" max="8" width="11.6640625" customWidth="1"/>
    <col min="9" max="9" width="34.5" customWidth="1"/>
    <col min="10" max="10" width="6.6640625" bestFit="1" customWidth="1"/>
    <col min="11" max="11" width="7" customWidth="1"/>
    <col min="12" max="12" width="10" customWidth="1"/>
    <col min="13" max="13" width="12.33203125" style="173" customWidth="1"/>
    <col min="14" max="14" width="12.33203125" customWidth="1"/>
  </cols>
  <sheetData>
    <row r="1" spans="1:16" s="149" customFormat="1" ht="14.5" customHeight="1">
      <c r="C1" s="188"/>
      <c r="D1" s="188"/>
      <c r="E1" s="188"/>
      <c r="F1" s="188"/>
      <c r="G1" s="188"/>
      <c r="H1" s="188"/>
      <c r="I1" s="298" t="s">
        <v>142</v>
      </c>
      <c r="J1" s="298"/>
      <c r="K1" s="298"/>
      <c r="L1" s="298"/>
      <c r="M1" s="298"/>
      <c r="N1" s="298"/>
    </row>
    <row r="2" spans="1:16" s="149" customFormat="1" ht="14.5" customHeight="1">
      <c r="B2" s="295" t="s">
        <v>144</v>
      </c>
      <c r="C2" s="295"/>
      <c r="D2" s="150"/>
      <c r="E2" s="296"/>
      <c r="F2" s="296"/>
      <c r="G2" s="296"/>
      <c r="H2" s="151"/>
      <c r="I2" s="298" t="s">
        <v>143</v>
      </c>
      <c r="J2" s="298"/>
      <c r="K2" s="298"/>
      <c r="L2" s="298"/>
      <c r="M2" s="298"/>
      <c r="N2" s="298"/>
    </row>
    <row r="3" spans="1:16" s="149" customFormat="1" ht="14">
      <c r="B3" s="299" t="s">
        <v>175</v>
      </c>
      <c r="C3" s="299"/>
      <c r="D3" s="150"/>
      <c r="E3" s="300"/>
      <c r="F3" s="300"/>
      <c r="G3" s="300"/>
      <c r="H3" s="151"/>
      <c r="I3" s="297" t="s">
        <v>145</v>
      </c>
      <c r="J3" s="297"/>
      <c r="K3" s="297"/>
      <c r="L3" s="151"/>
    </row>
    <row r="4" spans="1:16" s="149" customFormat="1" ht="14.5" customHeight="1">
      <c r="B4" s="152" t="s">
        <v>146</v>
      </c>
      <c r="C4" s="152"/>
      <c r="D4" s="150"/>
      <c r="E4" s="153"/>
      <c r="F4" s="156"/>
      <c r="G4" s="156"/>
      <c r="H4" s="151"/>
      <c r="I4" s="302" t="s">
        <v>158</v>
      </c>
      <c r="J4" s="302"/>
      <c r="K4" s="302"/>
      <c r="L4" s="302"/>
      <c r="M4" s="302"/>
      <c r="N4" s="302"/>
    </row>
    <row r="5" spans="1:16" s="149" customFormat="1" ht="14">
      <c r="B5" s="299" t="s">
        <v>147</v>
      </c>
      <c r="C5" s="299"/>
      <c r="D5" s="150"/>
      <c r="E5" s="300" t="s">
        <v>148</v>
      </c>
      <c r="F5" s="300"/>
      <c r="G5" s="300"/>
      <c r="H5" s="154"/>
      <c r="I5" s="154"/>
      <c r="J5" s="301" t="s">
        <v>149</v>
      </c>
      <c r="K5" s="301"/>
      <c r="L5" s="301"/>
      <c r="M5" s="301"/>
      <c r="N5" s="301"/>
    </row>
    <row r="6" spans="1:16" s="149" customFormat="1" ht="16">
      <c r="B6" s="304" t="s">
        <v>160</v>
      </c>
      <c r="C6" s="304"/>
      <c r="D6" s="304"/>
      <c r="E6" s="304"/>
      <c r="F6" s="304"/>
      <c r="G6" s="304"/>
      <c r="H6" s="304"/>
      <c r="I6" s="304"/>
      <c r="J6" s="304"/>
      <c r="K6" s="304"/>
      <c r="L6" s="304"/>
      <c r="M6" s="304"/>
      <c r="N6" s="304"/>
    </row>
    <row r="7" spans="1:16" s="149" customFormat="1" ht="16">
      <c r="B7" s="307" t="s">
        <v>159</v>
      </c>
      <c r="C7" s="307"/>
      <c r="D7" s="307"/>
      <c r="E7" s="307"/>
      <c r="F7" s="307"/>
      <c r="G7" s="307"/>
      <c r="H7" s="307"/>
      <c r="I7" s="307"/>
      <c r="J7" s="307"/>
      <c r="K7" s="307"/>
      <c r="L7" s="307"/>
      <c r="M7" s="307"/>
      <c r="N7" s="307"/>
    </row>
    <row r="8" spans="1:16" s="149" customFormat="1" ht="16">
      <c r="C8" s="189"/>
      <c r="D8" s="189"/>
      <c r="E8" s="309" t="str">
        <f>IF(данные!D33=0,расчеты!B34,расчеты!B35)</f>
        <v>сечение фундамента с учетом перепада грунта в мм. ВхШ</v>
      </c>
      <c r="F8" s="309"/>
      <c r="G8" s="309"/>
      <c r="H8" s="309"/>
      <c r="I8" s="309"/>
      <c r="J8" s="309"/>
      <c r="K8" s="186" t="e">
        <f>IF(данные!D33=0,данные!D8+0.1,данные!D8+0.1+данные!D33)*1000</f>
        <v>#VALUE!</v>
      </c>
      <c r="L8" s="187">
        <f>данные!D5*1000</f>
        <v>300</v>
      </c>
      <c r="M8" s="178"/>
      <c r="N8" s="177"/>
    </row>
    <row r="9" spans="1:16" s="149" customFormat="1" ht="16">
      <c r="B9" s="177"/>
      <c r="C9" s="308"/>
      <c r="D9" s="308"/>
      <c r="E9" s="308"/>
      <c r="F9" s="185"/>
      <c r="G9" s="185"/>
      <c r="H9" s="177"/>
      <c r="I9" s="177"/>
      <c r="J9" s="177"/>
      <c r="K9" s="177"/>
      <c r="L9" s="178"/>
      <c r="M9" s="178"/>
      <c r="N9" s="177"/>
    </row>
    <row r="10" spans="1:16" s="149" customFormat="1" ht="42">
      <c r="B10" s="179" t="s">
        <v>150</v>
      </c>
      <c r="C10" s="303" t="s">
        <v>151</v>
      </c>
      <c r="D10" s="303"/>
      <c r="E10" s="179" t="s">
        <v>0</v>
      </c>
      <c r="F10" s="180" t="s">
        <v>152</v>
      </c>
      <c r="G10" s="181" t="s">
        <v>153</v>
      </c>
      <c r="H10" s="181" t="s">
        <v>154</v>
      </c>
      <c r="I10" s="303" t="s">
        <v>155</v>
      </c>
      <c r="J10" s="303"/>
      <c r="K10" s="179" t="s">
        <v>0</v>
      </c>
      <c r="L10" s="180" t="s">
        <v>152</v>
      </c>
      <c r="M10" s="180" t="s">
        <v>156</v>
      </c>
      <c r="N10" s="181" t="s">
        <v>157</v>
      </c>
    </row>
    <row r="11" spans="1:16" s="149" customFormat="1" ht="13">
      <c r="B11" s="182">
        <v>1</v>
      </c>
      <c r="C11" s="306">
        <v>2</v>
      </c>
      <c r="D11" s="306"/>
      <c r="E11" s="182">
        <v>3</v>
      </c>
      <c r="F11" s="183">
        <v>4</v>
      </c>
      <c r="G11" s="184">
        <v>5</v>
      </c>
      <c r="H11" s="184">
        <v>6</v>
      </c>
      <c r="I11" s="305">
        <v>7</v>
      </c>
      <c r="J11" s="305"/>
      <c r="K11" s="183">
        <v>8</v>
      </c>
      <c r="L11" s="183">
        <v>9</v>
      </c>
      <c r="M11" s="183">
        <v>10</v>
      </c>
      <c r="N11" s="184">
        <v>11</v>
      </c>
    </row>
    <row r="12" spans="1:16">
      <c r="B12" s="257" t="s">
        <v>1</v>
      </c>
      <c r="C12" s="257"/>
      <c r="D12" s="82" t="s">
        <v>180</v>
      </c>
      <c r="E12" s="1" t="s">
        <v>181</v>
      </c>
      <c r="F12" s="157"/>
      <c r="G12" s="157" t="s">
        <v>182</v>
      </c>
      <c r="H12" s="2"/>
      <c r="I12" s="3"/>
      <c r="J12" s="3"/>
      <c r="K12" s="2"/>
      <c r="L12" s="157"/>
      <c r="M12" s="157"/>
      <c r="N12" s="4"/>
    </row>
    <row r="13" spans="1:16">
      <c r="A13">
        <v>36</v>
      </c>
      <c r="B13" s="93">
        <v>1</v>
      </c>
      <c r="C13" s="256" t="s">
        <v>2</v>
      </c>
      <c r="D13" s="256"/>
      <c r="E13" s="311" t="str">
        <f>данные!D36</f>
        <v>м3</v>
      </c>
      <c r="F13" s="159">
        <f>данные!D16</f>
        <v>111.72</v>
      </c>
      <c r="G13" s="143">
        <f>данные!E67</f>
        <v>0</v>
      </c>
      <c r="H13" s="6">
        <f t="shared" ref="H13:H18" si="0">F13*G13</f>
        <v>0</v>
      </c>
      <c r="I13" s="276" t="s">
        <v>4</v>
      </c>
      <c r="J13" s="277"/>
      <c r="K13" s="7" t="s">
        <v>113</v>
      </c>
      <c r="L13" s="159" t="e">
        <f>расчеты!N2</f>
        <v>#VALUE!</v>
      </c>
      <c r="M13" s="174">
        <v>3850</v>
      </c>
      <c r="N13" s="6" t="e">
        <f>L13*M13</f>
        <v>#VALUE!</v>
      </c>
    </row>
    <row r="14" spans="1:16" ht="27.5" customHeight="1">
      <c r="A14">
        <v>68</v>
      </c>
      <c r="B14" s="93">
        <v>2</v>
      </c>
      <c r="C14" s="312" t="str" cm="1">
        <f t="array" aca="1" ref="C14" ca="1">INDIRECT(_xlfn.CONCAT("данные!","B",A14))</f>
        <v>Разработка траншеи в ручную</v>
      </c>
      <c r="D14" s="256"/>
      <c r="E14" s="89" t="str" cm="1">
        <f t="array" aca="1" ref="E14" ca="1">INDIRECT(_xlfn.CONCAT("данные!","D",A14))</f>
        <v>м3</v>
      </c>
      <c r="F14" s="159" t="e">
        <f>расчеты!I3</f>
        <v>#VALUE!</v>
      </c>
      <c r="G14" s="143" cm="1">
        <f t="array" aca="1" ref="G14" ca="1">INDIRECT(_xlfn.CONCAT("данные!","E",A14))</f>
        <v>0</v>
      </c>
      <c r="H14" s="6" t="e">
        <f t="shared" ca="1" si="0"/>
        <v>#VALUE!</v>
      </c>
      <c r="I14" s="278"/>
      <c r="J14" s="279"/>
      <c r="K14" s="7"/>
      <c r="L14" s="159"/>
      <c r="M14" s="174"/>
      <c r="N14" s="6"/>
    </row>
    <row r="15" spans="1:16">
      <c r="A15">
        <v>69</v>
      </c>
      <c r="B15" s="5">
        <v>3</v>
      </c>
      <c r="C15" s="313" t="str" cm="1">
        <f t="array" aca="1" ref="C15" ca="1">INDIRECT(_xlfn.CONCAT("данные!","B",A15))</f>
        <v>Зачистка дна траншеи вручную</v>
      </c>
      <c r="D15" s="314"/>
      <c r="E15" s="89" t="str" cm="1">
        <f t="array" aca="1" ref="E15" ca="1">INDIRECT(_xlfn.CONCAT("данные!","D",A15))</f>
        <v>м2</v>
      </c>
      <c r="F15" s="159">
        <f>расчеты!I5</f>
        <v>31.880000000000003</v>
      </c>
      <c r="G15" s="143" cm="1">
        <f t="array" aca="1" ref="G15" ca="1">INDIRECT(_xlfn.CONCAT("данные!","E",A15))</f>
        <v>0</v>
      </c>
      <c r="H15" s="6">
        <f t="shared" ca="1" si="0"/>
        <v>0</v>
      </c>
      <c r="I15" s="280"/>
      <c r="J15" s="281"/>
      <c r="K15" s="7"/>
      <c r="L15" s="159"/>
      <c r="M15" s="174"/>
      <c r="N15" s="6"/>
    </row>
    <row r="16" spans="1:16">
      <c r="A16">
        <v>70</v>
      </c>
      <c r="B16" s="94">
        <v>4</v>
      </c>
      <c r="C16" s="256" t="str" cm="1">
        <f t="array" aca="1" ref="C16" ca="1">INDIRECT(_xlfn.CONCAT("данные!","B",A16))</f>
        <v>Устройство песчаного основания с трамбоакой</v>
      </c>
      <c r="D16" s="256">
        <f>данные!E10*1000</f>
        <v>0</v>
      </c>
      <c r="E16" s="89" t="str" cm="1">
        <f t="array" aca="1" ref="E16" ca="1">INDIRECT(_xlfn.CONCAT("данные!","D",A16))</f>
        <v>м3</v>
      </c>
      <c r="F16" s="160" t="e">
        <f>расчеты!I7</f>
        <v>#VALUE!</v>
      </c>
      <c r="G16" s="143" cm="1">
        <f t="array" aca="1" ref="G16" ca="1">INDIRECT(_xlfn.CONCAT("данные!","E",A16))</f>
        <v>0</v>
      </c>
      <c r="H16" s="8" t="e">
        <f t="shared" ca="1" si="0"/>
        <v>#VALUE!</v>
      </c>
      <c r="I16" s="238" t="str" cm="1">
        <f t="array" aca="1" ref="I16" ca="1">INDIRECT(_xlfn.CONCAT("данные!","B",O16))</f>
        <v>Песок карьерный</v>
      </c>
      <c r="J16" s="282"/>
      <c r="K16" s="9" t="str" cm="1">
        <f t="array" aca="1" ref="K16" ca="1">INDIRECT(_xlfn.CONCAT("данные!","D",O16))</f>
        <v>м3</v>
      </c>
      <c r="L16" s="160" t="e">
        <f>F16*1.15</f>
        <v>#VALUE!</v>
      </c>
      <c r="M16" s="175" cm="1">
        <f t="array" aca="1" ref="M16" ca="1">INDIRECT(_xlfn.CONCAT("данные!","E",O16))</f>
        <v>0</v>
      </c>
      <c r="N16" s="10" t="e">
        <f ca="1">L16*M16</f>
        <v>#VALUE!</v>
      </c>
      <c r="O16">
        <v>33</v>
      </c>
      <c r="P16" s="110"/>
    </row>
    <row r="17" spans="1:15" ht="30">
      <c r="A17">
        <v>71</v>
      </c>
      <c r="B17" s="95">
        <v>5</v>
      </c>
      <c r="C17" s="256" t="str" cm="1">
        <f t="array" aca="1" ref="C17" ca="1">INDIRECT(_xlfn.CONCAT("данные!","B",A17))</f>
        <v>Укладка геотекстиля</v>
      </c>
      <c r="D17" s="256">
        <f>данные!E11*1000</f>
        <v>0</v>
      </c>
      <c r="E17" s="89" t="str" cm="1">
        <f t="array" aca="1" ref="E17" ca="1">INDIRECT(_xlfn.CONCAT("данные!","D",A17))</f>
        <v>м2</v>
      </c>
      <c r="F17" s="161" t="e">
        <f>расчеты!H11</f>
        <v>#VALUE!</v>
      </c>
      <c r="G17" s="143" cm="1">
        <f t="array" aca="1" ref="G17" ca="1">INDIRECT(_xlfn.CONCAT("данные!","E",A17))</f>
        <v>0</v>
      </c>
      <c r="H17" s="11" t="e">
        <f t="shared" ca="1" si="0"/>
        <v>#VALUE!</v>
      </c>
      <c r="I17" s="119" t="s">
        <v>114</v>
      </c>
      <c r="J17" s="88" t="e">
        <f>расчеты!K11</f>
        <v>#VALUE!</v>
      </c>
      <c r="K17" s="9" t="str" cm="1">
        <f t="array" aca="1" ref="K17" ca="1">INDIRECT(_xlfn.CONCAT("данные!","D",O17))</f>
        <v>м2</v>
      </c>
      <c r="L17" s="161" t="e">
        <f>расчеты!H11*1.1</f>
        <v>#VALUE!</v>
      </c>
      <c r="M17" s="175" cm="1">
        <f t="array" aca="1" ref="M17" ca="1">INDIRECT(_xlfn.CONCAT("данные!","E",O17))</f>
        <v>0</v>
      </c>
      <c r="N17" s="11" t="e">
        <f ca="1">L17*M17</f>
        <v>#VALUE!</v>
      </c>
      <c r="O17">
        <v>34</v>
      </c>
    </row>
    <row r="18" spans="1:15" ht="15" customHeight="1">
      <c r="A18">
        <v>72</v>
      </c>
      <c r="B18" s="100">
        <v>6</v>
      </c>
      <c r="C18" s="256" t="str" cm="1">
        <f t="array" aca="1" ref="C18" ca="1">INDIRECT(_xlfn.CONCAT("данные!","B",A18))</f>
        <v>Устройство щебеночного основания с трамбовкой</v>
      </c>
      <c r="D18" s="256">
        <f>данные!E12*1000</f>
        <v>0</v>
      </c>
      <c r="E18" s="89" t="str" cm="1">
        <f t="array" aca="1" ref="E18" ca="1">INDIRECT(_xlfn.CONCAT("данные!","D",A18))</f>
        <v>м3</v>
      </c>
      <c r="F18" s="125" t="e">
        <f>расчеты!I9</f>
        <v>#VALUE!</v>
      </c>
      <c r="G18" s="143" cm="1">
        <f t="array" aca="1" ref="G18" ca="1">INDIRECT(_xlfn.CONCAT("данные!","E",A18))</f>
        <v>0</v>
      </c>
      <c r="H18" s="13" t="e">
        <f t="shared" ca="1" si="0"/>
        <v>#VALUE!</v>
      </c>
      <c r="I18" s="238" t="str" cm="1">
        <f t="array" aca="1" ref="I18" ca="1">INDIRECT(_xlfn.CONCAT("данные!","B",O18))</f>
        <v>Щебень фр 20х40</v>
      </c>
      <c r="J18" s="282"/>
      <c r="K18" s="9" t="str" cm="1">
        <f t="array" aca="1" ref="K18" ca="1">INDIRECT(_xlfn.CONCAT("данные!","D",O18))</f>
        <v>м3</v>
      </c>
      <c r="L18" s="125" t="e">
        <f>F18*1.15</f>
        <v>#VALUE!</v>
      </c>
      <c r="M18" s="175" cm="1">
        <f t="array" aca="1" ref="M18" ca="1">INDIRECT(_xlfn.CONCAT("данные!","E",O18))</f>
        <v>0</v>
      </c>
      <c r="N18" s="13" t="e">
        <f ca="1">L18*M18</f>
        <v>#VALUE!</v>
      </c>
      <c r="O18">
        <v>36</v>
      </c>
    </row>
    <row r="19" spans="1:15">
      <c r="B19" s="2"/>
      <c r="C19" s="14"/>
      <c r="D19" s="2"/>
      <c r="E19" s="2"/>
      <c r="F19" s="283" t="s">
        <v>13</v>
      </c>
      <c r="G19" s="283"/>
      <c r="H19" s="15" t="e">
        <f ca="1">SUM(H13:H18)</f>
        <v>#VALUE!</v>
      </c>
      <c r="I19" s="3"/>
      <c r="J19" s="3"/>
      <c r="K19" s="2"/>
      <c r="L19" s="284" t="s">
        <v>14</v>
      </c>
      <c r="M19" s="284"/>
      <c r="N19" s="87" t="e">
        <f>SUM(N13:N18)</f>
        <v>#VALUE!</v>
      </c>
    </row>
    <row r="20" spans="1:15">
      <c r="B20" s="285" t="s">
        <v>15</v>
      </c>
      <c r="C20" s="285"/>
      <c r="D20" s="285"/>
      <c r="E20" s="285"/>
      <c r="F20" s="285"/>
      <c r="G20" s="157"/>
      <c r="H20" s="2"/>
      <c r="I20" s="3"/>
      <c r="J20" s="3"/>
      <c r="K20" s="2"/>
      <c r="L20" s="157"/>
      <c r="M20" s="157"/>
      <c r="N20" s="2"/>
    </row>
    <row r="21" spans="1:15">
      <c r="A21">
        <v>73</v>
      </c>
      <c r="B21" s="17" t="s">
        <v>16</v>
      </c>
      <c r="C21" s="313" t="str" cm="1">
        <f t="array" aca="1" ref="C21" ca="1">INDIRECT(_xlfn.CONCAT("данные!","B",A21))</f>
        <v>Монтаж опалубки</v>
      </c>
      <c r="D21" s="314"/>
      <c r="E21" s="89" t="str" cm="1">
        <f t="array" aca="1" ref="E21" ca="1">INDIRECT(_xlfn.CONCAT("данные!","D",A21))</f>
        <v>м2</v>
      </c>
      <c r="F21" s="128" t="e">
        <f>расчеты!H13</f>
        <v>#VALUE!</v>
      </c>
      <c r="G21" s="143" cm="1">
        <f t="array" aca="1" ref="G21" ca="1">INDIRECT(_xlfn.CONCAT("данные!","E",A21))</f>
        <v>0</v>
      </c>
      <c r="H21" s="13" t="e">
        <f ca="1">F21*G21</f>
        <v>#VALUE!</v>
      </c>
      <c r="I21" s="238" t="str" cm="1">
        <f t="array" aca="1" ref="I21" ca="1">INDIRECT(_xlfn.CONCAT("данные!","B",O21))</f>
        <v>Доска 50х150 обр</v>
      </c>
      <c r="J21" s="282"/>
      <c r="K21" s="9" t="str" cm="1">
        <f t="array" aca="1" ref="K21" ca="1">INDIRECT(_xlfn.CONCAT("данные!","D",O21))</f>
        <v>м3</v>
      </c>
      <c r="L21" s="128" t="e">
        <f>расчеты!P13</f>
        <v>#VALUE!</v>
      </c>
      <c r="M21" s="175" cm="1">
        <f t="array" aca="1" ref="M21" ca="1">INDIRECT(_xlfn.CONCAT("данные!","E",O21))</f>
        <v>0</v>
      </c>
      <c r="N21" s="19" t="e">
        <f t="shared" ref="N21:N45" ca="1" si="1">L21*M21</f>
        <v>#VALUE!</v>
      </c>
      <c r="O21">
        <v>37</v>
      </c>
    </row>
    <row r="22" spans="1:15">
      <c r="B22" s="17"/>
      <c r="C22" s="115"/>
      <c r="D22" s="116"/>
      <c r="E22" s="90"/>
      <c r="F22" s="128"/>
      <c r="G22" s="128"/>
      <c r="H22" s="127"/>
      <c r="I22" s="238" t="str" cm="1">
        <f t="array" aca="1" ref="I22" ca="1">INDIRECT(_xlfn.CONCAT("данные!","B",O22))</f>
        <v>Шпилька М12  2000 мм</v>
      </c>
      <c r="J22" s="282"/>
      <c r="K22" s="9" t="str" cm="1">
        <f t="array" aca="1" ref="K22" ca="1">INDIRECT(_xlfn.CONCAT("данные!","D",O22))</f>
        <v>шт</v>
      </c>
      <c r="L22" s="128">
        <f>расчеты!O14+расчеты!O15</f>
        <v>60</v>
      </c>
      <c r="M22" s="175" cm="1">
        <f t="array" aca="1" ref="M22" ca="1">INDIRECT(_xlfn.CONCAT("данные!","E",O22))</f>
        <v>0</v>
      </c>
      <c r="N22" s="19">
        <f t="shared" ca="1" si="1"/>
        <v>0</v>
      </c>
      <c r="O22">
        <v>38</v>
      </c>
    </row>
    <row r="23" spans="1:15">
      <c r="B23" s="17"/>
      <c r="C23" s="115"/>
      <c r="D23" s="116"/>
      <c r="E23" s="90"/>
      <c r="F23" s="128"/>
      <c r="G23" s="128"/>
      <c r="H23" s="127"/>
      <c r="I23" s="238" t="str" cm="1">
        <f t="array" aca="1" ref="I23" ca="1">INDIRECT(_xlfn.CONCAT("данные!","B",O23))</f>
        <v>Шайба усиленная  М12</v>
      </c>
      <c r="J23" s="282"/>
      <c r="K23" s="9" t="str" cm="1">
        <f t="array" aca="1" ref="K23" ca="1">INDIRECT(_xlfn.CONCAT("данные!","D",O23))</f>
        <v>кг</v>
      </c>
      <c r="L23" s="128">
        <f>(расчеты!P14+расчеты!P15)/48</f>
        <v>7.416666666666667</v>
      </c>
      <c r="M23" s="175" cm="1">
        <f t="array" aca="1" ref="M23" ca="1">INDIRECT(_xlfn.CONCAT("данные!","E",O23))</f>
        <v>0</v>
      </c>
      <c r="N23" s="19">
        <f t="shared" ca="1" si="1"/>
        <v>0</v>
      </c>
      <c r="O23">
        <v>39</v>
      </c>
    </row>
    <row r="24" spans="1:15">
      <c r="B24" s="17"/>
      <c r="C24" s="115"/>
      <c r="D24" s="116"/>
      <c r="E24" s="90"/>
      <c r="F24" s="128"/>
      <c r="G24" s="128"/>
      <c r="H24" s="127"/>
      <c r="I24" s="238" t="str" cm="1">
        <f t="array" aca="1" ref="I24" ca="1">INDIRECT(_xlfn.CONCAT("данные!","B",O24))</f>
        <v>Гайка М12</v>
      </c>
      <c r="J24" s="282"/>
      <c r="K24" s="9" t="str" cm="1">
        <f t="array" aca="1" ref="K24" ca="1">INDIRECT(_xlfn.CONCAT("данные!","D",O24))</f>
        <v>кг</v>
      </c>
      <c r="L24" s="128">
        <f>(расчеты!P14+расчеты!P15)/62</f>
        <v>5.741935483870968</v>
      </c>
      <c r="M24" s="175" cm="1">
        <f t="array" aca="1" ref="M24" ca="1">INDIRECT(_xlfn.CONCAT("данные!","E",O24))</f>
        <v>0</v>
      </c>
      <c r="N24" s="19">
        <f t="shared" ca="1" si="1"/>
        <v>0</v>
      </c>
      <c r="O24">
        <v>40</v>
      </c>
    </row>
    <row r="25" spans="1:15">
      <c r="B25" s="17"/>
      <c r="C25" s="115"/>
      <c r="D25" s="116"/>
      <c r="E25" s="90"/>
      <c r="F25" s="128"/>
      <c r="G25" s="128"/>
      <c r="H25" s="127"/>
      <c r="I25" s="238" t="str" cm="1">
        <f t="array" aca="1" ref="I25" ca="1">INDIRECT(_xlfn.CONCAT("данные!","B",O25))</f>
        <v>Гильза (Трубка изолирующая)</v>
      </c>
      <c r="J25" s="282"/>
      <c r="K25" s="9" t="str" cm="1">
        <f t="array" aca="1" ref="K25" ca="1">INDIRECT(_xlfn.CONCAT("данные!","D",O25))</f>
        <v>м.п.</v>
      </c>
      <c r="L25" s="128">
        <f>расчеты!K16</f>
        <v>107</v>
      </c>
      <c r="M25" s="175" cm="1">
        <f t="array" aca="1" ref="M25" ca="1">INDIRECT(_xlfn.CONCAT("данные!","E",O25))</f>
        <v>0</v>
      </c>
      <c r="N25" s="19">
        <f t="shared" ca="1" si="1"/>
        <v>0</v>
      </c>
      <c r="O25">
        <v>41</v>
      </c>
    </row>
    <row r="26" spans="1:15">
      <c r="B26" s="16"/>
      <c r="C26" s="286"/>
      <c r="D26" s="287"/>
      <c r="E26" s="90"/>
      <c r="F26" s="128"/>
      <c r="G26" s="128"/>
      <c r="H26" s="127"/>
      <c r="I26" s="238" t="str" cm="1">
        <f t="array" aca="1" ref="I26" ca="1">INDIRECT(_xlfn.CONCAT("данные!","B",O26))</f>
        <v>Гвоздь строительный  100 мм</v>
      </c>
      <c r="J26" s="282"/>
      <c r="K26" s="9" t="str" cm="1">
        <f t="array" aca="1" ref="K26" ca="1">INDIRECT(_xlfn.CONCAT("данные!","D",O26))</f>
        <v>кг</v>
      </c>
      <c r="L26" s="128" t="e">
        <f>расчеты!K19</f>
        <v>#VALUE!</v>
      </c>
      <c r="M26" s="175" cm="1">
        <f t="array" aca="1" ref="M26" ca="1">INDIRECT(_xlfn.CONCAT("данные!","E",O26))</f>
        <v>0</v>
      </c>
      <c r="N26" s="19" t="e">
        <f t="shared" ca="1" si="1"/>
        <v>#VALUE!</v>
      </c>
      <c r="O26">
        <f>O25+1</f>
        <v>42</v>
      </c>
    </row>
    <row r="27" spans="1:15" ht="15" customHeight="1">
      <c r="B27" s="20"/>
      <c r="C27" s="288"/>
      <c r="D27" s="289"/>
      <c r="E27" s="91"/>
      <c r="F27" s="129"/>
      <c r="G27" s="129"/>
      <c r="H27" s="130"/>
      <c r="I27" s="238" t="str" cm="1">
        <f t="array" aca="1" ref="I27" ca="1">INDIRECT(_xlfn.CONCAT("данные!","B",O27))</f>
        <v>Саморез черный по дереву усиленный 96 мм</v>
      </c>
      <c r="J27" s="282"/>
      <c r="K27" s="9" t="str" cm="1">
        <f t="array" aca="1" ref="K27" ca="1">INDIRECT(_xlfn.CONCAT("данные!","D",O27))</f>
        <v>кг</v>
      </c>
      <c r="L27" s="162">
        <f>расчеты!K20</f>
        <v>2.7384615384615385</v>
      </c>
      <c r="M27" s="175" cm="1">
        <f t="array" aca="1" ref="M27" ca="1">INDIRECT(_xlfn.CONCAT("данные!","E",O27))</f>
        <v>0</v>
      </c>
      <c r="N27" s="120">
        <f t="shared" ca="1" si="1"/>
        <v>0</v>
      </c>
      <c r="O27">
        <f t="shared" ref="O27:O45" si="2">O26+1</f>
        <v>43</v>
      </c>
    </row>
    <row r="28" spans="1:15">
      <c r="B28" s="16"/>
      <c r="C28" s="288"/>
      <c r="D28" s="289"/>
      <c r="E28" s="90"/>
      <c r="F28" s="128"/>
      <c r="G28" s="128"/>
      <c r="H28" s="127"/>
      <c r="I28" s="238" t="str" cm="1">
        <f t="array" aca="1" ref="I28" ca="1">INDIRECT(_xlfn.CONCAT("данные!","B",O28))</f>
        <v>Пленка п/э 200 мкр</v>
      </c>
      <c r="J28" s="282"/>
      <c r="K28" s="9" t="str" cm="1">
        <f t="array" aca="1" ref="K28" ca="1">INDIRECT(_xlfn.CONCAT("данные!","D",O28))</f>
        <v>м2</v>
      </c>
      <c r="L28" s="128" t="e">
        <f>расчеты!H17</f>
        <v>#VALUE!</v>
      </c>
      <c r="M28" s="175" cm="1">
        <f t="array" aca="1" ref="M28" ca="1">INDIRECT(_xlfn.CONCAT("данные!","E",O28))</f>
        <v>0</v>
      </c>
      <c r="N28" s="19" t="e">
        <f t="shared" ca="1" si="1"/>
        <v>#VALUE!</v>
      </c>
      <c r="O28">
        <f t="shared" si="2"/>
        <v>44</v>
      </c>
    </row>
    <row r="29" spans="1:15" ht="27.5" customHeight="1">
      <c r="B29" s="96" t="s">
        <v>22</v>
      </c>
      <c r="C29" s="290" t="s">
        <v>99</v>
      </c>
      <c r="D29" s="290"/>
      <c r="E29" s="89" t="e" cm="1">
        <f t="array" aca="1" ref="E29" ca="1">INDIRECT(_xlfn.CONCAT("данные!","D",A29))</f>
        <v>#REF!</v>
      </c>
      <c r="F29" s="170" t="e">
        <f>L29+L30+L31+L32+L36+L35</f>
        <v>#VALUE!</v>
      </c>
      <c r="G29" s="143" t="e" cm="1">
        <f t="array" aca="1" ref="G29" ca="1">INDIRECT(_xlfn.CONCAT("данные!","E",A29))</f>
        <v>#REF!</v>
      </c>
      <c r="H29" s="13" t="e">
        <f t="shared" ref="H29:H35" ca="1" si="3">F29*G29</f>
        <v>#VALUE!</v>
      </c>
      <c r="I29" s="238" t="str" cm="1">
        <f t="array" aca="1" ref="I29" ca="1">INDIRECT(_xlfn.CONCAT("данные!","B",O29))</f>
        <v>Арматура д.12 мм  А500С</v>
      </c>
      <c r="J29" s="282"/>
      <c r="K29" s="9" t="str" cm="1">
        <f t="array" aca="1" ref="K29" ca="1">INDIRECT(_xlfn.CONCAT("данные!","D",O29))</f>
        <v>тн</v>
      </c>
      <c r="L29" s="163" t="e">
        <f>расчеты!E11</f>
        <v>#VALUE!</v>
      </c>
      <c r="M29" s="175" cm="1">
        <f t="array" aca="1" ref="M29" ca="1">INDIRECT(_xlfn.CONCAT("данные!","E",O29))</f>
        <v>0</v>
      </c>
      <c r="N29" s="19" t="e">
        <f t="shared" ca="1" si="1"/>
        <v>#VALUE!</v>
      </c>
      <c r="O29">
        <f t="shared" si="2"/>
        <v>45</v>
      </c>
    </row>
    <row r="30" spans="1:15">
      <c r="A30">
        <v>75</v>
      </c>
      <c r="B30" s="97" t="s">
        <v>97</v>
      </c>
      <c r="C30" s="313" t="str" cm="1">
        <f t="array" aca="1" ref="C30" ca="1">INDIRECT(_xlfn.CONCAT("данные!","B",A30))</f>
        <v>Изготовление детали "хомут"</v>
      </c>
      <c r="D30" s="314"/>
      <c r="E30" s="89" t="str" cm="1">
        <f t="array" aca="1" ref="E30" ca="1">INDIRECT(_xlfn.CONCAT("данные!","D",A30))</f>
        <v>шт</v>
      </c>
      <c r="F30" s="171">
        <f>расчеты!B22+расчеты!B23</f>
        <v>398.5</v>
      </c>
      <c r="G30" s="143" cm="1">
        <f t="array" aca="1" ref="G30" ca="1">INDIRECT(_xlfn.CONCAT("данные!","E",A30))</f>
        <v>0</v>
      </c>
      <c r="H30" s="22">
        <f t="shared" ca="1" si="3"/>
        <v>0</v>
      </c>
      <c r="I30" s="238" t="str" cm="1">
        <f t="array" aca="1" ref="I30" ca="1">INDIRECT(_xlfn.CONCAT("данные!","B",O30))</f>
        <v>Арматура д.8 мм  А240</v>
      </c>
      <c r="J30" s="282"/>
      <c r="K30" s="9" t="str" cm="1">
        <f t="array" aca="1" ref="K30" ca="1">INDIRECT(_xlfn.CONCAT("данные!","D",O30))</f>
        <v>тн</v>
      </c>
      <c r="L30" s="164" t="e">
        <f>расчеты!E22+расчеты!E23</f>
        <v>#VALUE!</v>
      </c>
      <c r="M30" s="175" cm="1">
        <f t="array" aca="1" ref="M30" ca="1">INDIRECT(_xlfn.CONCAT("данные!","E",O30))</f>
        <v>0</v>
      </c>
      <c r="N30" s="19" t="e">
        <f t="shared" ca="1" si="1"/>
        <v>#VALUE!</v>
      </c>
      <c r="O30">
        <f t="shared" si="2"/>
        <v>46</v>
      </c>
    </row>
    <row r="31" spans="1:15">
      <c r="A31">
        <v>76</v>
      </c>
      <c r="B31" s="98" t="s">
        <v>26</v>
      </c>
      <c r="C31" s="313" t="str" cm="1">
        <f t="array" aca="1" ref="C31" ca="1">INDIRECT(_xlfn.CONCAT("данные!","B",A31))</f>
        <v>Изготовление Д3 "УГОЛ"</v>
      </c>
      <c r="D31" s="314"/>
      <c r="E31" s="89" t="str" cm="1">
        <f t="array" aca="1" ref="E31" ca="1">INDIRECT(_xlfn.CONCAT("данные!","D",A31))</f>
        <v>шт</v>
      </c>
      <c r="F31" s="160" t="e">
        <f>расчеты!B17+расчеты!B18</f>
        <v>#VALUE!</v>
      </c>
      <c r="G31" s="143" cm="1">
        <f t="array" aca="1" ref="G31" ca="1">INDIRECT(_xlfn.CONCAT("данные!","E",A31))</f>
        <v>0</v>
      </c>
      <c r="H31" s="99" t="e">
        <f t="shared" ca="1" si="3"/>
        <v>#VALUE!</v>
      </c>
      <c r="I31" s="238" t="str" cm="1">
        <f t="array" aca="1" ref="I31" ca="1">INDIRECT(_xlfn.CONCAT("данные!","B",O31))</f>
        <v>Арматура д.12 мм  А500С</v>
      </c>
      <c r="J31" s="282"/>
      <c r="K31" s="9" t="str" cm="1">
        <f t="array" aca="1" ref="K31" ca="1">INDIRECT(_xlfn.CONCAT("данные!","D",O31))</f>
        <v>тн</v>
      </c>
      <c r="L31" s="163" t="e">
        <f>расчеты!E17+расчеты!E18</f>
        <v>#VALUE!</v>
      </c>
      <c r="M31" s="175" cm="1">
        <f t="array" aca="1" ref="M31" ca="1">INDIRECT(_xlfn.CONCAT("данные!","E",O31))</f>
        <v>0</v>
      </c>
      <c r="N31" s="19" t="e">
        <f t="shared" ca="1" si="1"/>
        <v>#VALUE!</v>
      </c>
      <c r="O31">
        <v>45</v>
      </c>
    </row>
    <row r="32" spans="1:15">
      <c r="A32">
        <v>77</v>
      </c>
      <c r="B32" s="21" t="s">
        <v>100</v>
      </c>
      <c r="C32" s="313" t="str" cm="1">
        <f t="array" aca="1" ref="C32" ca="1">INDIRECT(_xlfn.CONCAT("данные!","B",A32))</f>
        <v>Изготовление Д4 "УГОЛ 45"</v>
      </c>
      <c r="D32" s="314"/>
      <c r="E32" s="89" t="str" cm="1">
        <f t="array" aca="1" ref="E32" ca="1">INDIRECT(_xlfn.CONCAT("данные!","D",A32))</f>
        <v>шт</v>
      </c>
      <c r="F32" s="125" t="e">
        <f>расчеты!B20</f>
        <v>#VALUE!</v>
      </c>
      <c r="G32" s="143" cm="1">
        <f t="array" aca="1" ref="G32" ca="1">INDIRECT(_xlfn.CONCAT("данные!","E",A32))</f>
        <v>0</v>
      </c>
      <c r="H32" s="13" t="e">
        <f t="shared" ca="1" si="3"/>
        <v>#VALUE!</v>
      </c>
      <c r="I32" s="238" t="str" cm="1">
        <f t="array" aca="1" ref="I32" ca="1">INDIRECT(_xlfn.CONCAT("данные!","B",O32))</f>
        <v>Арматура д.12 мм  А500С</v>
      </c>
      <c r="J32" s="282"/>
      <c r="K32" s="9" t="str" cm="1">
        <f t="array" aca="1" ref="K32" ca="1">INDIRECT(_xlfn.CONCAT("данные!","D",O32))</f>
        <v>тн</v>
      </c>
      <c r="L32" s="164" t="e">
        <f>расчеты!E20</f>
        <v>#VALUE!</v>
      </c>
      <c r="M32" s="175" cm="1">
        <f t="array" aca="1" ref="M32" ca="1">INDIRECT(_xlfn.CONCAT("данные!","E",O32))</f>
        <v>0</v>
      </c>
      <c r="N32" s="19" t="e">
        <f t="shared" ca="1" si="1"/>
        <v>#VALUE!</v>
      </c>
      <c r="O32">
        <v>45</v>
      </c>
    </row>
    <row r="33" spans="1:15">
      <c r="A33">
        <v>78</v>
      </c>
      <c r="B33" s="21"/>
      <c r="C33" s="313" t="str" cm="1">
        <f t="array" aca="1" ref="C33" ca="1">INDIRECT(_xlfn.CONCAT("данные!","B",A33))</f>
        <v>Изготовление Д5 "крест"</v>
      </c>
      <c r="D33" s="314"/>
      <c r="E33" s="89" t="str" cm="1">
        <f t="array" aca="1" ref="E33" ca="1">INDIRECT(_xlfn.CONCAT("данные!","D",A33))</f>
        <v>шт</v>
      </c>
      <c r="F33" s="125" t="e">
        <f>расчеты!B13</f>
        <v>#VALUE!</v>
      </c>
      <c r="G33" s="143" cm="1">
        <f t="array" aca="1" ref="G33" ca="1">INDIRECT(_xlfn.CONCAT("данные!","E",A33))</f>
        <v>0</v>
      </c>
      <c r="H33" s="13" t="e">
        <f t="shared" ca="1" si="3"/>
        <v>#VALUE!</v>
      </c>
      <c r="I33" s="238" t="str" cm="1">
        <f t="array" aca="1" ref="I33" ca="1">INDIRECT(_xlfn.CONCAT("данные!","B",O33))</f>
        <v>Арматура д.12 мм  А500С</v>
      </c>
      <c r="J33" s="282"/>
      <c r="K33" s="9" t="str" cm="1">
        <f t="array" aca="1" ref="K33" ca="1">INDIRECT(_xlfn.CONCAT("данные!","D",O33))</f>
        <v>тн</v>
      </c>
      <c r="L33" s="164" t="e">
        <f>расчеты!E13</f>
        <v>#VALUE!</v>
      </c>
      <c r="M33" s="175" cm="1">
        <f t="array" aca="1" ref="M33" ca="1">INDIRECT(_xlfn.CONCAT("данные!","E",O33))</f>
        <v>0</v>
      </c>
      <c r="N33" s="19" t="e">
        <f t="shared" ca="1" si="1"/>
        <v>#VALUE!</v>
      </c>
      <c r="O33">
        <v>45</v>
      </c>
    </row>
    <row r="34" spans="1:15">
      <c r="A34">
        <v>79</v>
      </c>
      <c r="B34" s="21"/>
      <c r="C34" s="313" t="str" cm="1">
        <f t="array" aca="1" ref="C34" ca="1">INDIRECT(_xlfn.CONCAT("данные!","B",A34))</f>
        <v>Изготовление Д6 "Т"</v>
      </c>
      <c r="D34" s="314"/>
      <c r="E34" s="89" t="str" cm="1">
        <f t="array" aca="1" ref="E34" ca="1">INDIRECT(_xlfn.CONCAT("данные!","D",A34))</f>
        <v>шт</v>
      </c>
      <c r="F34" s="125" t="e">
        <f>расчеты!B15</f>
        <v>#VALUE!</v>
      </c>
      <c r="G34" s="143" cm="1">
        <f t="array" aca="1" ref="G34" ca="1">INDIRECT(_xlfn.CONCAT("данные!","E",A34))</f>
        <v>0</v>
      </c>
      <c r="H34" s="13" t="e">
        <f t="shared" ca="1" si="3"/>
        <v>#VALUE!</v>
      </c>
      <c r="I34" s="238" t="str" cm="1">
        <f t="array" aca="1" ref="I34" ca="1">INDIRECT(_xlfn.CONCAT("данные!","B",O34))</f>
        <v>Арматура д.12 мм  А500С</v>
      </c>
      <c r="J34" s="282"/>
      <c r="K34" s="9" t="str" cm="1">
        <f t="array" aca="1" ref="K34" ca="1">INDIRECT(_xlfn.CONCAT("данные!","D",O34))</f>
        <v>тн</v>
      </c>
      <c r="L34" s="164" t="e">
        <f>расчеты!E15</f>
        <v>#VALUE!</v>
      </c>
      <c r="M34" s="175" cm="1">
        <f t="array" aca="1" ref="M34" ca="1">INDIRECT(_xlfn.CONCAT("данные!","E",O34))</f>
        <v>0</v>
      </c>
      <c r="N34" s="19" t="e">
        <f t="shared" ca="1" si="1"/>
        <v>#VALUE!</v>
      </c>
      <c r="O34">
        <v>45</v>
      </c>
    </row>
    <row r="35" spans="1:15">
      <c r="A35">
        <v>80</v>
      </c>
      <c r="B35" s="21" t="s">
        <v>104</v>
      </c>
      <c r="C35" s="313" t="str" cm="1">
        <f t="array" aca="1" ref="C35" ca="1">INDIRECT(_xlfn.CONCAT("данные!","B",A35))</f>
        <v>Изготовление Д1 "Стойка"</v>
      </c>
      <c r="D35" s="314"/>
      <c r="E35" s="89" t="str" cm="1">
        <f t="array" aca="1" ref="E35" ca="1">INDIRECT(_xlfn.CONCAT("данные!","D",A35))</f>
        <v>шт</v>
      </c>
      <c r="F35" s="125" t="e">
        <f>расчеты!B25</f>
        <v>#VALUE!</v>
      </c>
      <c r="G35" s="143" cm="1">
        <f t="array" aca="1" ref="G35" ca="1">INDIRECT(_xlfn.CONCAT("данные!","E",A35))</f>
        <v>0</v>
      </c>
      <c r="H35" s="13" t="e">
        <f t="shared" ca="1" si="3"/>
        <v>#VALUE!</v>
      </c>
      <c r="I35" s="238" t="str" cm="1">
        <f t="array" aca="1" ref="I35" ca="1">INDIRECT(_xlfn.CONCAT("данные!","B",O35))</f>
        <v>Арматура д.12 мм  А500С</v>
      </c>
      <c r="J35" s="282"/>
      <c r="K35" s="9" t="str" cm="1">
        <f t="array" aca="1" ref="K35" ca="1">INDIRECT(_xlfn.CONCAT("данные!","D",O35))</f>
        <v>тн</v>
      </c>
      <c r="L35" s="164" t="e">
        <f>расчеты!E25</f>
        <v>#VALUE!</v>
      </c>
      <c r="M35" s="175" cm="1">
        <f t="array" aca="1" ref="M35" ca="1">INDIRECT(_xlfn.CONCAT("данные!","E",O35))</f>
        <v>0</v>
      </c>
      <c r="N35" s="19" t="e">
        <f t="shared" ca="1" si="1"/>
        <v>#VALUE!</v>
      </c>
      <c r="O35">
        <v>45</v>
      </c>
    </row>
    <row r="36" spans="1:15">
      <c r="B36" s="101"/>
      <c r="C36" s="262"/>
      <c r="D36" s="262"/>
      <c r="E36" s="12"/>
      <c r="F36" s="125"/>
      <c r="G36" s="127"/>
      <c r="H36" s="13"/>
      <c r="I36" s="238" t="str" cm="1">
        <f t="array" aca="1" ref="I36" ca="1">INDIRECT(_xlfn.CONCAT("данные!","B",O36))</f>
        <v>Арматура д.8 мм  А240</v>
      </c>
      <c r="J36" s="282"/>
      <c r="K36" s="9" t="str" cm="1">
        <f t="array" aca="1" ref="K36" ca="1">INDIRECT(_xlfn.CONCAT("данные!","D",O36))</f>
        <v>тн</v>
      </c>
      <c r="L36" s="164" t="e">
        <f>расчеты!E27</f>
        <v>#VALUE!</v>
      </c>
      <c r="M36" s="175" cm="1">
        <f t="array" aca="1" ref="M36" ca="1">INDIRECT(_xlfn.CONCAT("данные!","E",O36))</f>
        <v>0</v>
      </c>
      <c r="N36" s="19" t="e">
        <f t="shared" ca="1" si="1"/>
        <v>#VALUE!</v>
      </c>
      <c r="O36">
        <f t="shared" si="2"/>
        <v>46</v>
      </c>
    </row>
    <row r="37" spans="1:15">
      <c r="A37">
        <v>81</v>
      </c>
      <c r="B37" s="114" t="s">
        <v>124</v>
      </c>
      <c r="C37" s="313" t="str" cm="1">
        <f t="array" aca="1" ref="C37" ca="1">INDIRECT(_xlfn.CONCAT("данные!","B",A37))</f>
        <v>Монтаж продухов</v>
      </c>
      <c r="D37" s="314"/>
      <c r="E37" s="89" t="str" cm="1">
        <f t="array" aca="1" ref="E37" ca="1">INDIRECT(_xlfn.CONCAT("данные!","D",A37))</f>
        <v>шт</v>
      </c>
      <c r="F37" s="125">
        <f>расчеты!I22+расчеты!I23</f>
        <v>32</v>
      </c>
      <c r="G37" s="143" cm="1">
        <f t="array" aca="1" ref="G37" ca="1">INDIRECT(_xlfn.CONCAT("данные!","E",A37))</f>
        <v>0</v>
      </c>
      <c r="H37" s="13">
        <f t="shared" ref="H37:H38" ca="1" si="4">F37*G37</f>
        <v>0</v>
      </c>
      <c r="I37" s="238" t="str" cm="1">
        <f t="array" aca="1" ref="I37" ca="1">INDIRECT(_xlfn.CONCAT("данные!","B",O37))</f>
        <v xml:space="preserve">Проволока вязальная </v>
      </c>
      <c r="J37" s="282"/>
      <c r="K37" s="9" t="str" cm="1">
        <f t="array" aca="1" ref="K37" ca="1">INDIRECT(_xlfn.CONCAT("данные!","D",O37))</f>
        <v>тн</v>
      </c>
      <c r="L37" s="164">
        <f>расчеты!L22</f>
        <v>6</v>
      </c>
      <c r="M37" s="175" cm="1">
        <f t="array" aca="1" ref="M37" ca="1">INDIRECT(_xlfn.CONCAT("данные!","E",O37))</f>
        <v>0</v>
      </c>
      <c r="N37" s="19">
        <f t="shared" ca="1" si="1"/>
        <v>0</v>
      </c>
      <c r="O37">
        <f t="shared" si="2"/>
        <v>47</v>
      </c>
    </row>
    <row r="38" spans="1:15">
      <c r="A38">
        <v>82</v>
      </c>
      <c r="B38" s="102" t="s">
        <v>29</v>
      </c>
      <c r="C38" s="313" t="str" cm="1">
        <f t="array" aca="1" ref="C38" ca="1">INDIRECT(_xlfn.CONCAT("данные!","B",A38))</f>
        <v>Бетонирование монолитного ростверка</v>
      </c>
      <c r="D38" s="314"/>
      <c r="E38" s="89" t="str" cm="1">
        <f t="array" aca="1" ref="E38" ca="1">INDIRECT(_xlfn.CONCAT("данные!","D",A38))</f>
        <v>м3</v>
      </c>
      <c r="F38" s="125" t="e">
        <f>расчеты!A29</f>
        <v>#VALUE!</v>
      </c>
      <c r="G38" s="143" cm="1">
        <f t="array" aca="1" ref="G38" ca="1">INDIRECT(_xlfn.CONCAT("данные!","E",A38))</f>
        <v>0</v>
      </c>
      <c r="H38" s="13" t="e">
        <f t="shared" ca="1" si="4"/>
        <v>#VALUE!</v>
      </c>
      <c r="I38" s="238" t="str" cm="1">
        <f t="array" aca="1" ref="I38" ca="1">INDIRECT(_xlfn.CONCAT("данные!","B",O38))</f>
        <v>Бетон В 25</v>
      </c>
      <c r="J38" s="282"/>
      <c r="K38" s="9" t="str" cm="1">
        <f t="array" aca="1" ref="K38" ca="1">INDIRECT(_xlfn.CONCAT("данные!","D",O38))</f>
        <v>м3</v>
      </c>
      <c r="L38" s="155" t="e">
        <f>F38*1.1</f>
        <v>#VALUE!</v>
      </c>
      <c r="M38" s="175" cm="1">
        <f t="array" aca="1" ref="M38" ca="1">INDIRECT(_xlfn.CONCAT("данные!","E",O38))</f>
        <v>0</v>
      </c>
      <c r="N38" s="19" t="e">
        <f t="shared" ca="1" si="1"/>
        <v>#VALUE!</v>
      </c>
      <c r="O38">
        <f t="shared" si="2"/>
        <v>48</v>
      </c>
    </row>
    <row r="39" spans="1:15">
      <c r="B39" s="103"/>
      <c r="C39" s="256"/>
      <c r="D39" s="256"/>
      <c r="E39" s="24"/>
      <c r="F39" s="125"/>
      <c r="G39" s="126"/>
      <c r="H39" s="13"/>
      <c r="I39" s="238" t="str" cm="1">
        <f t="array" aca="1" ref="I39" ca="1">INDIRECT(_xlfn.CONCAT("данные!","B",O39))</f>
        <v>Опорная площадка "Стульчик"</v>
      </c>
      <c r="J39" s="282"/>
      <c r="K39" s="9" t="str" cm="1">
        <f t="array" aca="1" ref="K39" ca="1">INDIRECT(_xlfn.CONCAT("данные!","D",O39))</f>
        <v>шт</v>
      </c>
      <c r="L39" s="155" t="e">
        <f>расчеты!B25</f>
        <v>#VALUE!</v>
      </c>
      <c r="M39" s="175" cm="1">
        <f t="array" aca="1" ref="M39" ca="1">INDIRECT(_xlfn.CONCAT("данные!","E",O39))</f>
        <v>0</v>
      </c>
      <c r="N39" s="19" t="e">
        <f t="shared" ca="1" si="1"/>
        <v>#VALUE!</v>
      </c>
      <c r="O39">
        <f t="shared" si="2"/>
        <v>49</v>
      </c>
    </row>
    <row r="40" spans="1:15">
      <c r="B40" s="103"/>
      <c r="C40" s="256"/>
      <c r="D40" s="256"/>
      <c r="E40" s="92"/>
      <c r="F40" s="125"/>
      <c r="G40" s="126"/>
      <c r="H40" s="13"/>
      <c r="I40" s="247" t="s">
        <v>102</v>
      </c>
      <c r="J40" s="248"/>
      <c r="K40" s="23"/>
      <c r="L40" s="155"/>
      <c r="M40" s="175" t="e" cm="1">
        <f t="array" aca="1" ref="M40" ca="1">INDIRECT(_xlfn.CONCAT("данные!","E",O40))</f>
        <v>#REF!</v>
      </c>
      <c r="N40" s="19"/>
    </row>
    <row r="41" spans="1:15">
      <c r="B41" s="124"/>
      <c r="C41" s="291"/>
      <c r="D41" s="292"/>
      <c r="E41" s="24"/>
      <c r="F41" s="125"/>
      <c r="G41" s="126"/>
      <c r="H41" s="13"/>
      <c r="I41" s="315" t="s">
        <v>115</v>
      </c>
      <c r="J41" s="316"/>
      <c r="K41" s="9" t="str" cm="1">
        <f t="array" aca="1" ref="K41" ca="1">INDIRECT(_xlfn.CONCAT("данные!","D",O41))</f>
        <v>шт</v>
      </c>
      <c r="L41" s="155" t="e">
        <f>'Ст-сть Матер-Работ'!F25</f>
        <v>#VALUE!</v>
      </c>
      <c r="M41" s="175" cm="1">
        <f t="array" aca="1" ref="M41" ca="1">INDIRECT(_xlfn.CONCAT("данные!","E",O41))</f>
        <v>0</v>
      </c>
      <c r="N41" s="19" t="e">
        <f t="shared" ca="1" si="1"/>
        <v>#VALUE!</v>
      </c>
      <c r="O41">
        <v>60</v>
      </c>
    </row>
    <row r="42" spans="1:15">
      <c r="B42" s="124"/>
      <c r="C42" s="291"/>
      <c r="D42" s="292"/>
      <c r="E42" s="24"/>
      <c r="F42" s="125"/>
      <c r="G42" s="126"/>
      <c r="H42" s="13"/>
      <c r="I42" s="315" t="s">
        <v>118</v>
      </c>
      <c r="J42" s="316"/>
      <c r="K42" s="9" t="str" cm="1">
        <f t="array" aca="1" ref="K42" ca="1">INDIRECT(_xlfn.CONCAT("данные!","D",O42))</f>
        <v>пачка</v>
      </c>
      <c r="L42" s="155" t="e">
        <f>'Ст-сть Матер-Работ'!F26</f>
        <v>#VALUE!</v>
      </c>
      <c r="M42" s="175" cm="1">
        <f t="array" aca="1" ref="M42" ca="1">INDIRECT(_xlfn.CONCAT("данные!","E",O42))</f>
        <v>0</v>
      </c>
      <c r="N42" s="19" t="e">
        <f t="shared" ca="1" si="1"/>
        <v>#VALUE!</v>
      </c>
      <c r="O42">
        <f t="shared" si="2"/>
        <v>61</v>
      </c>
    </row>
    <row r="43" spans="1:15">
      <c r="B43" s="124"/>
      <c r="C43" s="291"/>
      <c r="D43" s="292"/>
      <c r="E43" s="24"/>
      <c r="F43" s="125"/>
      <c r="G43" s="126"/>
      <c r="H43" s="13"/>
      <c r="I43" s="315" t="s">
        <v>122</v>
      </c>
      <c r="J43" s="316"/>
      <c r="K43" s="9" t="str" cm="1">
        <f t="array" aca="1" ref="K43" ca="1">INDIRECT(_xlfn.CONCAT("данные!","D",O43))</f>
        <v xml:space="preserve">бухта </v>
      </c>
      <c r="L43" s="155">
        <f>'Ст-сть Матер-Работ'!F27</f>
        <v>2</v>
      </c>
      <c r="M43" s="175" cm="1">
        <f t="array" aca="1" ref="M43" ca="1">INDIRECT(_xlfn.CONCAT("данные!","E",O43))</f>
        <v>0</v>
      </c>
      <c r="N43" s="19">
        <f t="shared" ca="1" si="1"/>
        <v>0</v>
      </c>
      <c r="O43">
        <f t="shared" si="2"/>
        <v>62</v>
      </c>
    </row>
    <row r="44" spans="1:15">
      <c r="A44">
        <v>83</v>
      </c>
      <c r="B44" s="124" t="s">
        <v>135</v>
      </c>
      <c r="C44" s="313" t="str" cm="1">
        <f t="array" aca="1" ref="C44" ca="1">INDIRECT(_xlfn.CONCAT("данные!","B",A44))</f>
        <v>Горизонтальная гидроизоляция</v>
      </c>
      <c r="D44" s="314"/>
      <c r="E44" s="89" t="str" cm="1">
        <f t="array" aca="1" ref="E44" ca="1">INDIRECT(_xlfn.CONCAT("данные!","D",A44))</f>
        <v>м2</v>
      </c>
      <c r="F44" s="125">
        <f>расчеты!N25</f>
        <v>23.91</v>
      </c>
      <c r="G44" s="143" cm="1">
        <f t="array" aca="1" ref="G44" ca="1">INDIRECT(_xlfn.CONCAT("данные!","E",A44))</f>
        <v>0</v>
      </c>
      <c r="H44" s="13">
        <f ca="1">F44*G44</f>
        <v>0</v>
      </c>
      <c r="I44" s="263" t="s">
        <v>137</v>
      </c>
      <c r="J44" s="264"/>
      <c r="K44" s="9" t="str" cm="1">
        <f t="array" aca="1" ref="K44" ca="1">INDIRECT(_xlfn.CONCAT("данные!","D",O44))</f>
        <v>рул</v>
      </c>
      <c r="L44" s="155">
        <f>расчеты!J25</f>
        <v>3</v>
      </c>
      <c r="M44" s="175" cm="1">
        <f t="array" aca="1" ref="M44" ca="1">INDIRECT(_xlfn.CONCAT("данные!","E",O44))</f>
        <v>0</v>
      </c>
      <c r="N44" s="19">
        <f t="shared" ca="1" si="1"/>
        <v>0</v>
      </c>
      <c r="O44">
        <v>51</v>
      </c>
    </row>
    <row r="45" spans="1:15">
      <c r="B45" s="124"/>
      <c r="C45" s="117"/>
      <c r="D45" s="117"/>
      <c r="E45" s="24"/>
      <c r="F45" s="125"/>
      <c r="G45" s="126"/>
      <c r="H45" s="13"/>
      <c r="I45" s="265" t="s">
        <v>141</v>
      </c>
      <c r="J45" s="266"/>
      <c r="K45" s="9" t="str" cm="1">
        <f t="array" aca="1" ref="K45" ca="1">INDIRECT(_xlfn.CONCAT("данные!","D",O45))</f>
        <v>ведро</v>
      </c>
      <c r="L45" s="155">
        <f>расчеты!N27</f>
        <v>2</v>
      </c>
      <c r="M45" s="175" cm="1">
        <f t="array" aca="1" ref="M45" ca="1">INDIRECT(_xlfn.CONCAT("данные!","E",O45))</f>
        <v>0</v>
      </c>
      <c r="N45" s="19">
        <f t="shared" ca="1" si="1"/>
        <v>0</v>
      </c>
      <c r="O45">
        <v>52</v>
      </c>
    </row>
    <row r="46" spans="1:15">
      <c r="B46" s="25"/>
      <c r="C46" s="26"/>
      <c r="D46" s="27"/>
      <c r="E46" s="27"/>
      <c r="F46" s="283" t="s">
        <v>13</v>
      </c>
      <c r="G46" s="284"/>
      <c r="H46" s="28" t="e">
        <f ca="1">SUM(H21:H45)</f>
        <v>#VALUE!</v>
      </c>
      <c r="I46" s="3"/>
      <c r="J46" s="3"/>
      <c r="K46" s="2"/>
      <c r="L46" s="284" t="s">
        <v>14</v>
      </c>
      <c r="M46" s="284"/>
      <c r="N46" s="123" t="e">
        <f ca="1">SUM(N21:N45)</f>
        <v>#VALUE!</v>
      </c>
    </row>
    <row r="47" spans="1:15">
      <c r="B47" s="293" t="s">
        <v>32</v>
      </c>
      <c r="C47" s="294"/>
      <c r="D47" s="30"/>
      <c r="E47" s="29"/>
      <c r="F47" s="158"/>
      <c r="G47" s="158"/>
      <c r="H47" s="30"/>
      <c r="I47" s="31"/>
      <c r="J47" s="31"/>
      <c r="K47" s="29"/>
      <c r="L47" s="165"/>
      <c r="M47" s="165"/>
      <c r="N47" s="30"/>
    </row>
    <row r="48" spans="1:15">
      <c r="A48">
        <v>84</v>
      </c>
      <c r="B48" s="32"/>
      <c r="C48" s="313" t="str" cm="1">
        <f t="array" aca="1" ref="C48" ca="1">INDIRECT(_xlfn.CONCAT("данные!","B",A48))</f>
        <v>Прием матералов на фундамент</v>
      </c>
      <c r="D48" s="314"/>
      <c r="E48" s="83" t="s">
        <v>34</v>
      </c>
      <c r="F48" s="128" t="e">
        <f>L50</f>
        <v>#VALUE!</v>
      </c>
      <c r="G48" s="143" cm="1">
        <f t="array" aca="1" ref="G48" ca="1">INDIRECT(_xlfn.CONCAT("данные!","E",A48))</f>
        <v>0</v>
      </c>
      <c r="H48" s="32" t="e">
        <f ca="1">F48*G48</f>
        <v>#VALUE!</v>
      </c>
      <c r="I48" s="33"/>
      <c r="J48" s="33"/>
      <c r="K48" s="34"/>
      <c r="L48" s="166"/>
      <c r="M48" s="169"/>
      <c r="N48" s="32"/>
    </row>
    <row r="49" spans="2:15">
      <c r="B49" s="32"/>
      <c r="C49" s="261"/>
      <c r="D49" s="261"/>
      <c r="E49" s="83"/>
      <c r="F49" s="128"/>
      <c r="G49" s="144"/>
      <c r="H49" s="32"/>
      <c r="I49" s="35" t="s">
        <v>35</v>
      </c>
      <c r="J49" s="35"/>
      <c r="K49" s="32" t="s">
        <v>36</v>
      </c>
      <c r="L49" s="167">
        <f>расчеты!I31</f>
        <v>1</v>
      </c>
      <c r="M49" s="175" cm="1">
        <f t="array" aca="1" ref="M49" ca="1">INDIRECT(_xlfn.CONCAT("данные!","E",O49))</f>
        <v>0</v>
      </c>
      <c r="N49" s="32">
        <f ca="1">L49*M49</f>
        <v>0</v>
      </c>
      <c r="O49">
        <v>63</v>
      </c>
    </row>
    <row r="50" spans="2:15">
      <c r="B50" s="32"/>
      <c r="C50" s="261"/>
      <c r="D50" s="261"/>
      <c r="E50" s="83"/>
      <c r="F50" s="172"/>
      <c r="G50" s="145"/>
      <c r="H50" s="37"/>
      <c r="I50" s="35" t="s">
        <v>107</v>
      </c>
      <c r="J50" s="35"/>
      <c r="K50" s="32" t="s">
        <v>36</v>
      </c>
      <c r="L50" s="167" t="e">
        <f>расчеты!E31</f>
        <v>#VALUE!</v>
      </c>
      <c r="M50" s="175" cm="1">
        <f t="array" aca="1" ref="M50" ca="1">INDIRECT(_xlfn.CONCAT("данные!","E",O50))</f>
        <v>0</v>
      </c>
      <c r="N50" s="32" t="e">
        <f ca="1">L50*M50</f>
        <v>#VALUE!</v>
      </c>
      <c r="O50">
        <v>64</v>
      </c>
    </row>
    <row r="51" spans="2:15">
      <c r="B51" s="32"/>
      <c r="C51" s="18"/>
      <c r="D51" s="18"/>
      <c r="E51" s="83"/>
      <c r="F51" s="172"/>
      <c r="G51" s="145"/>
      <c r="H51" s="37"/>
      <c r="I51" s="35" t="s">
        <v>108</v>
      </c>
      <c r="J51" s="35"/>
      <c r="K51" s="32" t="s">
        <v>36</v>
      </c>
      <c r="L51" s="167" t="e">
        <f>расчеты!J31*расчеты!K31</f>
        <v>#VALUE!</v>
      </c>
      <c r="M51" s="175" cm="1">
        <f t="array" aca="1" ref="M51" ca="1">INDIRECT(_xlfn.CONCAT("данные!","E",O51))</f>
        <v>0</v>
      </c>
      <c r="N51" s="32" t="e">
        <f t="shared" ref="N51:N52" ca="1" si="5">L51*M51</f>
        <v>#VALUE!</v>
      </c>
      <c r="O51">
        <v>65</v>
      </c>
    </row>
    <row r="52" spans="2:15">
      <c r="B52" s="32"/>
      <c r="C52" s="261"/>
      <c r="D52" s="261"/>
      <c r="E52" s="83"/>
      <c r="F52" s="172"/>
      <c r="G52" s="145"/>
      <c r="H52" s="37"/>
      <c r="I52" s="38" t="s">
        <v>37</v>
      </c>
      <c r="J52" s="38"/>
      <c r="K52" s="39" t="s">
        <v>36</v>
      </c>
      <c r="L52" s="128" t="e">
        <f>расчеты!L31</f>
        <v>#VALUE!</v>
      </c>
      <c r="M52" s="175" cm="1">
        <f t="array" aca="1" ref="M52" ca="1">INDIRECT(_xlfn.CONCAT("данные!","E",O52))</f>
        <v>0</v>
      </c>
      <c r="N52" s="32" t="e">
        <f t="shared" ca="1" si="5"/>
        <v>#VALUE!</v>
      </c>
      <c r="O52">
        <v>66</v>
      </c>
    </row>
    <row r="53" spans="2:15">
      <c r="B53" s="29"/>
      <c r="C53" s="31"/>
      <c r="D53" s="29"/>
      <c r="E53" s="29"/>
      <c r="F53" s="259" t="s">
        <v>13</v>
      </c>
      <c r="G53" s="260"/>
      <c r="H53" s="37" t="e">
        <f ca="1">SUM(H48:H52)</f>
        <v>#VALUE!</v>
      </c>
      <c r="I53" s="31"/>
      <c r="J53" s="31"/>
      <c r="K53" s="29"/>
      <c r="L53" s="274" t="s">
        <v>14</v>
      </c>
      <c r="M53" s="275"/>
      <c r="N53" s="37" t="e">
        <f ca="1">SUM(N48:N52)</f>
        <v>#VALUE!</v>
      </c>
    </row>
    <row r="54" spans="2:15">
      <c r="B54" s="29"/>
      <c r="C54" s="31"/>
      <c r="D54" s="29"/>
      <c r="E54" s="29"/>
      <c r="F54" s="158"/>
      <c r="G54" s="158"/>
      <c r="H54" s="30"/>
      <c r="I54" s="31"/>
      <c r="J54" s="31"/>
      <c r="K54" s="29"/>
      <c r="L54" s="165"/>
      <c r="M54" s="165"/>
      <c r="N54" s="30"/>
    </row>
    <row r="56" spans="2:15">
      <c r="G56" s="258" t="s">
        <v>38</v>
      </c>
      <c r="H56" s="258"/>
      <c r="I56" s="40" t="e">
        <f ca="1">H19+H46+H53</f>
        <v>#VALUE!</v>
      </c>
      <c r="J56" s="84"/>
    </row>
    <row r="57" spans="2:15" ht="28.25" customHeight="1">
      <c r="G57" s="258" t="s">
        <v>39</v>
      </c>
      <c r="H57" s="258"/>
      <c r="I57" s="40" t="e">
        <f ca="1">I56*0.03</f>
        <v>#VALUE!</v>
      </c>
      <c r="J57" s="84"/>
    </row>
    <row r="58" spans="2:15" ht="30" customHeight="1">
      <c r="G58" s="258" t="s">
        <v>40</v>
      </c>
      <c r="H58" s="258"/>
      <c r="I58" s="40" t="e">
        <f ca="1">I56*0.16</f>
        <v>#VALUE!</v>
      </c>
      <c r="J58" s="84"/>
    </row>
    <row r="59" spans="2:15">
      <c r="G59" s="258" t="s">
        <v>41</v>
      </c>
      <c r="H59" s="258"/>
      <c r="I59" s="40" t="e">
        <f ca="1">I56+I57+I58</f>
        <v>#VALUE!</v>
      </c>
      <c r="J59" s="84"/>
    </row>
    <row r="60" spans="2:15">
      <c r="G60" s="258" t="s">
        <v>42</v>
      </c>
      <c r="H60" s="258"/>
      <c r="I60" s="40" t="e">
        <f ca="1">N19+N46</f>
        <v>#VALUE!</v>
      </c>
      <c r="J60" s="84"/>
    </row>
    <row r="61" spans="2:15" ht="30" customHeight="1">
      <c r="G61" s="272" t="s">
        <v>110</v>
      </c>
      <c r="H61" s="273"/>
      <c r="I61" s="40" t="e">
        <f ca="1">I60*0.035</f>
        <v>#VALUE!</v>
      </c>
      <c r="J61" s="84"/>
    </row>
    <row r="62" spans="2:15">
      <c r="G62" s="258" t="s">
        <v>43</v>
      </c>
      <c r="H62" s="258"/>
      <c r="I62" s="40" t="e">
        <f ca="1">N53</f>
        <v>#VALUE!</v>
      </c>
      <c r="J62" s="84"/>
    </row>
    <row r="63" spans="2:15">
      <c r="G63" s="258" t="s">
        <v>41</v>
      </c>
      <c r="H63" s="258"/>
      <c r="I63" s="40" t="e">
        <f ca="1">I60+I61+I62</f>
        <v>#VALUE!</v>
      </c>
      <c r="J63" s="84"/>
    </row>
    <row r="64" spans="2:15">
      <c r="G64" s="269" t="s">
        <v>44</v>
      </c>
      <c r="H64" s="269"/>
      <c r="I64" s="41" t="e">
        <f ca="1">I59+I63</f>
        <v>#VALUE!</v>
      </c>
      <c r="J64" s="85"/>
    </row>
    <row r="65" spans="7:13" ht="16" thickBot="1">
      <c r="G65" s="270" t="s">
        <v>45</v>
      </c>
      <c r="H65" s="271"/>
      <c r="I65" s="42" t="e">
        <f ca="1">I56*0.03</f>
        <v>#VALUE!</v>
      </c>
      <c r="J65" s="86"/>
    </row>
    <row r="66" spans="7:13" ht="17" thickBot="1">
      <c r="G66" s="267" t="s">
        <v>46</v>
      </c>
      <c r="H66" s="268"/>
      <c r="I66" s="43" t="e">
        <f ca="1">I64+I65</f>
        <v>#VALUE!</v>
      </c>
      <c r="J66" s="86"/>
      <c r="L66" s="168"/>
      <c r="M66" s="176"/>
    </row>
  </sheetData>
  <sheetProtection formatCells="0"/>
  <mergeCells count="99">
    <mergeCell ref="C16:D16"/>
    <mergeCell ref="C18:D18"/>
    <mergeCell ref="I11:J11"/>
    <mergeCell ref="C10:D10"/>
    <mergeCell ref="C11:D11"/>
    <mergeCell ref="B7:N7"/>
    <mergeCell ref="C9:E9"/>
    <mergeCell ref="E8:J8"/>
    <mergeCell ref="B5:C5"/>
    <mergeCell ref="E5:G5"/>
    <mergeCell ref="J5:N5"/>
    <mergeCell ref="I4:N4"/>
    <mergeCell ref="I10:J10"/>
    <mergeCell ref="B6:N6"/>
    <mergeCell ref="B2:C2"/>
    <mergeCell ref="E2:G2"/>
    <mergeCell ref="I3:K3"/>
    <mergeCell ref="I1:N1"/>
    <mergeCell ref="I2:N2"/>
    <mergeCell ref="B3:C3"/>
    <mergeCell ref="E3:G3"/>
    <mergeCell ref="C48:D48"/>
    <mergeCell ref="I22:J22"/>
    <mergeCell ref="I23:J23"/>
    <mergeCell ref="I24:J24"/>
    <mergeCell ref="I25:J25"/>
    <mergeCell ref="I37:J37"/>
    <mergeCell ref="I30:J30"/>
    <mergeCell ref="I31:J31"/>
    <mergeCell ref="I32:J32"/>
    <mergeCell ref="I33:J33"/>
    <mergeCell ref="I34:J34"/>
    <mergeCell ref="C31:D31"/>
    <mergeCell ref="C32:D32"/>
    <mergeCell ref="C33:D33"/>
    <mergeCell ref="C34:D34"/>
    <mergeCell ref="B47:C47"/>
    <mergeCell ref="F19:G19"/>
    <mergeCell ref="L19:M19"/>
    <mergeCell ref="B20:F20"/>
    <mergeCell ref="F46:G46"/>
    <mergeCell ref="L46:M46"/>
    <mergeCell ref="C21:D21"/>
    <mergeCell ref="C26:D26"/>
    <mergeCell ref="C27:D27"/>
    <mergeCell ref="C28:D28"/>
    <mergeCell ref="C29:D29"/>
    <mergeCell ref="C30:D30"/>
    <mergeCell ref="C35:D35"/>
    <mergeCell ref="C44:D44"/>
    <mergeCell ref="C41:D41"/>
    <mergeCell ref="C42:D42"/>
    <mergeCell ref="C43:D43"/>
    <mergeCell ref="L53:M53"/>
    <mergeCell ref="G56:H56"/>
    <mergeCell ref="G57:H57"/>
    <mergeCell ref="I13:J13"/>
    <mergeCell ref="I14:J14"/>
    <mergeCell ref="I15:J15"/>
    <mergeCell ref="I16:J16"/>
    <mergeCell ref="I18:J18"/>
    <mergeCell ref="I21:J21"/>
    <mergeCell ref="I26:J26"/>
    <mergeCell ref="I27:J27"/>
    <mergeCell ref="I28:J28"/>
    <mergeCell ref="I29:J29"/>
    <mergeCell ref="I36:J36"/>
    <mergeCell ref="I39:J39"/>
    <mergeCell ref="I38:J38"/>
    <mergeCell ref="G66:H66"/>
    <mergeCell ref="G59:H59"/>
    <mergeCell ref="G60:H60"/>
    <mergeCell ref="G62:H62"/>
    <mergeCell ref="G63:H63"/>
    <mergeCell ref="G64:H64"/>
    <mergeCell ref="G65:H65"/>
    <mergeCell ref="G61:H61"/>
    <mergeCell ref="G58:H58"/>
    <mergeCell ref="F53:G53"/>
    <mergeCell ref="I35:J35"/>
    <mergeCell ref="C49:D49"/>
    <mergeCell ref="C50:D50"/>
    <mergeCell ref="C37:D37"/>
    <mergeCell ref="I41:J41"/>
    <mergeCell ref="I42:J42"/>
    <mergeCell ref="I43:J43"/>
    <mergeCell ref="I44:J44"/>
    <mergeCell ref="I45:J45"/>
    <mergeCell ref="C52:D52"/>
    <mergeCell ref="I40:J40"/>
    <mergeCell ref="C36:D36"/>
    <mergeCell ref="C38:D38"/>
    <mergeCell ref="C39:D39"/>
    <mergeCell ref="C40:D40"/>
    <mergeCell ref="B12:C12"/>
    <mergeCell ref="C13:D13"/>
    <mergeCell ref="C14:D14"/>
    <mergeCell ref="C15:D15"/>
    <mergeCell ref="C17:D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данные</vt:lpstr>
      <vt:lpstr>расчеты</vt:lpstr>
      <vt:lpstr>Ст-сть Матер-Работ</vt:lpstr>
      <vt:lpstr>Смета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Konstantin Borodin</cp:lastModifiedBy>
  <dcterms:created xsi:type="dcterms:W3CDTF">2023-10-27T11:10:16Z</dcterms:created>
  <dcterms:modified xsi:type="dcterms:W3CDTF">2024-02-02T03:29:53Z</dcterms:modified>
</cp:coreProperties>
</file>