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koss/Downloads/"/>
    </mc:Choice>
  </mc:AlternateContent>
  <xr:revisionPtr revIDLastSave="0" documentId="8_{210582BB-BAA1-5E43-8D7A-8F790874BE6B}" xr6:coauthVersionLast="47" xr6:coauthVersionMax="47" xr10:uidLastSave="{00000000-0000-0000-0000-000000000000}"/>
  <workbookProtection workbookAlgorithmName="SHA-512" workbookHashValue="jUuK09z73RpR7X9I1mNSO5Py+n2+s7Y2mtbp5oN6WOU7mejGwpmqxGC2SKUye16spAZ3XEwhr2uhPAWR+hwQQw==" workbookSaltValue="dlRd53R5NOoygBjbHtQ3iQ==" workbookSpinCount="100000" lockStructure="1"/>
  <bookViews>
    <workbookView xWindow="4480" yWindow="500" windowWidth="26000" windowHeight="18080" xr2:uid="{00000000-000D-0000-FFFF-FFFF00000000}"/>
  </bookViews>
  <sheets>
    <sheet name="данные" sheetId="1" r:id="rId1"/>
    <sheet name="расчеты" sheetId="2" state="hidden" r:id="rId2"/>
    <sheet name="Ст-сть матер" sheetId="4" state="hidden" r:id="rId3"/>
    <sheet name="смета договор" sheetId="3" r:id="rId4"/>
    <sheet name="смета заказ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2" l="1"/>
  <c r="L24" i="2"/>
  <c r="H3" i="2"/>
  <c r="L11" i="5"/>
  <c r="G7" i="4"/>
  <c r="H11" i="2"/>
  <c r="I11" i="2"/>
  <c r="K11" i="2"/>
  <c r="I7" i="5" s="1"/>
  <c r="L7" i="5" s="1"/>
  <c r="L26" i="5"/>
  <c r="L25" i="5"/>
  <c r="L24" i="5"/>
  <c r="L23" i="5"/>
  <c r="L22" i="5"/>
  <c r="L21" i="5"/>
  <c r="L20" i="5"/>
  <c r="L19" i="5"/>
  <c r="E17" i="4"/>
  <c r="E16" i="4"/>
  <c r="L20" i="3" s="1"/>
  <c r="E15" i="4"/>
  <c r="L21" i="3" s="1"/>
  <c r="L42" i="5"/>
  <c r="L41" i="5"/>
  <c r="K39" i="5"/>
  <c r="L35" i="5"/>
  <c r="L34" i="5"/>
  <c r="L33" i="5"/>
  <c r="L32" i="5"/>
  <c r="L31" i="5"/>
  <c r="K30" i="5"/>
  <c r="L29" i="5"/>
  <c r="L28" i="5"/>
  <c r="L27" i="5"/>
  <c r="L18" i="5"/>
  <c r="L17" i="5"/>
  <c r="L16" i="5"/>
  <c r="L15" i="5"/>
  <c r="L14" i="5"/>
  <c r="L13" i="5"/>
  <c r="L12" i="5"/>
  <c r="L8" i="5"/>
  <c r="C8" i="5"/>
  <c r="L6" i="5"/>
  <c r="C6" i="5"/>
  <c r="L35" i="3"/>
  <c r="L34" i="3"/>
  <c r="L33" i="3"/>
  <c r="L32" i="3"/>
  <c r="L31" i="3"/>
  <c r="E4" i="1"/>
  <c r="E13" i="1"/>
  <c r="E17" i="1"/>
  <c r="L39" i="3" s="1"/>
  <c r="E16" i="1"/>
  <c r="N2" i="2" s="1"/>
  <c r="K3" i="3" s="1"/>
  <c r="M3" i="3" s="1"/>
  <c r="E14" i="1"/>
  <c r="E15" i="1"/>
  <c r="C8" i="3" s="1"/>
  <c r="E10" i="1"/>
  <c r="E11" i="1"/>
  <c r="E12" i="1"/>
  <c r="E9" i="1"/>
  <c r="E5" i="1"/>
  <c r="B7" i="2" s="1"/>
  <c r="E6" i="1"/>
  <c r="K15" i="2" s="1"/>
  <c r="P15" i="2" s="1"/>
  <c r="E7" i="1"/>
  <c r="I25" i="2" s="1"/>
  <c r="E8" i="1"/>
  <c r="L15" i="3"/>
  <c r="L14" i="3"/>
  <c r="L13" i="3"/>
  <c r="L12" i="3"/>
  <c r="L24" i="3"/>
  <c r="L23" i="3"/>
  <c r="L27" i="3"/>
  <c r="L42" i="3"/>
  <c r="L41" i="3"/>
  <c r="L29" i="3"/>
  <c r="L28" i="3"/>
  <c r="L26" i="3"/>
  <c r="L25" i="3"/>
  <c r="L22" i="3"/>
  <c r="L18" i="3"/>
  <c r="L17" i="3"/>
  <c r="L16" i="3"/>
  <c r="L11" i="3"/>
  <c r="L8" i="3"/>
  <c r="L6" i="3"/>
  <c r="K30" i="3"/>
  <c r="K39" i="3"/>
  <c r="C6" i="3"/>
  <c r="E3" i="5" l="1"/>
  <c r="H14" i="2"/>
  <c r="Q14" i="2" s="1"/>
  <c r="R14" i="2" s="1"/>
  <c r="L19" i="3"/>
  <c r="B11" i="2"/>
  <c r="C11" i="2" s="1"/>
  <c r="B9" i="2"/>
  <c r="C9" i="2" s="1"/>
  <c r="H25" i="2"/>
  <c r="L39" i="5"/>
  <c r="L40" i="5"/>
  <c r="K3" i="5"/>
  <c r="M3" i="5" s="1"/>
  <c r="M39" i="5"/>
  <c r="B22" i="2"/>
  <c r="L40" i="3"/>
  <c r="B5" i="2"/>
  <c r="C5" i="2" s="1"/>
  <c r="I22" i="2"/>
  <c r="J22" i="2" s="1"/>
  <c r="F27" i="4"/>
  <c r="C19" i="2"/>
  <c r="I24" i="2"/>
  <c r="H24" i="2" s="1"/>
  <c r="B21" i="2"/>
  <c r="A28" i="2"/>
  <c r="E28" i="5" s="1"/>
  <c r="K14" i="2"/>
  <c r="P14" i="2" s="1"/>
  <c r="K14" i="3" s="1"/>
  <c r="M14" i="3" s="1"/>
  <c r="L13" i="2"/>
  <c r="E3" i="3"/>
  <c r="G3" i="3" s="1"/>
  <c r="C22" i="2"/>
  <c r="C15" i="2"/>
  <c r="H21" i="2"/>
  <c r="C7" i="2"/>
  <c r="C21" i="2"/>
  <c r="C13" i="2"/>
  <c r="C17" i="2"/>
  <c r="I7" i="3"/>
  <c r="L7" i="3" s="1"/>
  <c r="H15" i="2"/>
  <c r="H22" i="2"/>
  <c r="J13" i="2"/>
  <c r="K13" i="2" s="1"/>
  <c r="K19" i="2" s="1"/>
  <c r="B3" i="2"/>
  <c r="C3" i="2" s="1"/>
  <c r="H5" i="2"/>
  <c r="H7" i="2" s="1"/>
  <c r="I7" i="2" s="1"/>
  <c r="H13" i="2"/>
  <c r="I21" i="2"/>
  <c r="J21" i="2" s="1"/>
  <c r="K13" i="3"/>
  <c r="M13" i="3" s="1"/>
  <c r="M39" i="3"/>
  <c r="K16" i="2" l="1"/>
  <c r="K15" i="5" s="1"/>
  <c r="M15" i="5" s="1"/>
  <c r="E21" i="2"/>
  <c r="E20" i="3"/>
  <c r="G20" i="3" s="1"/>
  <c r="N24" i="2"/>
  <c r="E34" i="5" s="1"/>
  <c r="J24" i="2"/>
  <c r="K34" i="5" s="1"/>
  <c r="M34" i="5" s="1"/>
  <c r="E27" i="3"/>
  <c r="G27" i="3" s="1"/>
  <c r="K22" i="2"/>
  <c r="E27" i="5"/>
  <c r="E20" i="5"/>
  <c r="K13" i="5"/>
  <c r="M13" i="5" s="1"/>
  <c r="K14" i="5"/>
  <c r="M14" i="5" s="1"/>
  <c r="E11" i="3"/>
  <c r="G11" i="3" s="1"/>
  <c r="E11" i="5"/>
  <c r="E6" i="3"/>
  <c r="G6" i="3" s="1"/>
  <c r="E6" i="5"/>
  <c r="K6" i="5" s="1"/>
  <c r="M6" i="5" s="1"/>
  <c r="K17" i="3"/>
  <c r="M17" i="3" s="1"/>
  <c r="K17" i="5"/>
  <c r="M17" i="5" s="1"/>
  <c r="E7" i="3"/>
  <c r="G7" i="3" s="1"/>
  <c r="K7" i="5"/>
  <c r="M7" i="5" s="1"/>
  <c r="E7" i="5"/>
  <c r="K28" i="5"/>
  <c r="M28" i="5" s="1"/>
  <c r="E46" i="5"/>
  <c r="H46" i="5" s="1"/>
  <c r="K33" i="3"/>
  <c r="M33" i="3" s="1"/>
  <c r="K33" i="5"/>
  <c r="M33" i="5" s="1"/>
  <c r="O14" i="2"/>
  <c r="J30" i="2"/>
  <c r="K30" i="2"/>
  <c r="E22" i="2"/>
  <c r="E28" i="3"/>
  <c r="G28" i="3" s="1"/>
  <c r="L30" i="2"/>
  <c r="K18" i="2"/>
  <c r="I3" i="2"/>
  <c r="S14" i="2"/>
  <c r="T14" i="2" s="1"/>
  <c r="Q15" i="2" s="1"/>
  <c r="O15" i="2" s="1"/>
  <c r="B13" i="2"/>
  <c r="B19" i="2"/>
  <c r="K7" i="3"/>
  <c r="M7" i="3" s="1"/>
  <c r="B17" i="2"/>
  <c r="B15" i="2"/>
  <c r="I5" i="2"/>
  <c r="P13" i="2"/>
  <c r="K11" i="5" s="1"/>
  <c r="H17" i="2"/>
  <c r="E11" i="2"/>
  <c r="K21" i="2"/>
  <c r="C24" i="2"/>
  <c r="B24" i="2" s="1"/>
  <c r="K15" i="3" l="1"/>
  <c r="M15" i="3" s="1"/>
  <c r="N26" i="2"/>
  <c r="K35" i="5" s="1"/>
  <c r="M35" i="5" s="1"/>
  <c r="K20" i="5"/>
  <c r="M20" i="5" s="1"/>
  <c r="K34" i="3"/>
  <c r="M34" i="3" s="1"/>
  <c r="K12" i="5"/>
  <c r="M12" i="5" s="1"/>
  <c r="E34" i="3"/>
  <c r="G34" i="3" s="1"/>
  <c r="K6" i="3"/>
  <c r="M6" i="3" s="1"/>
  <c r="E17" i="2"/>
  <c r="K21" i="3" s="1"/>
  <c r="M21" i="3" s="1"/>
  <c r="E21" i="5"/>
  <c r="E22" i="3"/>
  <c r="G22" i="3" s="1"/>
  <c r="E22" i="5"/>
  <c r="K20" i="3"/>
  <c r="M20" i="3" s="1"/>
  <c r="E24" i="3"/>
  <c r="G24" i="3" s="1"/>
  <c r="E24" i="5"/>
  <c r="E23" i="3"/>
  <c r="G23" i="3" s="1"/>
  <c r="E23" i="5"/>
  <c r="K41" i="5"/>
  <c r="M41" i="5" s="1"/>
  <c r="F26" i="4"/>
  <c r="K18" i="5"/>
  <c r="M18" i="5" s="1"/>
  <c r="E5" i="3"/>
  <c r="G5" i="3" s="1"/>
  <c r="E5" i="5"/>
  <c r="K16" i="3"/>
  <c r="M16" i="3" s="1"/>
  <c r="K16" i="5"/>
  <c r="M16" i="5" s="1"/>
  <c r="K42" i="3"/>
  <c r="M42" i="3" s="1"/>
  <c r="K42" i="5"/>
  <c r="M42" i="5" s="1"/>
  <c r="K29" i="5"/>
  <c r="M29" i="5" s="1"/>
  <c r="E25" i="5"/>
  <c r="K19" i="3"/>
  <c r="M19" i="3" s="1"/>
  <c r="K19" i="5"/>
  <c r="H30" i="2"/>
  <c r="M11" i="5"/>
  <c r="E4" i="3"/>
  <c r="G4" i="3" s="1"/>
  <c r="E4" i="5"/>
  <c r="K12" i="3"/>
  <c r="M12" i="3" s="1"/>
  <c r="L21" i="2"/>
  <c r="K28" i="3"/>
  <c r="M28" i="3" s="1"/>
  <c r="E19" i="2"/>
  <c r="K41" i="3"/>
  <c r="M41" i="3" s="1"/>
  <c r="E13" i="2"/>
  <c r="K23" i="5" s="1"/>
  <c r="M23" i="5" s="1"/>
  <c r="E21" i="3"/>
  <c r="G21" i="3" s="1"/>
  <c r="E15" i="2"/>
  <c r="K11" i="3"/>
  <c r="M11" i="3" s="1"/>
  <c r="H9" i="2"/>
  <c r="I9" i="2" s="1"/>
  <c r="K18" i="3"/>
  <c r="M18" i="3" s="1"/>
  <c r="F25" i="4"/>
  <c r="K31" i="5" s="1"/>
  <c r="M31" i="5" s="1"/>
  <c r="E24" i="2"/>
  <c r="E25" i="3"/>
  <c r="G25" i="3" s="1"/>
  <c r="K29" i="3"/>
  <c r="M29" i="3" s="1"/>
  <c r="K35" i="3" l="1"/>
  <c r="M35" i="3" s="1"/>
  <c r="K21" i="5"/>
  <c r="M21" i="5" s="1"/>
  <c r="K22" i="3"/>
  <c r="M22" i="3" s="1"/>
  <c r="K22" i="5"/>
  <c r="M22" i="5" s="1"/>
  <c r="K24" i="3"/>
  <c r="M24" i="3" s="1"/>
  <c r="K24" i="5"/>
  <c r="M24" i="5" s="1"/>
  <c r="M19" i="5"/>
  <c r="K25" i="3"/>
  <c r="M25" i="3" s="1"/>
  <c r="K25" i="5"/>
  <c r="M25" i="5" s="1"/>
  <c r="E8" i="3"/>
  <c r="G8" i="3" s="1"/>
  <c r="G9" i="3" s="1"/>
  <c r="E8" i="5"/>
  <c r="K8" i="5" s="1"/>
  <c r="M8" i="5" s="1"/>
  <c r="M9" i="5" s="1"/>
  <c r="K27" i="3"/>
  <c r="M27" i="3" s="1"/>
  <c r="K27" i="5"/>
  <c r="M27" i="5" s="1"/>
  <c r="K32" i="3"/>
  <c r="M32" i="3" s="1"/>
  <c r="K32" i="5"/>
  <c r="M32" i="5" s="1"/>
  <c r="K23" i="3"/>
  <c r="M23" i="3" s="1"/>
  <c r="E23" i="4"/>
  <c r="K31" i="3"/>
  <c r="M31" i="3" s="1"/>
  <c r="E26" i="2"/>
  <c r="K8" i="3" l="1"/>
  <c r="M8" i="3" s="1"/>
  <c r="M9" i="3" s="1"/>
  <c r="G30" i="2"/>
  <c r="E30" i="2" s="1"/>
  <c r="K26" i="5"/>
  <c r="K26" i="3"/>
  <c r="M26" i="3" s="1"/>
  <c r="M36" i="3" s="1"/>
  <c r="E19" i="3" l="1"/>
  <c r="G19" i="3" s="1"/>
  <c r="G36" i="3" s="1"/>
  <c r="M26" i="5"/>
  <c r="M36" i="5" s="1"/>
  <c r="H47" i="5" s="1"/>
  <c r="E19" i="5"/>
  <c r="K40" i="3"/>
  <c r="M40" i="3" s="1"/>
  <c r="M43" i="3" s="1"/>
  <c r="H52" i="3" s="1"/>
  <c r="K40" i="5"/>
  <c r="M40" i="5" s="1"/>
  <c r="M43" i="5" s="1"/>
  <c r="H48" i="5" s="1"/>
  <c r="H50" i="3"/>
  <c r="H51" i="3" s="1"/>
  <c r="H49" i="5" l="1"/>
  <c r="E38" i="3"/>
  <c r="G38" i="3" s="1"/>
  <c r="G43" i="3" s="1"/>
  <c r="H46" i="3" s="1"/>
  <c r="H55" i="3" s="1"/>
  <c r="H53" i="3"/>
  <c r="H48" i="3" l="1"/>
  <c r="H47" i="3"/>
  <c r="H49" i="3" l="1"/>
  <c r="H54" i="3" s="1"/>
  <c r="H56" i="3" s="1"/>
</calcChain>
</file>

<file path=xl/sharedStrings.xml><?xml version="1.0" encoding="utf-8"?>
<sst xmlns="http://schemas.openxmlformats.org/spreadsheetml/2006/main" count="426" uniqueCount="156">
  <si>
    <t xml:space="preserve">Длина ленты внешней </t>
  </si>
  <si>
    <t>Ширина ленты  внешней</t>
  </si>
  <si>
    <t>Ед. изм.</t>
  </si>
  <si>
    <t>1. Земляные и подготовительные работы</t>
  </si>
  <si>
    <t>Разбивка  площадки с выносом осей</t>
  </si>
  <si>
    <t>м2</t>
  </si>
  <si>
    <t>Расходный материал</t>
  </si>
  <si>
    <t xml:space="preserve">Разработка траншеи в ручную с перемещением до 10 м без вывоза </t>
  </si>
  <si>
    <t>м3</t>
  </si>
  <si>
    <t>Зачистка дна траншеи вручную</t>
  </si>
  <si>
    <t>Песок карьерный</t>
  </si>
  <si>
    <t xml:space="preserve">м2 </t>
  </si>
  <si>
    <t>рул</t>
  </si>
  <si>
    <t>Щебень фр 20х40</t>
  </si>
  <si>
    <t>м.п.</t>
  </si>
  <si>
    <t>шт</t>
  </si>
  <si>
    <t>к-т</t>
  </si>
  <si>
    <t>Итого работы</t>
  </si>
  <si>
    <t>Итого материалы</t>
  </si>
  <si>
    <t xml:space="preserve">2. Устройство фундамента </t>
  </si>
  <si>
    <t>1.</t>
  </si>
  <si>
    <t>Доска 50х150 обр</t>
  </si>
  <si>
    <t>Гвоздь строительный  100 мм</t>
  </si>
  <si>
    <t>кг</t>
  </si>
  <si>
    <t>Саморез черный по дереву усиленный 96 мм</t>
  </si>
  <si>
    <t>Пленка п/э 200 мкр</t>
  </si>
  <si>
    <t>2.</t>
  </si>
  <si>
    <t>тн</t>
  </si>
  <si>
    <t>Арматура д.12 мм  А500С</t>
  </si>
  <si>
    <t>Арматура д.8 мм  А240</t>
  </si>
  <si>
    <t>2.2.</t>
  </si>
  <si>
    <t>Изготовление Д3 "УГОЛ"</t>
  </si>
  <si>
    <t xml:space="preserve">Проволока вязальная </t>
  </si>
  <si>
    <t>3.</t>
  </si>
  <si>
    <t>Бетонирование монолитного ростверка</t>
  </si>
  <si>
    <t>Бетон В 25</t>
  </si>
  <si>
    <t>Транспортные расходы и аренда механизмов</t>
  </si>
  <si>
    <t>Прием матералов на фундамент</t>
  </si>
  <si>
    <t>см</t>
  </si>
  <si>
    <t>Аренда а/м до 1,5 тн</t>
  </si>
  <si>
    <t>м/см</t>
  </si>
  <si>
    <t>Аренда бетононасоса</t>
  </si>
  <si>
    <t>Ст-ть работ</t>
  </si>
  <si>
    <t>Транспортные расходы 3%</t>
  </si>
  <si>
    <t>Накладные расходы 16%</t>
  </si>
  <si>
    <t>Итого</t>
  </si>
  <si>
    <t>Ст-ть материалов</t>
  </si>
  <si>
    <t xml:space="preserve">Транспортные расходы </t>
  </si>
  <si>
    <t>ИТОГО по смете, руб</t>
  </si>
  <si>
    <t>ПСР 3%</t>
  </si>
  <si>
    <t>ВСЕГО по смете, руб.</t>
  </si>
  <si>
    <t>S пятна застройки</t>
  </si>
  <si>
    <t>Количество пересечений крест</t>
  </si>
  <si>
    <t>Количество пересечений Т-обр</t>
  </si>
  <si>
    <t>Количество углов 90 гр</t>
  </si>
  <si>
    <t>Количество углов 45 гр</t>
  </si>
  <si>
    <t>внутренний количество рядов по ширине</t>
  </si>
  <si>
    <t>V арматуры</t>
  </si>
  <si>
    <t>внешний количество рядов по ширине</t>
  </si>
  <si>
    <t>внешняя</t>
  </si>
  <si>
    <t>внутренняя</t>
  </si>
  <si>
    <t>внешний длина арматуры в метрах (1 прут)</t>
  </si>
  <si>
    <t>внутренний длина арматуры в метрах(1 прут)</t>
  </si>
  <si>
    <t>количество хомутов   шт/длина</t>
  </si>
  <si>
    <t>ряд</t>
  </si>
  <si>
    <t xml:space="preserve"> количество горизонтальных рядов по высоте</t>
  </si>
  <si>
    <t>количество вертикальной шаг 600 мм шт/ м.п.</t>
  </si>
  <si>
    <t>количество деталей Т шт/длина</t>
  </si>
  <si>
    <t>количество деталей крест   шт/длина</t>
  </si>
  <si>
    <t>количество деталей угол 90   шт/длина</t>
  </si>
  <si>
    <t>количество деталей угол 45   шт/длина</t>
  </si>
  <si>
    <t>армирование ленты д.12 мм А500С</t>
  </si>
  <si>
    <t>Деталь д.12 мм А500С</t>
  </si>
  <si>
    <t>Хомут А240 8 мм</t>
  </si>
  <si>
    <t>Проволока вязальная</t>
  </si>
  <si>
    <t>Проволока ВР-1</t>
  </si>
  <si>
    <t>АРМИРОВАНИЕ ЛЕНТА</t>
  </si>
  <si>
    <t>разработка траншеи</t>
  </si>
  <si>
    <t>зачистка дня траншеи</t>
  </si>
  <si>
    <t>геотекстиль</t>
  </si>
  <si>
    <t xml:space="preserve">Толщина песчаного основания </t>
  </si>
  <si>
    <t xml:space="preserve">песок </t>
  </si>
  <si>
    <t xml:space="preserve">щебень </t>
  </si>
  <si>
    <t>ЗЕМЛЯНЫЕ РАБОТЫ</t>
  </si>
  <si>
    <t xml:space="preserve">ОПАЛУБКА </t>
  </si>
  <si>
    <t>шпилька к-т 2 гайки 2 шайбы  мм.</t>
  </si>
  <si>
    <t>труба д.15 мм</t>
  </si>
  <si>
    <t>L/шт</t>
  </si>
  <si>
    <t>доска S/вер/раскос/длина</t>
  </si>
  <si>
    <t>S/РУЛ/ ШИРИНА</t>
  </si>
  <si>
    <t>гвозди 100 мм</t>
  </si>
  <si>
    <t>внешние</t>
  </si>
  <si>
    <t>внутренние</t>
  </si>
  <si>
    <t>ГИДРОИЗОЛЯЦИЯ ГОРИЗОНТАЛЬНАЯ</t>
  </si>
  <si>
    <t>БЕТОН</t>
  </si>
  <si>
    <t>Транспорт</t>
  </si>
  <si>
    <t>Металл</t>
  </si>
  <si>
    <t>Дрова</t>
  </si>
  <si>
    <t>К-кт</t>
  </si>
  <si>
    <t>МЕХ</t>
  </si>
  <si>
    <t>Вертикаль д.12 мм А500С ШАГ 600</t>
  </si>
  <si>
    <t xml:space="preserve">Устройство песчаного основания толщиной  мм </t>
  </si>
  <si>
    <t xml:space="preserve">Устройство щебеночного основания толщ мм </t>
  </si>
  <si>
    <t>2.1.</t>
  </si>
  <si>
    <t>Изготовление детали "хомут"</t>
  </si>
  <si>
    <t xml:space="preserve">Устройство армокаркаса монолитного ростверка </t>
  </si>
  <si>
    <t>2.3.</t>
  </si>
  <si>
    <t>Опорная площадка "Стульчик"</t>
  </si>
  <si>
    <t>Расходные материалы</t>
  </si>
  <si>
    <t>Монтаж опалубки</t>
  </si>
  <si>
    <t>2.4.</t>
  </si>
  <si>
    <t>Изготовление Д4 "УГОЛ 45"</t>
  </si>
  <si>
    <t>Изготовление Д1 "Стойка"</t>
  </si>
  <si>
    <t>Аренда а/м до 8 тн</t>
  </si>
  <si>
    <t>Аренда JSB</t>
  </si>
  <si>
    <t>Б/насос</t>
  </si>
  <si>
    <t>Непердвиденные 3,5%</t>
  </si>
  <si>
    <t>пленка</t>
  </si>
  <si>
    <t>РАЗБИВКА И ВЫНОС ОСЕЙ</t>
  </si>
  <si>
    <t>к-кт</t>
  </si>
  <si>
    <t>Геотекстиль плотность 160 г/м2 ,50 м.п. шириной мм.</t>
  </si>
  <si>
    <t>диск отрезной д 125 мм</t>
  </si>
  <si>
    <t>ед изм</t>
  </si>
  <si>
    <t>Цена</t>
  </si>
  <si>
    <t>собка для степлера 1000 шт</t>
  </si>
  <si>
    <t>пачка</t>
  </si>
  <si>
    <t>кол-во</t>
  </si>
  <si>
    <t xml:space="preserve">бухта </t>
  </si>
  <si>
    <t>Величина в мм.</t>
  </si>
  <si>
    <t>нитка разметочная 150 м</t>
  </si>
  <si>
    <t>ФУНДАМЕНТ ЛЕНТОЧНЫЙ</t>
  </si>
  <si>
    <t>Доска 50х100 обр</t>
  </si>
  <si>
    <t>2.5.</t>
  </si>
  <si>
    <t>Монтаж продухов</t>
  </si>
  <si>
    <t>Труба SN4 д.160 мм 2000 мм</t>
  </si>
  <si>
    <t>Труба SN4 д.160 мм дл.2000 мм</t>
  </si>
  <si>
    <t>Изготовление Д5 "крест"</t>
  </si>
  <si>
    <t>Изготовление Д6 "Т"</t>
  </si>
  <si>
    <t>Шайба усиленная  М12</t>
  </si>
  <si>
    <t>Шпилька М12  2000 мм</t>
  </si>
  <si>
    <t>Гайка М12</t>
  </si>
  <si>
    <t>Гильза (Трубка изолирующая)</t>
  </si>
  <si>
    <t>м</t>
  </si>
  <si>
    <t>Высота  цоколя (от верх. точки грунта)</t>
  </si>
  <si>
    <t>пач.</t>
  </si>
  <si>
    <t>бух</t>
  </si>
  <si>
    <t>саморез 4,8х100</t>
  </si>
  <si>
    <t>4.</t>
  </si>
  <si>
    <t>Горизонтальная гидроизоляция</t>
  </si>
  <si>
    <t>Гидроизол</t>
  </si>
  <si>
    <t>Транспорт 8 тн</t>
  </si>
  <si>
    <t>ведро 20 л</t>
  </si>
  <si>
    <t>ведро</t>
  </si>
  <si>
    <t>Мастика №24 мгтн (20 кг)</t>
  </si>
  <si>
    <t>м3 в теле</t>
  </si>
  <si>
    <t xml:space="preserve">Укладка геотекстиля плотность 160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</si>
</sst>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i/>
      <sz val="11"/>
      <name val="Arial"/>
      <family val="2"/>
      <charset val="204"/>
    </font>
    <font>
      <b/>
      <sz val="12"/>
      <name val="Arial Cyr"/>
      <charset val="204"/>
    </font>
    <font>
      <b/>
      <u/>
      <sz val="12"/>
      <color theme="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i/>
      <sz val="11"/>
      <color rgb="FF7030A0"/>
      <name val="Arial"/>
      <family val="2"/>
      <charset val="204"/>
    </font>
    <font>
      <sz val="11"/>
      <color rgb="FF7030A0"/>
      <name val="Arial"/>
      <family val="2"/>
      <charset val="204"/>
    </font>
    <font>
      <b/>
      <sz val="11"/>
      <color rgb="FF7030A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rgb="FFFFFF00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auto="1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9">
    <xf numFmtId="0" fontId="0" fillId="0" borderId="0" xfId="0"/>
    <xf numFmtId="4" fontId="2" fillId="3" borderId="0" xfId="1" applyNumberFormat="1" applyFont="1" applyFill="1" applyAlignment="1">
      <alignment horizontal="center" vertical="center"/>
    </xf>
    <xf numFmtId="4" fontId="3" fillId="2" borderId="0" xfId="1" applyNumberFormat="1" applyFont="1" applyFill="1" applyAlignment="1">
      <alignment horizontal="center" vertical="center" wrapText="1"/>
    </xf>
    <xf numFmtId="4" fontId="3" fillId="2" borderId="0" xfId="1" applyNumberFormat="1" applyFont="1" applyFill="1" applyAlignment="1">
      <alignment horizontal="left" vertical="center" wrapText="1"/>
    </xf>
    <xf numFmtId="4" fontId="3" fillId="3" borderId="0" xfId="1" applyNumberFormat="1" applyFont="1" applyFill="1" applyAlignment="1">
      <alignment horizontal="center" vertical="center"/>
    </xf>
    <xf numFmtId="3" fontId="3" fillId="3" borderId="1" xfId="1" applyNumberFormat="1" applyFont="1" applyFill="1" applyBorder="1" applyAlignment="1">
      <alignment horizontal="center" vertical="center" wrapText="1"/>
    </xf>
    <xf numFmtId="4" fontId="3" fillId="3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" fontId="3" fillId="2" borderId="2" xfId="0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4" fontId="3" fillId="2" borderId="3" xfId="0" applyNumberFormat="1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/>
    </xf>
    <xf numFmtId="4" fontId="3" fillId="2" borderId="0" xfId="1" applyNumberFormat="1" applyFont="1" applyFill="1" applyAlignment="1">
      <alignment vertical="center" wrapText="1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5" xfId="1" applyNumberFormat="1" applyFont="1" applyFill="1" applyBorder="1" applyAlignment="1">
      <alignment horizontal="center" vertical="center" wrapText="1"/>
    </xf>
    <xf numFmtId="4" fontId="3" fillId="2" borderId="5" xfId="1" applyNumberFormat="1" applyFont="1" applyFill="1" applyBorder="1" applyAlignment="1">
      <alignment horizontal="center" vertical="center" wrapText="1"/>
    </xf>
    <xf numFmtId="4" fontId="3" fillId="3" borderId="5" xfId="1" applyNumberFormat="1" applyFont="1" applyFill="1" applyBorder="1" applyAlignment="1">
      <alignment horizontal="left" vertical="center" wrapText="1"/>
    </xf>
    <xf numFmtId="4" fontId="4" fillId="2" borderId="5" xfId="0" applyNumberFormat="1" applyFont="1" applyFill="1" applyBorder="1" applyAlignment="1">
      <alignment horizontal="center" vertical="center"/>
    </xf>
    <xf numFmtId="4" fontId="2" fillId="2" borderId="2" xfId="1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4" fontId="4" fillId="3" borderId="5" xfId="0" applyNumberFormat="1" applyFont="1" applyFill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4" fontId="2" fillId="0" borderId="12" xfId="0" applyNumberFormat="1" applyFont="1" applyBorder="1" applyAlignment="1">
      <alignment horizontal="center" vertical="center"/>
    </xf>
    <xf numFmtId="4" fontId="3" fillId="3" borderId="0" xfId="1" applyNumberFormat="1" applyFont="1" applyFill="1" applyAlignment="1">
      <alignment horizontal="center" vertical="center" wrapText="1"/>
    </xf>
    <xf numFmtId="4" fontId="2" fillId="3" borderId="0" xfId="1" applyNumberFormat="1" applyFont="1" applyFill="1" applyAlignment="1">
      <alignment horizontal="right" vertical="center" wrapText="1"/>
    </xf>
    <xf numFmtId="4" fontId="2" fillId="3" borderId="0" xfId="1" applyNumberFormat="1" applyFont="1" applyFill="1" applyAlignment="1">
      <alignment horizontal="center" vertical="center" wrapText="1"/>
    </xf>
    <xf numFmtId="4" fontId="3" fillId="3" borderId="0" xfId="1" applyNumberFormat="1" applyFont="1" applyFill="1" applyAlignment="1">
      <alignment vertical="center" wrapText="1"/>
    </xf>
    <xf numFmtId="2" fontId="2" fillId="3" borderId="0" xfId="1" applyNumberFormat="1" applyFont="1" applyFill="1" applyAlignment="1">
      <alignment horizontal="right" vertical="center" wrapText="1"/>
    </xf>
    <xf numFmtId="4" fontId="3" fillId="3" borderId="5" xfId="1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4" fontId="3" fillId="3" borderId="17" xfId="1" applyNumberFormat="1" applyFont="1" applyFill="1" applyBorder="1" applyAlignment="1">
      <alignment vertical="center" wrapText="1"/>
    </xf>
    <xf numFmtId="2" fontId="3" fillId="3" borderId="5" xfId="1" applyNumberFormat="1" applyFont="1" applyFill="1" applyBorder="1" applyAlignment="1">
      <alignment horizontal="center" vertical="center" wrapText="1"/>
    </xf>
    <xf numFmtId="4" fontId="2" fillId="3" borderId="16" xfId="1" applyNumberFormat="1" applyFont="1" applyFill="1" applyBorder="1" applyAlignment="1">
      <alignment horizontal="right" vertical="center" wrapText="1"/>
    </xf>
    <xf numFmtId="4" fontId="2" fillId="3" borderId="5" xfId="1" applyNumberFormat="1" applyFont="1" applyFill="1" applyBorder="1" applyAlignment="1">
      <alignment horizontal="center" vertical="center" wrapText="1"/>
    </xf>
    <xf numFmtId="4" fontId="3" fillId="4" borderId="5" xfId="1" applyNumberFormat="1" applyFont="1" applyFill="1" applyBorder="1" applyAlignment="1">
      <alignment horizontal="left" vertical="center" wrapText="1"/>
    </xf>
    <xf numFmtId="4" fontId="3" fillId="4" borderId="5" xfId="1" applyNumberFormat="1" applyFont="1" applyFill="1" applyBorder="1" applyAlignment="1">
      <alignment horizontal="center" vertical="center" wrapText="1"/>
    </xf>
    <xf numFmtId="1" fontId="2" fillId="0" borderId="5" xfId="1" applyNumberFormat="1" applyFont="1" applyBorder="1" applyAlignment="1">
      <alignment horizontal="center" vertical="center" wrapText="1"/>
    </xf>
    <xf numFmtId="1" fontId="2" fillId="0" borderId="5" xfId="1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5" xfId="0" applyBorder="1"/>
    <xf numFmtId="0" fontId="0" fillId="0" borderId="26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9" xfId="0" applyBorder="1" applyAlignment="1">
      <alignment vertical="center" wrapText="1"/>
    </xf>
    <xf numFmtId="164" fontId="0" fillId="6" borderId="0" xfId="0" applyNumberFormat="1" applyFill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8" xfId="0" applyBorder="1"/>
    <xf numFmtId="0" fontId="0" fillId="0" borderId="0" xfId="0" applyAlignment="1">
      <alignment vertical="center" wrapText="1"/>
    </xf>
    <xf numFmtId="0" fontId="0" fillId="0" borderId="25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2" fontId="0" fillId="0" borderId="28" xfId="0" applyNumberFormat="1" applyBorder="1"/>
    <xf numFmtId="2" fontId="0" fillId="0" borderId="28" xfId="0" applyNumberFormat="1" applyBorder="1" applyAlignment="1">
      <alignment vertical="center" wrapText="1"/>
    </xf>
    <xf numFmtId="0" fontId="8" fillId="0" borderId="27" xfId="0" applyFont="1" applyBorder="1" applyAlignment="1">
      <alignment horizontal="right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4" fontId="2" fillId="2" borderId="0" xfId="1" applyNumberFormat="1" applyFont="1" applyFill="1" applyAlignment="1">
      <alignment horizontal="center" vertical="center" wrapText="1"/>
    </xf>
    <xf numFmtId="4" fontId="3" fillId="3" borderId="17" xfId="1" applyNumberFormat="1" applyFont="1" applyFill="1" applyBorder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" fontId="2" fillId="2" borderId="12" xfId="1" applyNumberFormat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/>
    </xf>
    <xf numFmtId="3" fontId="4" fillId="3" borderId="4" xfId="1" applyNumberFormat="1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4" fontId="3" fillId="2" borderId="17" xfId="1" applyNumberFormat="1" applyFont="1" applyFill="1" applyBorder="1" applyAlignment="1">
      <alignment horizontal="center" vertical="center" wrapText="1"/>
    </xf>
    <xf numFmtId="4" fontId="3" fillId="2" borderId="19" xfId="1" applyNumberFormat="1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3" fontId="3" fillId="3" borderId="33" xfId="1" applyNumberFormat="1" applyFont="1" applyFill="1" applyBorder="1" applyAlignment="1">
      <alignment horizontal="center" vertical="center" wrapText="1"/>
    </xf>
    <xf numFmtId="3" fontId="3" fillId="3" borderId="39" xfId="1" applyNumberFormat="1" applyFont="1" applyFill="1" applyBorder="1" applyAlignment="1">
      <alignment horizontal="center" vertical="center" wrapText="1"/>
    </xf>
    <xf numFmtId="3" fontId="3" fillId="3" borderId="14" xfId="1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right" vertical="center" wrapText="1" indent="1"/>
    </xf>
    <xf numFmtId="0" fontId="3" fillId="0" borderId="13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4" fontId="3" fillId="2" borderId="11" xfId="0" applyNumberFormat="1" applyFont="1" applyFill="1" applyBorder="1" applyAlignment="1">
      <alignment horizontal="center" vertical="center"/>
    </xf>
    <xf numFmtId="3" fontId="3" fillId="3" borderId="16" xfId="1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3" fontId="4" fillId="3" borderId="17" xfId="1" applyNumberFormat="1" applyFont="1" applyFill="1" applyBorder="1" applyAlignment="1">
      <alignment horizontal="left" vertical="center" wrapText="1"/>
    </xf>
    <xf numFmtId="4" fontId="4" fillId="3" borderId="14" xfId="1" applyNumberFormat="1" applyFont="1" applyFill="1" applyBorder="1" applyAlignment="1">
      <alignment horizontal="left" vertical="center" wrapText="1"/>
    </xf>
    <xf numFmtId="3" fontId="4" fillId="3" borderId="43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9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 vertical="center"/>
    </xf>
    <xf numFmtId="0" fontId="10" fillId="0" borderId="0" xfId="0" applyFont="1"/>
    <xf numFmtId="4" fontId="11" fillId="9" borderId="1" xfId="1" applyNumberFormat="1" applyFont="1" applyFill="1" applyBorder="1" applyAlignment="1">
      <alignment horizontal="center" vertical="center"/>
    </xf>
    <xf numFmtId="4" fontId="11" fillId="9" borderId="2" xfId="1" applyNumberFormat="1" applyFont="1" applyFill="1" applyBorder="1" applyAlignment="1">
      <alignment horizontal="center" vertical="center"/>
    </xf>
    <xf numFmtId="4" fontId="11" fillId="9" borderId="4" xfId="1" applyNumberFormat="1" applyFont="1" applyFill="1" applyBorder="1" applyAlignment="1">
      <alignment horizontal="center" vertical="center"/>
    </xf>
    <xf numFmtId="4" fontId="11" fillId="9" borderId="5" xfId="1" applyNumberFormat="1" applyFont="1" applyFill="1" applyBorder="1" applyAlignment="1">
      <alignment horizontal="center" vertical="center"/>
    </xf>
    <xf numFmtId="4" fontId="12" fillId="9" borderId="5" xfId="1" applyNumberFormat="1" applyFont="1" applyFill="1" applyBorder="1" applyAlignment="1">
      <alignment horizontal="center" vertical="center" wrapText="1"/>
    </xf>
    <xf numFmtId="4" fontId="11" fillId="9" borderId="11" xfId="0" applyNumberFormat="1" applyFont="1" applyFill="1" applyBorder="1" applyAlignment="1">
      <alignment horizontal="center" vertical="center" wrapText="1"/>
    </xf>
    <xf numFmtId="4" fontId="11" fillId="9" borderId="5" xfId="0" applyNumberFormat="1" applyFont="1" applyFill="1" applyBorder="1" applyAlignment="1">
      <alignment horizontal="center" vertical="center" wrapText="1"/>
    </xf>
    <xf numFmtId="2" fontId="12" fillId="9" borderId="5" xfId="1" applyNumberFormat="1" applyFont="1" applyFill="1" applyBorder="1" applyAlignment="1">
      <alignment horizontal="center" vertical="center" wrapText="1"/>
    </xf>
    <xf numFmtId="4" fontId="12" fillId="10" borderId="5" xfId="1" applyNumberFormat="1" applyFont="1" applyFill="1" applyBorder="1" applyAlignment="1">
      <alignment horizontal="center" vertical="center" wrapText="1"/>
    </xf>
    <xf numFmtId="2" fontId="3" fillId="8" borderId="5" xfId="1" applyNumberFormat="1" applyFont="1" applyFill="1" applyBorder="1" applyAlignment="1">
      <alignment horizontal="center" vertical="center" wrapText="1"/>
    </xf>
    <xf numFmtId="4" fontId="3" fillId="8" borderId="17" xfId="1" applyNumberFormat="1" applyFont="1" applyFill="1" applyBorder="1" applyAlignment="1">
      <alignment vertical="center" wrapText="1"/>
    </xf>
    <xf numFmtId="4" fontId="3" fillId="5" borderId="5" xfId="1" applyNumberFormat="1" applyFont="1" applyFill="1" applyBorder="1" applyAlignment="1">
      <alignment horizontal="left" vertical="center" wrapText="1"/>
    </xf>
    <xf numFmtId="0" fontId="3" fillId="2" borderId="10" xfId="1" applyFont="1" applyFill="1" applyBorder="1" applyAlignment="1">
      <alignment horizontal="center" vertical="center" wrapText="1"/>
    </xf>
    <xf numFmtId="4" fontId="3" fillId="3" borderId="16" xfId="1" applyNumberFormat="1" applyFont="1" applyFill="1" applyBorder="1" applyAlignment="1">
      <alignment horizontal="left" vertical="center" wrapText="1"/>
    </xf>
    <xf numFmtId="4" fontId="3" fillId="3" borderId="17" xfId="1" applyNumberFormat="1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/>
    </xf>
    <xf numFmtId="4" fontId="4" fillId="3" borderId="4" xfId="1" applyNumberFormat="1" applyFont="1" applyFill="1" applyBorder="1" applyAlignment="1">
      <alignment horizontal="left" vertical="center" wrapText="1"/>
    </xf>
    <xf numFmtId="4" fontId="3" fillId="2" borderId="11" xfId="1" applyNumberFormat="1" applyFont="1" applyFill="1" applyBorder="1" applyAlignment="1">
      <alignment horizontal="center" vertical="center" wrapText="1"/>
    </xf>
    <xf numFmtId="4" fontId="12" fillId="9" borderId="11" xfId="1" applyNumberFormat="1" applyFont="1" applyFill="1" applyBorder="1" applyAlignment="1">
      <alignment horizontal="center" vertical="center" wrapText="1"/>
    </xf>
    <xf numFmtId="4" fontId="4" fillId="2" borderId="12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9" fillId="7" borderId="5" xfId="0" applyFont="1" applyFill="1" applyBorder="1"/>
    <xf numFmtId="0" fontId="0" fillId="0" borderId="16" xfId="0" applyBorder="1" applyAlignment="1">
      <alignment wrapText="1"/>
    </xf>
    <xf numFmtId="4" fontId="2" fillId="0" borderId="12" xfId="1" applyNumberFormat="1" applyFont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4" fontId="11" fillId="0" borderId="5" xfId="0" applyNumberFormat="1" applyFont="1" applyBorder="1" applyAlignment="1">
      <alignment horizontal="center" vertical="center" wrapText="1"/>
    </xf>
    <xf numFmtId="4" fontId="3" fillId="9" borderId="5" xfId="1" applyNumberFormat="1" applyFont="1" applyFill="1" applyBorder="1" applyAlignment="1">
      <alignment horizontal="center" vertical="center"/>
    </xf>
    <xf numFmtId="4" fontId="3" fillId="0" borderId="5" xfId="1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 wrapText="1"/>
    </xf>
    <xf numFmtId="4" fontId="12" fillId="0" borderId="5" xfId="1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4" fontId="12" fillId="0" borderId="5" xfId="1" applyNumberFormat="1" applyFont="1" applyBorder="1" applyAlignment="1">
      <alignment horizontal="center" vertical="center" wrapText="1"/>
    </xf>
    <xf numFmtId="4" fontId="3" fillId="0" borderId="5" xfId="1" applyNumberFormat="1" applyFont="1" applyBorder="1" applyAlignment="1">
      <alignment horizontal="center" vertical="center" wrapText="1"/>
    </xf>
    <xf numFmtId="4" fontId="12" fillId="0" borderId="2" xfId="1" applyNumberFormat="1" applyFont="1" applyBorder="1" applyAlignment="1">
      <alignment horizontal="center" vertical="center" wrapText="1"/>
    </xf>
    <xf numFmtId="4" fontId="3" fillId="0" borderId="2" xfId="1" applyNumberFormat="1" applyFont="1" applyBorder="1" applyAlignment="1">
      <alignment horizontal="center" vertical="center" wrapText="1"/>
    </xf>
    <xf numFmtId="4" fontId="3" fillId="0" borderId="9" xfId="0" applyNumberFormat="1" applyFont="1" applyBorder="1" applyAlignment="1">
      <alignment horizontal="center" vertical="center"/>
    </xf>
    <xf numFmtId="4" fontId="13" fillId="0" borderId="5" xfId="1" applyNumberFormat="1" applyFont="1" applyBorder="1" applyAlignment="1">
      <alignment horizontal="right" vertical="center" wrapText="1"/>
    </xf>
    <xf numFmtId="4" fontId="11" fillId="0" borderId="1" xfId="1" applyNumberFormat="1" applyFont="1" applyBorder="1" applyAlignment="1">
      <alignment horizontal="center" vertical="center"/>
    </xf>
    <xf numFmtId="4" fontId="3" fillId="9" borderId="1" xfId="1" applyNumberFormat="1" applyFont="1" applyFill="1" applyBorder="1" applyAlignment="1">
      <alignment horizontal="center" vertical="center"/>
    </xf>
    <xf numFmtId="4" fontId="3" fillId="9" borderId="2" xfId="1" applyNumberFormat="1" applyFont="1" applyFill="1" applyBorder="1" applyAlignment="1">
      <alignment horizontal="center" vertical="center"/>
    </xf>
    <xf numFmtId="4" fontId="3" fillId="9" borderId="4" xfId="1" applyNumberFormat="1" applyFont="1" applyFill="1" applyBorder="1" applyAlignment="1">
      <alignment horizontal="center" vertical="center"/>
    </xf>
    <xf numFmtId="4" fontId="3" fillId="9" borderId="5" xfId="1" applyNumberFormat="1" applyFont="1" applyFill="1" applyBorder="1" applyAlignment="1">
      <alignment horizontal="center" vertical="center" wrapText="1"/>
    </xf>
    <xf numFmtId="4" fontId="3" fillId="9" borderId="11" xfId="1" applyNumberFormat="1" applyFont="1" applyFill="1" applyBorder="1" applyAlignment="1">
      <alignment horizontal="center" vertical="center" wrapText="1"/>
    </xf>
    <xf numFmtId="164" fontId="4" fillId="9" borderId="11" xfId="0" applyNumberFormat="1" applyFont="1" applyFill="1" applyBorder="1" applyAlignment="1">
      <alignment horizontal="center" vertical="center"/>
    </xf>
    <xf numFmtId="164" fontId="4" fillId="9" borderId="5" xfId="0" applyNumberFormat="1" applyFont="1" applyFill="1" applyBorder="1" applyAlignment="1">
      <alignment horizontal="center" vertical="center"/>
    </xf>
    <xf numFmtId="4" fontId="4" fillId="9" borderId="5" xfId="0" applyNumberFormat="1" applyFont="1" applyFill="1" applyBorder="1" applyAlignment="1">
      <alignment horizontal="center" vertical="center"/>
    </xf>
    <xf numFmtId="2" fontId="3" fillId="9" borderId="5" xfId="1" applyNumberFormat="1" applyFont="1" applyFill="1" applyBorder="1" applyAlignment="1">
      <alignment horizontal="center" vertical="center" wrapText="1"/>
    </xf>
    <xf numFmtId="4" fontId="3" fillId="10" borderId="5" xfId="1" applyNumberFormat="1" applyFont="1" applyFill="1" applyBorder="1" applyAlignment="1">
      <alignment horizontal="center" vertical="center" wrapText="1"/>
    </xf>
    <xf numFmtId="0" fontId="16" fillId="11" borderId="0" xfId="0" applyFont="1" applyFill="1" applyAlignment="1">
      <alignment vertical="center"/>
    </xf>
    <xf numFmtId="0" fontId="15" fillId="11" borderId="0" xfId="0" applyFont="1" applyFill="1" applyAlignment="1">
      <alignment vertical="center"/>
    </xf>
    <xf numFmtId="164" fontId="17" fillId="7" borderId="0" xfId="0" applyNumberFormat="1" applyFont="1" applyFill="1" applyAlignment="1">
      <alignment horizontal="center" vertical="center"/>
    </xf>
    <xf numFmtId="164" fontId="17" fillId="7" borderId="31" xfId="0" applyNumberFormat="1" applyFont="1" applyFill="1" applyBorder="1" applyAlignment="1">
      <alignment horizontal="center" vertical="center"/>
    </xf>
    <xf numFmtId="0" fontId="17" fillId="7" borderId="0" xfId="0" applyFont="1" applyFill="1" applyAlignment="1">
      <alignment vertical="center"/>
    </xf>
    <xf numFmtId="0" fontId="17" fillId="7" borderId="0" xfId="0" applyFont="1" applyFill="1" applyAlignment="1">
      <alignment horizontal="center" vertical="center"/>
    </xf>
    <xf numFmtId="0" fontId="17" fillId="7" borderId="28" xfId="0" applyFont="1" applyFill="1" applyBorder="1" applyAlignment="1">
      <alignment horizontal="center" vertical="center"/>
    </xf>
    <xf numFmtId="2" fontId="17" fillId="7" borderId="29" xfId="0" applyNumberFormat="1" applyFont="1" applyFill="1" applyBorder="1" applyAlignment="1">
      <alignment horizontal="center" vertical="center"/>
    </xf>
    <xf numFmtId="0" fontId="17" fillId="7" borderId="28" xfId="0" applyFont="1" applyFill="1" applyBorder="1" applyAlignment="1">
      <alignment vertical="center"/>
    </xf>
    <xf numFmtId="0" fontId="17" fillId="7" borderId="28" xfId="0" applyFont="1" applyFill="1" applyBorder="1" applyAlignment="1">
      <alignment horizontal="center"/>
    </xf>
    <xf numFmtId="0" fontId="17" fillId="7" borderId="31" xfId="0" applyFont="1" applyFill="1" applyBorder="1" applyAlignment="1">
      <alignment horizontal="center" vertical="center"/>
    </xf>
    <xf numFmtId="0" fontId="17" fillId="7" borderId="31" xfId="0" applyFont="1" applyFill="1" applyBorder="1" applyAlignment="1">
      <alignment horizontal="center"/>
    </xf>
    <xf numFmtId="0" fontId="17" fillId="7" borderId="31" xfId="0" applyFont="1" applyFill="1" applyBorder="1"/>
    <xf numFmtId="2" fontId="9" fillId="7" borderId="0" xfId="0" applyNumberFormat="1" applyFont="1" applyFill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center" vertical="center"/>
    </xf>
    <xf numFmtId="4" fontId="12" fillId="0" borderId="1" xfId="1" applyNumberFormat="1" applyFont="1" applyBorder="1" applyAlignment="1">
      <alignment horizontal="center" vertical="center"/>
    </xf>
    <xf numFmtId="4" fontId="12" fillId="0" borderId="2" xfId="1" applyNumberFormat="1" applyFont="1" applyBorder="1" applyAlignment="1">
      <alignment horizontal="center" vertical="center"/>
    </xf>
    <xf numFmtId="4" fontId="12" fillId="0" borderId="4" xfId="1" applyNumberFormat="1" applyFont="1" applyBorder="1" applyAlignment="1">
      <alignment horizontal="center" vertical="center"/>
    </xf>
    <xf numFmtId="4" fontId="12" fillId="0" borderId="7" xfId="1" applyNumberFormat="1" applyFont="1" applyBorder="1" applyAlignment="1">
      <alignment horizontal="center" vertical="center"/>
    </xf>
    <xf numFmtId="4" fontId="3" fillId="0" borderId="13" xfId="0" applyNumberFormat="1" applyFont="1" applyBorder="1" applyAlignment="1">
      <alignment horizontal="center" vertical="center"/>
    </xf>
    <xf numFmtId="4" fontId="12" fillId="0" borderId="9" xfId="1" applyNumberFormat="1" applyFont="1" applyBorder="1" applyAlignment="1">
      <alignment horizontal="center" vertical="center"/>
    </xf>
    <xf numFmtId="4" fontId="3" fillId="0" borderId="10" xfId="0" applyNumberFormat="1" applyFont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4" fontId="3" fillId="0" borderId="16" xfId="1" applyNumberFormat="1" applyFont="1" applyBorder="1" applyAlignment="1">
      <alignment horizontal="center" vertical="center" wrapText="1"/>
    </xf>
    <xf numFmtId="4" fontId="2" fillId="0" borderId="16" xfId="1" applyNumberFormat="1" applyFont="1" applyBorder="1" applyAlignment="1">
      <alignment horizontal="right" vertical="center" wrapText="1"/>
    </xf>
    <xf numFmtId="4" fontId="2" fillId="0" borderId="5" xfId="1" applyNumberFormat="1" applyFont="1" applyBorder="1" applyAlignment="1">
      <alignment horizontal="center" vertical="center" wrapText="1"/>
    </xf>
    <xf numFmtId="4" fontId="19" fillId="7" borderId="5" xfId="1" applyNumberFormat="1" applyFont="1" applyFill="1" applyBorder="1" applyAlignment="1">
      <alignment horizontal="center" vertical="center"/>
    </xf>
    <xf numFmtId="4" fontId="2" fillId="0" borderId="5" xfId="1" applyNumberFormat="1" applyFont="1" applyBorder="1" applyAlignment="1">
      <alignment vertical="center" wrapText="1"/>
    </xf>
    <xf numFmtId="1" fontId="2" fillId="0" borderId="17" xfId="1" applyNumberFormat="1" applyFont="1" applyBorder="1" applyAlignment="1">
      <alignment horizontal="center" vertical="center" wrapText="1"/>
    </xf>
    <xf numFmtId="1" fontId="2" fillId="0" borderId="17" xfId="1" applyNumberFormat="1" applyFont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4" fontId="3" fillId="0" borderId="0" xfId="1" applyNumberFormat="1" applyFont="1" applyAlignment="1">
      <alignment horizontal="center" vertical="center" wrapText="1"/>
    </xf>
    <xf numFmtId="4" fontId="2" fillId="0" borderId="0" xfId="1" applyNumberFormat="1" applyFont="1" applyAlignment="1">
      <alignment horizontal="right" vertical="center" wrapText="1"/>
    </xf>
    <xf numFmtId="4" fontId="3" fillId="0" borderId="1" xfId="1" applyNumberFormat="1" applyFont="1" applyBorder="1" applyAlignment="1">
      <alignment horizontal="center" vertical="center"/>
    </xf>
    <xf numFmtId="4" fontId="3" fillId="0" borderId="2" xfId="1" applyNumberFormat="1" applyFont="1" applyBorder="1" applyAlignment="1">
      <alignment horizontal="center" vertical="center"/>
    </xf>
    <xf numFmtId="4" fontId="3" fillId="0" borderId="4" xfId="1" applyNumberFormat="1" applyFont="1" applyBorder="1" applyAlignment="1">
      <alignment horizontal="center" vertical="center"/>
    </xf>
    <xf numFmtId="4" fontId="3" fillId="0" borderId="7" xfId="1" applyNumberFormat="1" applyFont="1" applyBorder="1" applyAlignment="1">
      <alignment horizontal="center" vertical="center"/>
    </xf>
    <xf numFmtId="4" fontId="3" fillId="0" borderId="9" xfId="1" applyNumberFormat="1" applyFont="1" applyBorder="1" applyAlignment="1">
      <alignment horizontal="center" vertical="center"/>
    </xf>
    <xf numFmtId="4" fontId="2" fillId="0" borderId="5" xfId="1" applyNumberFormat="1" applyFont="1" applyBorder="1" applyAlignment="1">
      <alignment horizontal="right" vertical="center" wrapText="1"/>
    </xf>
    <xf numFmtId="0" fontId="21" fillId="0" borderId="0" xfId="0" applyFont="1"/>
    <xf numFmtId="4" fontId="3" fillId="0" borderId="11" xfId="1" applyNumberFormat="1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right" vertical="center" wrapText="1"/>
    </xf>
    <xf numFmtId="2" fontId="3" fillId="0" borderId="5" xfId="1" applyNumberFormat="1" applyFont="1" applyBorder="1" applyAlignment="1">
      <alignment horizontal="center" vertical="center" wrapText="1"/>
    </xf>
    <xf numFmtId="0" fontId="5" fillId="0" borderId="0" xfId="0" applyFont="1"/>
    <xf numFmtId="4" fontId="4" fillId="0" borderId="5" xfId="0" applyNumberFormat="1" applyFont="1" applyBorder="1" applyAlignment="1">
      <alignment horizontal="center" vertical="center" wrapText="1"/>
    </xf>
    <xf numFmtId="4" fontId="4" fillId="0" borderId="1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 vertical="center"/>
    </xf>
    <xf numFmtId="4" fontId="4" fillId="0" borderId="4" xfId="1" applyNumberFormat="1" applyFont="1" applyBorder="1" applyAlignment="1">
      <alignment horizontal="center" vertical="center"/>
    </xf>
    <xf numFmtId="4" fontId="4" fillId="0" borderId="5" xfId="1" applyNumberFormat="1" applyFont="1" applyBorder="1" applyAlignment="1">
      <alignment horizontal="center" vertical="center"/>
    </xf>
    <xf numFmtId="4" fontId="4" fillId="0" borderId="11" xfId="0" applyNumberFormat="1" applyFont="1" applyBorder="1" applyAlignment="1">
      <alignment horizontal="center" vertical="center" wrapText="1"/>
    </xf>
    <xf numFmtId="1" fontId="21" fillId="0" borderId="0" xfId="0" applyNumberFormat="1" applyFont="1"/>
    <xf numFmtId="0" fontId="0" fillId="0" borderId="24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7" fillId="7" borderId="0" xfId="0" applyFont="1" applyFill="1" applyAlignment="1">
      <alignment horizontal="center" vertical="center"/>
    </xf>
    <xf numFmtId="0" fontId="17" fillId="7" borderId="31" xfId="0" applyFont="1" applyFill="1" applyBorder="1" applyAlignment="1">
      <alignment horizontal="center" vertical="center"/>
    </xf>
    <xf numFmtId="2" fontId="17" fillId="7" borderId="0" xfId="0" applyNumberFormat="1" applyFont="1" applyFill="1" applyAlignment="1">
      <alignment horizontal="center" vertical="center"/>
    </xf>
    <xf numFmtId="0" fontId="4" fillId="3" borderId="16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4" fontId="3" fillId="2" borderId="16" xfId="1" applyNumberFormat="1" applyFont="1" applyFill="1" applyBorder="1" applyAlignment="1">
      <alignment horizontal="left" vertical="center" wrapText="1"/>
    </xf>
    <xf numFmtId="4" fontId="3" fillId="2" borderId="17" xfId="1" applyNumberFormat="1" applyFont="1" applyFill="1" applyBorder="1" applyAlignment="1">
      <alignment horizontal="left" vertical="center" wrapText="1"/>
    </xf>
    <xf numFmtId="0" fontId="4" fillId="2" borderId="45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42" xfId="0" applyFont="1" applyFill="1" applyBorder="1" applyAlignment="1">
      <alignment horizontal="left" vertical="center"/>
    </xf>
    <xf numFmtId="0" fontId="4" fillId="2" borderId="43" xfId="0" applyFont="1" applyFill="1" applyBorder="1" applyAlignment="1">
      <alignment horizontal="left" vertical="center"/>
    </xf>
    <xf numFmtId="0" fontId="0" fillId="0" borderId="45" xfId="0" applyBorder="1" applyAlignment="1">
      <alignment horizontal="left"/>
    </xf>
    <xf numFmtId="4" fontId="4" fillId="3" borderId="37" xfId="1" applyNumberFormat="1" applyFont="1" applyFill="1" applyBorder="1" applyAlignment="1">
      <alignment horizontal="left" vertical="center" wrapText="1"/>
    </xf>
    <xf numFmtId="4" fontId="4" fillId="3" borderId="19" xfId="1" applyNumberFormat="1" applyFont="1" applyFill="1" applyBorder="1" applyAlignment="1">
      <alignment horizontal="left" vertical="center" wrapText="1"/>
    </xf>
    <xf numFmtId="4" fontId="4" fillId="3" borderId="16" xfId="1" applyNumberFormat="1" applyFont="1" applyFill="1" applyBorder="1" applyAlignment="1">
      <alignment horizontal="left" vertical="center" wrapText="1"/>
    </xf>
    <xf numFmtId="4" fontId="4" fillId="3" borderId="43" xfId="1" applyNumberFormat="1" applyFont="1" applyFill="1" applyBorder="1" applyAlignment="1">
      <alignment horizontal="left" vertical="center" wrapText="1"/>
    </xf>
    <xf numFmtId="4" fontId="4" fillId="3" borderId="41" xfId="1" applyNumberFormat="1" applyFont="1" applyFill="1" applyBorder="1" applyAlignment="1">
      <alignment horizontal="left" vertical="center" wrapText="1"/>
    </xf>
    <xf numFmtId="4" fontId="4" fillId="3" borderId="17" xfId="1" applyNumberFormat="1" applyFont="1" applyFill="1" applyBorder="1" applyAlignment="1">
      <alignment horizontal="left" vertical="center" wrapText="1"/>
    </xf>
    <xf numFmtId="4" fontId="3" fillId="2" borderId="41" xfId="1" applyNumberFormat="1" applyFont="1" applyFill="1" applyBorder="1" applyAlignment="1">
      <alignment horizontal="left" vertical="center" wrapText="1"/>
    </xf>
    <xf numFmtId="4" fontId="3" fillId="3" borderId="5" xfId="1" applyNumberFormat="1" applyFont="1" applyFill="1" applyBorder="1" applyAlignment="1">
      <alignment horizontal="left" vertical="center" wrapText="1"/>
    </xf>
    <xf numFmtId="0" fontId="3" fillId="2" borderId="39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4" fontId="2" fillId="3" borderId="15" xfId="1" applyNumberFormat="1" applyFont="1" applyFill="1" applyBorder="1" applyAlignment="1">
      <alignment horizontal="center" vertical="center" wrapText="1"/>
    </xf>
    <xf numFmtId="4" fontId="2" fillId="3" borderId="0" xfId="1" applyNumberFormat="1" applyFont="1" applyFill="1" applyAlignment="1">
      <alignment horizontal="center" vertical="center" wrapText="1"/>
    </xf>
    <xf numFmtId="4" fontId="2" fillId="2" borderId="0" xfId="1" applyNumberFormat="1" applyFont="1" applyFill="1" applyAlignment="1">
      <alignment horizontal="left" vertical="center" wrapText="1"/>
    </xf>
    <xf numFmtId="4" fontId="2" fillId="2" borderId="6" xfId="1" applyNumberFormat="1" applyFont="1" applyFill="1" applyBorder="1" applyAlignment="1">
      <alignment horizontal="right" vertical="center" wrapText="1"/>
    </xf>
    <xf numFmtId="4" fontId="2" fillId="2" borderId="0" xfId="1" applyNumberFormat="1" applyFont="1" applyFill="1" applyAlignment="1">
      <alignment horizontal="right" vertical="center" wrapText="1"/>
    </xf>
    <xf numFmtId="4" fontId="2" fillId="2" borderId="8" xfId="1" applyNumberFormat="1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44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left" vertical="center" wrapText="1"/>
    </xf>
    <xf numFmtId="4" fontId="3" fillId="3" borderId="16" xfId="1" applyNumberFormat="1" applyFont="1" applyFill="1" applyBorder="1" applyAlignment="1">
      <alignment horizontal="left" vertical="center" wrapText="1"/>
    </xf>
    <xf numFmtId="4" fontId="3" fillId="3" borderId="17" xfId="1" applyNumberFormat="1" applyFont="1" applyFill="1" applyBorder="1" applyAlignment="1">
      <alignment horizontal="left" vertical="center" wrapText="1"/>
    </xf>
    <xf numFmtId="4" fontId="2" fillId="3" borderId="16" xfId="1" applyNumberFormat="1" applyFont="1" applyFill="1" applyBorder="1" applyAlignment="1">
      <alignment horizontal="left" vertical="center" wrapText="1"/>
    </xf>
    <xf numFmtId="4" fontId="2" fillId="3" borderId="17" xfId="1" applyNumberFormat="1" applyFont="1" applyFill="1" applyBorder="1" applyAlignment="1">
      <alignment horizontal="left" vertical="center" wrapText="1"/>
    </xf>
    <xf numFmtId="2" fontId="2" fillId="3" borderId="18" xfId="1" applyNumberFormat="1" applyFont="1" applyFill="1" applyBorder="1" applyAlignment="1">
      <alignment horizontal="right" vertical="center" wrapText="1"/>
    </xf>
    <xf numFmtId="2" fontId="2" fillId="3" borderId="19" xfId="1" applyNumberFormat="1" applyFont="1" applyFill="1" applyBorder="1" applyAlignment="1">
      <alignment horizontal="right" vertical="center" wrapText="1"/>
    </xf>
    <xf numFmtId="4" fontId="2" fillId="0" borderId="5" xfId="1" applyNumberFormat="1" applyFont="1" applyBorder="1" applyAlignment="1">
      <alignment horizontal="center" vertical="center" wrapText="1"/>
    </xf>
    <xf numFmtId="4" fontId="4" fillId="3" borderId="33" xfId="1" applyNumberFormat="1" applyFont="1" applyFill="1" applyBorder="1" applyAlignment="1">
      <alignment horizontal="left" vertical="center" wrapText="1"/>
    </xf>
    <xf numFmtId="4" fontId="4" fillId="3" borderId="34" xfId="1" applyNumberFormat="1" applyFont="1" applyFill="1" applyBorder="1" applyAlignment="1">
      <alignment horizontal="left" vertical="center" wrapText="1"/>
    </xf>
    <xf numFmtId="4" fontId="4" fillId="3" borderId="33" xfId="1" applyNumberFormat="1" applyFont="1" applyFill="1" applyBorder="1" applyAlignment="1">
      <alignment horizontal="center" vertical="center" wrapText="1"/>
    </xf>
    <xf numFmtId="4" fontId="4" fillId="3" borderId="34" xfId="1" applyNumberFormat="1" applyFont="1" applyFill="1" applyBorder="1" applyAlignment="1">
      <alignment horizontal="center" vertical="center" wrapText="1"/>
    </xf>
    <xf numFmtId="4" fontId="4" fillId="3" borderId="35" xfId="1" applyNumberFormat="1" applyFont="1" applyFill="1" applyBorder="1" applyAlignment="1">
      <alignment horizontal="center" vertical="center" wrapText="1"/>
    </xf>
    <xf numFmtId="4" fontId="4" fillId="3" borderId="36" xfId="1" applyNumberFormat="1" applyFont="1" applyFill="1" applyBorder="1" applyAlignment="1">
      <alignment horizontal="center" vertical="center" wrapText="1"/>
    </xf>
    <xf numFmtId="4" fontId="4" fillId="3" borderId="38" xfId="1" applyNumberFormat="1" applyFont="1" applyFill="1" applyBorder="1" applyAlignment="1">
      <alignment horizontal="left" vertical="center" wrapText="1"/>
    </xf>
    <xf numFmtId="4" fontId="4" fillId="3" borderId="5" xfId="1" applyNumberFormat="1" applyFont="1" applyFill="1" applyBorder="1" applyAlignment="1">
      <alignment horizontal="left" vertical="center" wrapText="1"/>
    </xf>
    <xf numFmtId="4" fontId="3" fillId="2" borderId="42" xfId="1" applyNumberFormat="1" applyFont="1" applyFill="1" applyBorder="1" applyAlignment="1">
      <alignment horizontal="left" vertical="center" wrapText="1"/>
    </xf>
    <xf numFmtId="4" fontId="3" fillId="2" borderId="43" xfId="1" applyNumberFormat="1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 wrapText="1"/>
    </xf>
    <xf numFmtId="4" fontId="2" fillId="0" borderId="22" xfId="0" applyNumberFormat="1" applyFont="1" applyBorder="1" applyAlignment="1">
      <alignment horizontal="center"/>
    </xf>
    <xf numFmtId="4" fontId="2" fillId="0" borderId="23" xfId="0" applyNumberFormat="1" applyFont="1" applyBorder="1" applyAlignment="1">
      <alignment horizontal="center"/>
    </xf>
    <xf numFmtId="4" fontId="2" fillId="0" borderId="5" xfId="1" applyNumberFormat="1" applyFont="1" applyBorder="1" applyAlignment="1">
      <alignment horizontal="center" vertical="center"/>
    </xf>
    <xf numFmtId="4" fontId="2" fillId="0" borderId="20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center" vertical="center" wrapText="1"/>
    </xf>
    <xf numFmtId="4" fontId="2" fillId="0" borderId="16" xfId="1" applyNumberFormat="1" applyFont="1" applyBorder="1" applyAlignment="1">
      <alignment horizontal="center" vertical="center" wrapText="1"/>
    </xf>
    <xf numFmtId="4" fontId="2" fillId="0" borderId="17" xfId="1" applyNumberFormat="1" applyFont="1" applyBorder="1" applyAlignment="1">
      <alignment horizontal="center" vertical="center" wrapText="1"/>
    </xf>
    <xf numFmtId="4" fontId="2" fillId="3" borderId="18" xfId="1" applyNumberFormat="1" applyFont="1" applyFill="1" applyBorder="1" applyAlignment="1">
      <alignment horizontal="right" vertical="center" wrapText="1"/>
    </xf>
    <xf numFmtId="4" fontId="2" fillId="3" borderId="19" xfId="1" applyNumberFormat="1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right"/>
    </xf>
    <xf numFmtId="0" fontId="18" fillId="0" borderId="16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8" fillId="0" borderId="16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" fontId="2" fillId="0" borderId="18" xfId="1" applyNumberFormat="1" applyFont="1" applyBorder="1" applyAlignment="1">
      <alignment horizontal="left" vertical="center" wrapText="1"/>
    </xf>
    <xf numFmtId="4" fontId="2" fillId="0" borderId="19" xfId="1" applyNumberFormat="1" applyFont="1" applyBorder="1" applyAlignment="1">
      <alignment horizontal="left" vertical="center" wrapText="1"/>
    </xf>
    <xf numFmtId="4" fontId="2" fillId="0" borderId="0" xfId="1" applyNumberFormat="1" applyFont="1" applyAlignment="1">
      <alignment horizontal="left" vertical="center" wrapText="1"/>
    </xf>
    <xf numFmtId="4" fontId="2" fillId="0" borderId="24" xfId="1" applyNumberFormat="1" applyFont="1" applyBorder="1" applyAlignment="1">
      <alignment horizontal="left" vertical="center" wrapText="1"/>
    </xf>
    <xf numFmtId="4" fontId="2" fillId="0" borderId="0" xfId="1" applyNumberFormat="1" applyFont="1" applyAlignment="1">
      <alignment horizontal="left" vertical="center"/>
    </xf>
    <xf numFmtId="4" fontId="2" fillId="0" borderId="24" xfId="1" applyNumberFormat="1" applyFont="1" applyBorder="1" applyAlignment="1">
      <alignment horizontal="left" vertical="center"/>
    </xf>
    <xf numFmtId="4" fontId="2" fillId="0" borderId="16" xfId="1" applyNumberFormat="1" applyFont="1" applyBorder="1" applyAlignment="1">
      <alignment horizontal="left" vertical="center"/>
    </xf>
    <xf numFmtId="4" fontId="2" fillId="0" borderId="45" xfId="1" applyNumberFormat="1" applyFont="1" applyBorder="1" applyAlignment="1">
      <alignment horizontal="left" vertical="center"/>
    </xf>
  </cellXfs>
  <cellStyles count="2">
    <cellStyle name="Normal" xfId="0" builtinId="0"/>
    <cellStyle name="Обычный_Парк-Плейс. Перечень используемых материалов и работ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3:E17"/>
  <sheetViews>
    <sheetView tabSelected="1" zoomScale="115" zoomScaleNormal="115" workbookViewId="0">
      <selection activeCell="D17" sqref="D17"/>
    </sheetView>
  </sheetViews>
  <sheetFormatPr baseColWidth="10" defaultColWidth="8.83203125" defaultRowHeight="15"/>
  <cols>
    <col min="2" max="2" width="31.33203125" bestFit="1" customWidth="1"/>
    <col min="3" max="4" width="5" customWidth="1"/>
    <col min="5" max="5" width="9.33203125" hidden="1" customWidth="1"/>
  </cols>
  <sheetData>
    <row r="3" spans="1:5" ht="32">
      <c r="A3" s="239" t="s">
        <v>130</v>
      </c>
      <c r="B3" s="240"/>
      <c r="C3" s="55" t="s">
        <v>2</v>
      </c>
      <c r="D3" s="55"/>
      <c r="E3" s="55" t="s">
        <v>128</v>
      </c>
    </row>
    <row r="4" spans="1:5">
      <c r="A4" s="238"/>
      <c r="B4" s="54" t="s">
        <v>0</v>
      </c>
      <c r="C4" s="53" t="s">
        <v>142</v>
      </c>
      <c r="D4" s="150"/>
      <c r="E4" s="151">
        <f>D4*1000</f>
        <v>0</v>
      </c>
    </row>
    <row r="5" spans="1:5">
      <c r="A5" s="238"/>
      <c r="B5" s="54" t="s">
        <v>1</v>
      </c>
      <c r="C5" s="53" t="s">
        <v>142</v>
      </c>
      <c r="D5" s="150"/>
      <c r="E5" s="151">
        <f t="shared" ref="E5:E8" si="0">D5*1000</f>
        <v>0</v>
      </c>
    </row>
    <row r="6" spans="1:5">
      <c r="A6" s="238"/>
      <c r="B6" s="54"/>
      <c r="C6" s="53"/>
      <c r="D6" s="150"/>
      <c r="E6" s="151">
        <f t="shared" si="0"/>
        <v>0</v>
      </c>
    </row>
    <row r="7" spans="1:5">
      <c r="A7" s="238"/>
      <c r="B7" s="54"/>
      <c r="C7" s="53"/>
      <c r="D7" s="150"/>
      <c r="E7" s="151">
        <f t="shared" si="0"/>
        <v>0</v>
      </c>
    </row>
    <row r="8" spans="1:5" ht="16">
      <c r="A8" s="238"/>
      <c r="B8" s="152" t="s">
        <v>143</v>
      </c>
      <c r="C8" s="53" t="s">
        <v>142</v>
      </c>
      <c r="D8" s="150"/>
      <c r="E8" s="151">
        <f t="shared" si="0"/>
        <v>0</v>
      </c>
    </row>
    <row r="9" spans="1:5">
      <c r="A9" s="238"/>
      <c r="B9" s="54" t="s">
        <v>52</v>
      </c>
      <c r="C9" s="53" t="s">
        <v>15</v>
      </c>
      <c r="D9" s="150"/>
      <c r="E9" s="151">
        <f>D9</f>
        <v>0</v>
      </c>
    </row>
    <row r="10" spans="1:5">
      <c r="A10" s="238"/>
      <c r="B10" s="54" t="s">
        <v>53</v>
      </c>
      <c r="C10" s="53" t="s">
        <v>15</v>
      </c>
      <c r="D10" s="150"/>
      <c r="E10" s="151">
        <f t="shared" ref="E10:E12" si="1">D10</f>
        <v>0</v>
      </c>
    </row>
    <row r="11" spans="1:5">
      <c r="A11" s="238"/>
      <c r="B11" s="54" t="s">
        <v>54</v>
      </c>
      <c r="C11" s="53" t="s">
        <v>15</v>
      </c>
      <c r="D11" s="150"/>
      <c r="E11" s="151">
        <f t="shared" si="1"/>
        <v>0</v>
      </c>
    </row>
    <row r="12" spans="1:5">
      <c r="A12" s="238"/>
      <c r="B12" s="54" t="s">
        <v>55</v>
      </c>
      <c r="C12" s="53" t="s">
        <v>15</v>
      </c>
      <c r="D12" s="150"/>
      <c r="E12" s="151">
        <f t="shared" si="1"/>
        <v>0</v>
      </c>
    </row>
    <row r="13" spans="1:5">
      <c r="A13" s="238"/>
      <c r="B13" s="54"/>
      <c r="C13" s="53"/>
      <c r="D13" s="150"/>
      <c r="E13" s="151">
        <f t="shared" ref="E13:E15" si="2">D13*1000</f>
        <v>0</v>
      </c>
    </row>
    <row r="14" spans="1:5">
      <c r="A14" s="238"/>
      <c r="B14" s="56" t="s">
        <v>80</v>
      </c>
      <c r="C14" s="53" t="s">
        <v>142</v>
      </c>
      <c r="D14" s="150"/>
      <c r="E14" s="151">
        <f t="shared" si="2"/>
        <v>0</v>
      </c>
    </row>
    <row r="15" spans="1:5">
      <c r="A15" s="238"/>
      <c r="B15" s="56"/>
      <c r="C15" s="53"/>
      <c r="D15" s="150"/>
      <c r="E15" s="151">
        <f t="shared" si="2"/>
        <v>0</v>
      </c>
    </row>
    <row r="16" spans="1:5">
      <c r="A16" s="238"/>
      <c r="B16" s="54" t="s">
        <v>51</v>
      </c>
      <c r="C16" s="53" t="s">
        <v>5</v>
      </c>
      <c r="D16" s="150"/>
      <c r="E16" s="151">
        <f>D16</f>
        <v>0</v>
      </c>
    </row>
    <row r="17" spans="1:5">
      <c r="A17" s="238"/>
      <c r="B17" s="56"/>
      <c r="C17" s="53"/>
      <c r="D17" s="150"/>
      <c r="E17" s="151">
        <f>D17</f>
        <v>0</v>
      </c>
    </row>
  </sheetData>
  <mergeCells count="2">
    <mergeCell ref="A4:A17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</sheetPr>
  <dimension ref="A1:T30"/>
  <sheetViews>
    <sheetView topLeftCell="A16" zoomScale="90" zoomScaleNormal="90" workbookViewId="0">
      <selection activeCell="R9" sqref="R9"/>
    </sheetView>
  </sheetViews>
  <sheetFormatPr baseColWidth="10" defaultColWidth="8.83203125" defaultRowHeight="15"/>
  <cols>
    <col min="1" max="1" width="11.1640625" bestFit="1" customWidth="1"/>
    <col min="2" max="2" width="10" bestFit="1" customWidth="1"/>
    <col min="3" max="3" width="19.33203125" customWidth="1"/>
    <col min="4" max="4" width="6.1640625" style="57" customWidth="1"/>
    <col min="5" max="5" width="11" bestFit="1" customWidth="1"/>
    <col min="6" max="6" width="2.83203125" style="57" bestFit="1" customWidth="1"/>
    <col min="7" max="7" width="18.6640625" customWidth="1"/>
    <col min="8" max="8" width="9.1640625" customWidth="1"/>
    <col min="9" max="9" width="11.33203125" customWidth="1"/>
    <col min="10" max="10" width="6" style="57" customWidth="1"/>
    <col min="11" max="11" width="8.33203125" bestFit="1" customWidth="1"/>
    <col min="13" max="13" width="4.5" bestFit="1" customWidth="1"/>
  </cols>
  <sheetData>
    <row r="1" spans="1:20" ht="16">
      <c r="A1" s="59"/>
      <c r="B1" s="60"/>
      <c r="C1" s="60"/>
      <c r="D1" s="70"/>
      <c r="E1" s="245" t="s">
        <v>76</v>
      </c>
      <c r="F1" s="245"/>
      <c r="G1" s="246"/>
      <c r="H1" s="59"/>
      <c r="I1" s="251" t="s">
        <v>83</v>
      </c>
      <c r="J1" s="251"/>
      <c r="K1" s="251"/>
      <c r="L1" s="252"/>
      <c r="M1" s="59"/>
      <c r="N1" s="241" t="s">
        <v>118</v>
      </c>
      <c r="O1" s="241"/>
      <c r="P1" s="242"/>
    </row>
    <row r="2" spans="1:20">
      <c r="A2" s="243" t="s">
        <v>61</v>
      </c>
      <c r="B2" s="244"/>
      <c r="C2" s="244"/>
      <c r="G2" s="62"/>
      <c r="H2" s="243" t="s">
        <v>77</v>
      </c>
      <c r="I2" s="244"/>
      <c r="L2" s="62"/>
      <c r="M2" s="76"/>
      <c r="N2" s="183">
        <f>ROUNDUP(данные!E16/100,0)</f>
        <v>0</v>
      </c>
      <c r="P2" s="62"/>
    </row>
    <row r="3" spans="1:20" s="58" customFormat="1" ht="16" thickBot="1">
      <c r="A3" s="63"/>
      <c r="B3" s="58">
        <f>данные!E4/1000/5.45</f>
        <v>0</v>
      </c>
      <c r="C3" s="179">
        <f>ROUNDUP(B3,0)*5.85</f>
        <v>0</v>
      </c>
      <c r="D3" s="71" t="s">
        <v>14</v>
      </c>
      <c r="F3" s="71"/>
      <c r="G3" s="64"/>
      <c r="H3" s="74">
        <f>данные!D4*(данные!D5+0.1)*(0.1+данные!D14+данные!D15+данные!D13/2)+данные!D6*(данные!D7+0.1)*(0.1+данные!D14+данные!D15+данные!D13/2)</f>
        <v>0</v>
      </c>
      <c r="I3" s="183">
        <f>H3</f>
        <v>0</v>
      </c>
      <c r="J3" s="71" t="s">
        <v>8</v>
      </c>
      <c r="L3" s="64"/>
      <c r="M3" s="82"/>
      <c r="N3" s="83"/>
      <c r="O3" s="83"/>
      <c r="P3" s="84"/>
    </row>
    <row r="4" spans="1:20">
      <c r="A4" s="243" t="s">
        <v>62</v>
      </c>
      <c r="B4" s="244"/>
      <c r="C4" s="244"/>
      <c r="G4" s="62"/>
      <c r="H4" s="243" t="s">
        <v>78</v>
      </c>
      <c r="I4" s="244"/>
      <c r="L4" s="62"/>
    </row>
    <row r="5" spans="1:20" s="58" customFormat="1">
      <c r="A5" s="63"/>
      <c r="B5" s="58">
        <f>данные!E6/1000/5.45</f>
        <v>0</v>
      </c>
      <c r="C5" s="179">
        <f>ROUNDUP(B5,0)*5.85</f>
        <v>0</v>
      </c>
      <c r="D5" s="71" t="s">
        <v>14</v>
      </c>
      <c r="F5" s="71"/>
      <c r="G5" s="64"/>
      <c r="H5" s="74">
        <f>данные!E4*(данные!E5+100)/1000000+данные!E6*(данные!E7+100)/1000000</f>
        <v>0</v>
      </c>
      <c r="I5" s="183">
        <f>H5</f>
        <v>0</v>
      </c>
      <c r="J5" s="71" t="s">
        <v>5</v>
      </c>
      <c r="L5" s="64"/>
    </row>
    <row r="6" spans="1:20">
      <c r="A6" s="243" t="s">
        <v>58</v>
      </c>
      <c r="B6" s="244"/>
      <c r="C6" s="244"/>
      <c r="G6" s="62"/>
      <c r="H6" s="247" t="s">
        <v>81</v>
      </c>
      <c r="I6" s="248"/>
      <c r="L6" s="62"/>
    </row>
    <row r="7" spans="1:20" s="58" customFormat="1">
      <c r="A7" s="63"/>
      <c r="B7" s="58">
        <f>(данные!E5-60)/170</f>
        <v>-0.35294117647058826</v>
      </c>
      <c r="C7" s="179">
        <f>ROUNDUP(B7,0)</f>
        <v>-1</v>
      </c>
      <c r="D7" s="71" t="s">
        <v>64</v>
      </c>
      <c r="F7" s="71"/>
      <c r="G7" s="64"/>
      <c r="H7" s="74">
        <f>H5*данные!E14/1000</f>
        <v>0</v>
      </c>
      <c r="I7" s="183">
        <f>H7</f>
        <v>0</v>
      </c>
      <c r="J7" s="71" t="s">
        <v>8</v>
      </c>
      <c r="L7" s="64"/>
    </row>
    <row r="8" spans="1:20">
      <c r="A8" s="243" t="s">
        <v>56</v>
      </c>
      <c r="B8" s="244"/>
      <c r="C8" s="244"/>
      <c r="G8" s="62"/>
      <c r="H8" s="76" t="s">
        <v>82</v>
      </c>
      <c r="L8" s="62"/>
    </row>
    <row r="9" spans="1:20" s="58" customFormat="1">
      <c r="A9" s="63"/>
      <c r="B9" s="58">
        <f>IF(данные!D6=0,0,(данные!E7-60)/150)</f>
        <v>0</v>
      </c>
      <c r="C9" s="179">
        <f>ROUNDUP(B9,0)</f>
        <v>0</v>
      </c>
      <c r="D9" s="71" t="s">
        <v>64</v>
      </c>
      <c r="F9" s="71"/>
      <c r="G9" s="64"/>
      <c r="H9" s="74">
        <f>I5*данные!E15/1000</f>
        <v>0</v>
      </c>
      <c r="I9" s="183">
        <f>H9</f>
        <v>0</v>
      </c>
      <c r="J9" s="71" t="s">
        <v>8</v>
      </c>
      <c r="L9" s="64"/>
    </row>
    <row r="10" spans="1:20" s="58" customFormat="1">
      <c r="A10" s="243" t="s">
        <v>65</v>
      </c>
      <c r="B10" s="244"/>
      <c r="C10" s="244"/>
      <c r="D10" s="57"/>
      <c r="E10" t="s">
        <v>57</v>
      </c>
      <c r="F10" s="57"/>
      <c r="G10" s="62"/>
      <c r="H10" s="249" t="s">
        <v>79</v>
      </c>
      <c r="I10" s="250"/>
      <c r="J10" s="71"/>
      <c r="L10" s="64"/>
    </row>
    <row r="11" spans="1:20" s="58" customFormat="1" ht="33" thickBot="1">
      <c r="A11" s="63"/>
      <c r="B11" s="58">
        <f>(данные!E8+данные!E13)/1000/0.3+1</f>
        <v>1</v>
      </c>
      <c r="C11" s="178">
        <f>ROUNDUP(B11,0)</f>
        <v>1</v>
      </c>
      <c r="D11" s="71" t="s">
        <v>64</v>
      </c>
      <c r="E11" s="180">
        <f>(C11*C7*C3+C11*C9*C5)*0.889/1000*1.05</f>
        <v>0</v>
      </c>
      <c r="F11" s="71" t="s">
        <v>27</v>
      </c>
      <c r="G11" s="65" t="s">
        <v>71</v>
      </c>
      <c r="H11" s="184">
        <f>(данные!D4)*(данные!D5+0.1+0.1*2+данные!D13+(данные!D14+данные!D15)*2)+(данные!D6*(данные!D7+0.1+0.1*2+данные!D13+(данные!D14+данные!D15)*2))+(данные!D9+данные!D10+данные!D11+данные!D12)*((данные!D5+0.1)*2)</f>
        <v>0</v>
      </c>
      <c r="I11" s="75">
        <f>ROUNDUP((данные!D4+данные!D6)/1000/48,0)</f>
        <v>0</v>
      </c>
      <c r="J11" s="71" t="s">
        <v>5</v>
      </c>
      <c r="K11" s="182">
        <f>IF((данные!D5+0.1+0.1*2+данные!D13+(данные!D14+данные!D15)*2)&lt;1.5,1500,2000)</f>
        <v>1500</v>
      </c>
      <c r="L11" s="64"/>
      <c r="N11" s="77" t="s">
        <v>89</v>
      </c>
    </row>
    <row r="12" spans="1:20">
      <c r="A12" s="243" t="s">
        <v>68</v>
      </c>
      <c r="B12" s="244"/>
      <c r="C12" s="244"/>
      <c r="G12" s="62"/>
      <c r="H12" s="78"/>
      <c r="I12" s="60"/>
      <c r="J12" s="70"/>
      <c r="K12" s="60"/>
      <c r="L12" s="60"/>
      <c r="M12" s="60"/>
      <c r="N12" s="241" t="s">
        <v>84</v>
      </c>
      <c r="O12" s="241"/>
      <c r="P12" s="242"/>
    </row>
    <row r="13" spans="1:20" s="58" customFormat="1" ht="64">
      <c r="A13" s="63"/>
      <c r="B13" s="183">
        <f>данные!E9*расчеты!C11*4</f>
        <v>0</v>
      </c>
      <c r="C13" s="178">
        <f>данные!E5*6/1000</f>
        <v>0</v>
      </c>
      <c r="D13" s="71" t="s">
        <v>14</v>
      </c>
      <c r="E13" s="180">
        <f>(данные!E5/1000)*5*B13*0.889/1000*1.02</f>
        <v>0</v>
      </c>
      <c r="F13" s="71" t="s">
        <v>27</v>
      </c>
      <c r="G13" s="65" t="s">
        <v>72</v>
      </c>
      <c r="H13" s="184">
        <f>(данные!E4+данные!E6)/1000*2*(ROUNDUP((данные!E8+данные!E13)/100,0)*0.1)</f>
        <v>0</v>
      </c>
      <c r="J13" s="71">
        <f>ROUNDUP((данные!E4+данные!E6)/1000/0.9,0)*2</f>
        <v>0</v>
      </c>
      <c r="K13" s="58">
        <f>J13/2</f>
        <v>0</v>
      </c>
      <c r="L13" s="58">
        <f>(данные!E8+данные!E13)*2/1000</f>
        <v>0</v>
      </c>
      <c r="N13" s="77" t="s">
        <v>88</v>
      </c>
      <c r="P13" s="185">
        <f>(H13*0.05+J13*(данные!E8+данные!E13)/1000*0.05*0.1+K13*L13*0.05*0.1)*1.05</f>
        <v>0</v>
      </c>
    </row>
    <row r="14" spans="1:20" ht="80">
      <c r="A14" s="243" t="s">
        <v>67</v>
      </c>
      <c r="B14" s="244"/>
      <c r="C14" s="244"/>
      <c r="G14" s="62"/>
      <c r="H14" s="74">
        <f>данные!E5+300</f>
        <v>300</v>
      </c>
      <c r="I14" s="71" t="s">
        <v>59</v>
      </c>
      <c r="K14" s="79">
        <f>ROUNDUP(данные!E4/900,0)*2</f>
        <v>0</v>
      </c>
      <c r="M14" s="58" t="s">
        <v>87</v>
      </c>
      <c r="N14" s="80" t="s">
        <v>85</v>
      </c>
      <c r="O14" s="183">
        <f>CEILING(K14/ROUNDDOWN(2000/H14,0),1)</f>
        <v>0</v>
      </c>
      <c r="P14" s="81">
        <f>K14*2</f>
        <v>0</v>
      </c>
      <c r="Q14" s="71">
        <f>FLOOR(2000/H14,1)</f>
        <v>6</v>
      </c>
      <c r="R14" s="71">
        <f>2000-H14*Q14</f>
        <v>200</v>
      </c>
      <c r="S14" s="71">
        <f>IF(R14&gt;H15-1,O14,0)</f>
        <v>0</v>
      </c>
      <c r="T14" s="71">
        <f>S14/FLOOR(2000/H15,1)</f>
        <v>0</v>
      </c>
    </row>
    <row r="15" spans="1:20" s="58" customFormat="1" ht="80">
      <c r="A15" s="63"/>
      <c r="B15" s="183">
        <f>данные!E10*C11*2</f>
        <v>0</v>
      </c>
      <c r="C15" s="178">
        <f>данные!E5*6/1000</f>
        <v>0</v>
      </c>
      <c r="D15" s="71" t="s">
        <v>14</v>
      </c>
      <c r="E15" s="180">
        <f>(данные!E5/1000)*6*B15*0.889/1000*1.02</f>
        <v>0</v>
      </c>
      <c r="F15" s="71" t="s">
        <v>27</v>
      </c>
      <c r="G15" s="65" t="s">
        <v>72</v>
      </c>
      <c r="H15" s="74">
        <f>данные!E7+300</f>
        <v>300</v>
      </c>
      <c r="I15" s="58" t="s">
        <v>60</v>
      </c>
      <c r="J15" s="71"/>
      <c r="K15" s="79">
        <f>ROUNDUP(данные!E6/900,0)*2</f>
        <v>0</v>
      </c>
      <c r="M15" s="58" t="s">
        <v>87</v>
      </c>
      <c r="N15" s="80" t="s">
        <v>85</v>
      </c>
      <c r="O15" s="183">
        <f>CEILING(K15/ROUNDDOWN(2000/H15,0),1)-Q15</f>
        <v>0</v>
      </c>
      <c r="P15" s="81">
        <f>K15*2</f>
        <v>0</v>
      </c>
      <c r="Q15" s="58">
        <f>T14</f>
        <v>0</v>
      </c>
    </row>
    <row r="16" spans="1:20" ht="32">
      <c r="A16" s="243" t="s">
        <v>69</v>
      </c>
      <c r="B16" s="244"/>
      <c r="C16" s="244"/>
      <c r="G16" s="62"/>
      <c r="H16" s="76"/>
      <c r="K16" s="183">
        <f>ROUNDUP(K14*H14/1000+K15*H15/1000,0)</f>
        <v>0</v>
      </c>
      <c r="M16" t="s">
        <v>14</v>
      </c>
      <c r="N16" s="80" t="s">
        <v>86</v>
      </c>
      <c r="P16" s="62"/>
    </row>
    <row r="17" spans="1:16" s="58" customFormat="1" ht="16">
      <c r="A17" s="63"/>
      <c r="B17" s="183">
        <f>данные!E11*C11*2</f>
        <v>0</v>
      </c>
      <c r="C17" s="178">
        <f>данные!E5*6/1000</f>
        <v>0</v>
      </c>
      <c r="D17" s="71" t="s">
        <v>14</v>
      </c>
      <c r="E17" s="66">
        <f>(данные!E5/1000)*6*B17*0.889/1000*1.02</f>
        <v>0</v>
      </c>
      <c r="F17" s="71" t="s">
        <v>27</v>
      </c>
      <c r="G17" s="65" t="s">
        <v>72</v>
      </c>
      <c r="H17" s="186">
        <f>H13+данные!E4/1000*данные!E5/1000+данные!E6/1000*данные!E7/1000+(данные!E4+данные!E6)/1000*0.2</f>
        <v>0</v>
      </c>
      <c r="I17" s="57"/>
      <c r="J17" s="71"/>
      <c r="N17" s="58" t="s">
        <v>117</v>
      </c>
      <c r="P17" s="64"/>
    </row>
    <row r="18" spans="1:16" ht="32">
      <c r="A18" s="243" t="s">
        <v>70</v>
      </c>
      <c r="B18" s="244"/>
      <c r="C18" s="244"/>
      <c r="G18" s="62"/>
      <c r="H18" s="76"/>
      <c r="K18" s="183">
        <f>(ROUNDUP((данные!E8+данные!E13)/100,0))*J13*2/102</f>
        <v>0</v>
      </c>
      <c r="M18" s="58" t="s">
        <v>23</v>
      </c>
      <c r="N18" s="80" t="s">
        <v>90</v>
      </c>
      <c r="P18" s="62"/>
    </row>
    <row r="19" spans="1:16" s="58" customFormat="1" ht="32">
      <c r="A19" s="63"/>
      <c r="B19" s="183">
        <f>данные!E12*C11*2</f>
        <v>0</v>
      </c>
      <c r="C19" s="178">
        <f>данные!E5*4/1000</f>
        <v>0</v>
      </c>
      <c r="D19" s="71" t="s">
        <v>14</v>
      </c>
      <c r="E19" s="180">
        <f>(данные!E5/1000)*4*B19*0.889/1000*1.02</f>
        <v>0</v>
      </c>
      <c r="F19" s="71" t="s">
        <v>27</v>
      </c>
      <c r="G19" s="65" t="s">
        <v>72</v>
      </c>
      <c r="H19" s="63"/>
      <c r="J19" s="71"/>
      <c r="K19" s="183">
        <f>K13*4/130</f>
        <v>0</v>
      </c>
      <c r="M19" s="58" t="s">
        <v>23</v>
      </c>
      <c r="N19" s="77" t="s">
        <v>146</v>
      </c>
      <c r="P19" s="64"/>
    </row>
    <row r="20" spans="1:16">
      <c r="A20" s="243" t="s">
        <v>63</v>
      </c>
      <c r="B20" s="244"/>
      <c r="C20" s="244"/>
      <c r="G20" s="62"/>
      <c r="H20" s="76"/>
      <c r="P20" s="62"/>
    </row>
    <row r="21" spans="1:16" s="58" customFormat="1">
      <c r="A21" s="63" t="s">
        <v>59</v>
      </c>
      <c r="B21" s="183">
        <f>данные!E4/1000/0.2</f>
        <v>0</v>
      </c>
      <c r="C21" s="178">
        <f>(данные!E8+данные!E13-100)/1000*2+(данные!E5-60)/1000*2+0.12*2</f>
        <v>-8.0000000000000016E-2</v>
      </c>
      <c r="D21" s="71" t="s">
        <v>14</v>
      </c>
      <c r="E21" s="180">
        <f>B21*C21*0.395/1000*1.05</f>
        <v>0</v>
      </c>
      <c r="F21" s="71" t="s">
        <v>27</v>
      </c>
      <c r="G21" s="64" t="s">
        <v>73</v>
      </c>
      <c r="H21" s="63">
        <f>данные!E5</f>
        <v>0</v>
      </c>
      <c r="I21" s="58">
        <f>ROUNDUP(данные!E4/1000/5*2,0)</f>
        <v>0</v>
      </c>
      <c r="J21" s="58">
        <f>данные!E5*I21/1000</f>
        <v>0</v>
      </c>
      <c r="K21" s="58" t="e">
        <f>CEILING(I21/ROUNDDOWN(2000/H21,0),1)</f>
        <v>#DIV/0!</v>
      </c>
      <c r="L21" s="255" t="e">
        <f>K21+K22</f>
        <v>#DIV/0!</v>
      </c>
      <c r="N21" s="58" t="s">
        <v>91</v>
      </c>
      <c r="P21" s="64"/>
    </row>
    <row r="22" spans="1:16" s="58" customFormat="1" ht="16" thickBot="1">
      <c r="A22" s="63" t="s">
        <v>60</v>
      </c>
      <c r="B22" s="183">
        <f>данные!E6/1000/0.2</f>
        <v>0</v>
      </c>
      <c r="C22" s="178">
        <f>(данные!E8+данные!E13-100)/1000*2+(данные!E7-60)/1000*2+0.12*2</f>
        <v>-8.0000000000000016E-2</v>
      </c>
      <c r="D22" s="71" t="s">
        <v>14</v>
      </c>
      <c r="E22" s="180">
        <f>B22*C22*0.395/1000*1.05</f>
        <v>0</v>
      </c>
      <c r="F22" s="71" t="s">
        <v>27</v>
      </c>
      <c r="G22" s="64" t="s">
        <v>73</v>
      </c>
      <c r="H22" s="82">
        <f>данные!E7</f>
        <v>0</v>
      </c>
      <c r="I22" s="83">
        <f>ROUNDUP(данные!E6/1000/5*3,0)</f>
        <v>0</v>
      </c>
      <c r="J22" s="83">
        <f>данные!E7*I22/1000</f>
        <v>0</v>
      </c>
      <c r="K22" s="83">
        <f>IF(данные!D6=0,0,CEILING(I22/ROUNDDOWN(2000/H22,0),1))</f>
        <v>0</v>
      </c>
      <c r="L22" s="256"/>
      <c r="M22" s="83"/>
      <c r="N22" s="83" t="s">
        <v>92</v>
      </c>
      <c r="O22" s="83"/>
      <c r="P22" s="84"/>
    </row>
    <row r="23" spans="1:16">
      <c r="A23" s="243" t="s">
        <v>66</v>
      </c>
      <c r="B23" s="244"/>
      <c r="C23" s="244"/>
      <c r="G23" s="62"/>
      <c r="H23" s="59"/>
      <c r="I23" s="60"/>
      <c r="J23" s="70"/>
      <c r="K23" s="60"/>
      <c r="L23" s="241" t="s">
        <v>93</v>
      </c>
      <c r="M23" s="241"/>
      <c r="N23" s="241"/>
      <c r="O23" s="241"/>
      <c r="P23" s="242"/>
    </row>
    <row r="24" spans="1:16" s="58" customFormat="1" ht="31.25" customHeight="1">
      <c r="A24" s="63"/>
      <c r="B24" s="183">
        <f>ROUNDUP(C24/((данные!E8+данные!E13-50)/1000),0)</f>
        <v>0</v>
      </c>
      <c r="C24" s="178">
        <f>ROUNDUP(((данные!E4/600*расчеты!C7+данные!E6/600*расчеты!C9)*(данные!E8+данные!E13-50))/1000,0)</f>
        <v>0</v>
      </c>
      <c r="D24" s="71" t="s">
        <v>14</v>
      </c>
      <c r="E24" s="180">
        <f>C24*0.889/1000*1.02</f>
        <v>0</v>
      </c>
      <c r="F24" s="71" t="s">
        <v>27</v>
      </c>
      <c r="G24" s="65" t="s">
        <v>100</v>
      </c>
      <c r="H24" s="86" t="e">
        <f>данные!E4/9000/I24</f>
        <v>#DIV/0!</v>
      </c>
      <c r="I24" s="58" t="e">
        <f>ROUNDDOWN(1000/данные!E5,0)</f>
        <v>#DIV/0!</v>
      </c>
      <c r="J24" s="257" t="e">
        <f>CEILING(H24+H25,1)</f>
        <v>#DIV/0!</v>
      </c>
      <c r="K24" t="s">
        <v>12</v>
      </c>
      <c r="L24" s="58">
        <f>данные!D4*данные!D5</f>
        <v>0</v>
      </c>
      <c r="N24" s="257">
        <f>L24+L25</f>
        <v>0</v>
      </c>
      <c r="O24" t="s">
        <v>5</v>
      </c>
      <c r="P24" s="64"/>
    </row>
    <row r="25" spans="1:16">
      <c r="A25" s="243" t="s">
        <v>74</v>
      </c>
      <c r="B25" s="244"/>
      <c r="C25" s="244"/>
      <c r="G25" s="62"/>
      <c r="H25" s="85">
        <f>IF(данные!D6=0,0,данные!E6/9000/I25)</f>
        <v>0</v>
      </c>
      <c r="I25" s="58">
        <f>IF(данные!D7=0,0,ROUNDDOWN(1000/данные!E7,0))</f>
        <v>0</v>
      </c>
      <c r="J25" s="255"/>
      <c r="L25" s="58">
        <f>данные!D6*данные!D7</f>
        <v>0</v>
      </c>
      <c r="N25" s="257"/>
      <c r="P25" s="62"/>
    </row>
    <row r="26" spans="1:16" ht="16" thickBot="1">
      <c r="A26" s="67"/>
      <c r="B26" s="68"/>
      <c r="C26" s="68"/>
      <c r="D26" s="72"/>
      <c r="E26" s="181">
        <f>(E11+E13+E15+E17+E19+E21+E22+E24)*0.03</f>
        <v>0</v>
      </c>
      <c r="F26" s="73" t="s">
        <v>27</v>
      </c>
      <c r="G26" s="69" t="s">
        <v>75</v>
      </c>
      <c r="H26" s="67"/>
      <c r="I26" s="68"/>
      <c r="J26" s="72"/>
      <c r="K26" s="68"/>
      <c r="L26" s="68"/>
      <c r="M26" s="68"/>
      <c r="N26" s="188">
        <f>ROUNDUP(N24*1.2/20,0)</f>
        <v>0</v>
      </c>
      <c r="O26" s="68" t="s">
        <v>151</v>
      </c>
      <c r="P26" s="69"/>
    </row>
    <row r="27" spans="1:16">
      <c r="A27" s="59"/>
      <c r="B27" s="60"/>
      <c r="C27" s="87" t="s">
        <v>94</v>
      </c>
      <c r="D27" s="88"/>
      <c r="E27" s="60"/>
      <c r="F27" s="70"/>
      <c r="G27" s="60"/>
      <c r="H27" s="60"/>
      <c r="I27" s="60"/>
      <c r="J27" s="70"/>
      <c r="K27" s="60"/>
      <c r="L27" s="60"/>
      <c r="M27" s="60"/>
      <c r="N27" s="253" t="s">
        <v>95</v>
      </c>
      <c r="O27" s="253"/>
      <c r="P27" s="254"/>
    </row>
    <row r="28" spans="1:16">
      <c r="A28" s="187">
        <f>данные!E4/1000*данные!E5/1000*((данные!E8+данные!E13+100)/1000)+данные!E6/1000*данные!E7/1000*((данные!E8+данные!E13+100)/1000)</f>
        <v>0</v>
      </c>
      <c r="C28" s="62"/>
      <c r="D28" s="61"/>
      <c r="E28" t="s">
        <v>150</v>
      </c>
      <c r="G28" s="57" t="s">
        <v>96</v>
      </c>
      <c r="H28" s="57" t="s">
        <v>97</v>
      </c>
      <c r="I28" s="57" t="s">
        <v>98</v>
      </c>
      <c r="J28" s="57" t="s">
        <v>99</v>
      </c>
      <c r="L28" s="57" t="s">
        <v>115</v>
      </c>
      <c r="P28" s="62"/>
    </row>
    <row r="29" spans="1:16">
      <c r="A29" s="76"/>
      <c r="C29" s="62"/>
      <c r="D29" s="61"/>
      <c r="G29" s="71" t="s">
        <v>27</v>
      </c>
      <c r="H29" s="71" t="s">
        <v>27</v>
      </c>
      <c r="I29" s="57"/>
      <c r="P29" s="62"/>
    </row>
    <row r="30" spans="1:16" ht="16" thickBot="1">
      <c r="A30" s="67"/>
      <c r="B30" s="68"/>
      <c r="C30" s="69"/>
      <c r="D30" s="89"/>
      <c r="E30" s="188">
        <f>CEILING((G30+H30)/8,1)</f>
        <v>0</v>
      </c>
      <c r="F30" s="72"/>
      <c r="G30" s="90">
        <f>E11+E13+E15+E17+E19+E21+E22+E24+E26</f>
        <v>0</v>
      </c>
      <c r="H30" s="91">
        <f>P13*0.8</f>
        <v>0</v>
      </c>
      <c r="I30" s="189">
        <v>1</v>
      </c>
      <c r="J30" s="189">
        <f>IF(H3&gt;20,1,0)</f>
        <v>0</v>
      </c>
      <c r="K30" s="190">
        <f>+CEILING(H3/34,1)</f>
        <v>0</v>
      </c>
      <c r="L30" s="190">
        <f>ROUNDUP(A28/54,0)</f>
        <v>0</v>
      </c>
      <c r="M30" s="68"/>
      <c r="N30" s="68"/>
      <c r="O30" s="68"/>
      <c r="P30" s="69"/>
    </row>
  </sheetData>
  <mergeCells count="25">
    <mergeCell ref="N27:P27"/>
    <mergeCell ref="A16:C16"/>
    <mergeCell ref="A18:C18"/>
    <mergeCell ref="L21:L22"/>
    <mergeCell ref="A25:C25"/>
    <mergeCell ref="L23:P23"/>
    <mergeCell ref="J24:J25"/>
    <mergeCell ref="N24:N25"/>
    <mergeCell ref="A23:C23"/>
    <mergeCell ref="A20:C20"/>
    <mergeCell ref="A14:C14"/>
    <mergeCell ref="E1:G1"/>
    <mergeCell ref="H2:I2"/>
    <mergeCell ref="H4:I4"/>
    <mergeCell ref="H6:I6"/>
    <mergeCell ref="H10:I10"/>
    <mergeCell ref="I1:L1"/>
    <mergeCell ref="A2:C2"/>
    <mergeCell ref="N1:P1"/>
    <mergeCell ref="N12:P12"/>
    <mergeCell ref="A10:C10"/>
    <mergeCell ref="A6:C6"/>
    <mergeCell ref="A8:C8"/>
    <mergeCell ref="A4:C4"/>
    <mergeCell ref="A12:C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2:G32"/>
  <sheetViews>
    <sheetView topLeftCell="A16" workbookViewId="0">
      <selection activeCell="L27" sqref="L27"/>
    </sheetView>
  </sheetViews>
  <sheetFormatPr baseColWidth="10" defaultColWidth="8.83203125" defaultRowHeight="15"/>
  <cols>
    <col min="2" max="2" width="54.1640625" customWidth="1"/>
    <col min="3" max="3" width="9.83203125" bestFit="1" customWidth="1"/>
    <col min="4" max="4" width="5.83203125" style="57" customWidth="1"/>
    <col min="5" max="5" width="11.1640625" style="71" bestFit="1" customWidth="1"/>
    <col min="6" max="6" width="8.1640625" bestFit="1" customWidth="1"/>
    <col min="7" max="7" width="8.83203125" style="71"/>
  </cols>
  <sheetData>
    <row r="2" spans="2:7" ht="32">
      <c r="D2" s="125" t="s">
        <v>122</v>
      </c>
      <c r="E2" s="71" t="s">
        <v>123</v>
      </c>
      <c r="F2" s="71" t="s">
        <v>126</v>
      </c>
    </row>
    <row r="3" spans="2:7">
      <c r="B3" s="269" t="s">
        <v>10</v>
      </c>
      <c r="C3" s="270"/>
      <c r="D3" s="57" t="s">
        <v>8</v>
      </c>
      <c r="E3" s="75">
        <v>1300</v>
      </c>
    </row>
    <row r="4" spans="2:7">
      <c r="B4" s="123" t="s">
        <v>120</v>
      </c>
      <c r="C4" s="122">
        <v>1500</v>
      </c>
      <c r="D4" s="71" t="s">
        <v>5</v>
      </c>
      <c r="E4" s="75">
        <v>65</v>
      </c>
    </row>
    <row r="5" spans="2:7">
      <c r="B5" s="123" t="s">
        <v>120</v>
      </c>
      <c r="C5" s="124">
        <v>2000</v>
      </c>
      <c r="D5" s="71" t="s">
        <v>5</v>
      </c>
      <c r="E5" s="75">
        <v>65</v>
      </c>
    </row>
    <row r="6" spans="2:7">
      <c r="B6" s="271" t="s">
        <v>13</v>
      </c>
      <c r="C6" s="272"/>
      <c r="D6" s="57" t="s">
        <v>8</v>
      </c>
      <c r="E6" s="75">
        <v>3150</v>
      </c>
    </row>
    <row r="7" spans="2:7">
      <c r="B7" s="261" t="s">
        <v>21</v>
      </c>
      <c r="C7" s="262"/>
      <c r="D7" s="57" t="s">
        <v>8</v>
      </c>
      <c r="E7" s="75">
        <v>16500</v>
      </c>
      <c r="G7" s="75">
        <f>E7/33</f>
        <v>500</v>
      </c>
    </row>
    <row r="8" spans="2:7">
      <c r="B8" s="261" t="s">
        <v>139</v>
      </c>
      <c r="C8" s="262"/>
      <c r="D8" s="57" t="s">
        <v>15</v>
      </c>
      <c r="E8" s="75">
        <v>240</v>
      </c>
    </row>
    <row r="9" spans="2:7">
      <c r="B9" s="261" t="s">
        <v>138</v>
      </c>
      <c r="C9" s="262"/>
      <c r="D9" s="57" t="s">
        <v>23</v>
      </c>
      <c r="E9" s="75">
        <v>360</v>
      </c>
    </row>
    <row r="10" spans="2:7">
      <c r="B10" s="261" t="s">
        <v>140</v>
      </c>
      <c r="C10" s="262"/>
      <c r="D10" s="57" t="s">
        <v>23</v>
      </c>
      <c r="E10" s="75">
        <v>360</v>
      </c>
    </row>
    <row r="11" spans="2:7">
      <c r="B11" s="261" t="s">
        <v>141</v>
      </c>
      <c r="C11" s="262"/>
      <c r="D11" s="57" t="s">
        <v>14</v>
      </c>
      <c r="E11" s="75">
        <v>60</v>
      </c>
    </row>
    <row r="12" spans="2:7">
      <c r="B12" s="273" t="s">
        <v>22</v>
      </c>
      <c r="C12" s="274"/>
      <c r="D12" s="57" t="s">
        <v>23</v>
      </c>
      <c r="E12" s="75">
        <v>160</v>
      </c>
    </row>
    <row r="13" spans="2:7">
      <c r="B13" s="275" t="s">
        <v>24</v>
      </c>
      <c r="C13" s="262"/>
      <c r="D13" s="57" t="s">
        <v>23</v>
      </c>
      <c r="E13" s="75">
        <v>390</v>
      </c>
    </row>
    <row r="14" spans="2:7">
      <c r="B14" s="261" t="s">
        <v>25</v>
      </c>
      <c r="C14" s="262"/>
      <c r="D14" s="57" t="s">
        <v>5</v>
      </c>
      <c r="E14" s="75">
        <v>100</v>
      </c>
    </row>
    <row r="15" spans="2:7">
      <c r="B15" s="263" t="s">
        <v>28</v>
      </c>
      <c r="C15" s="264"/>
      <c r="D15" s="57" t="s">
        <v>27</v>
      </c>
      <c r="E15" s="191">
        <f>1000/1.21*G15</f>
        <v>61735.53719008265</v>
      </c>
      <c r="G15" s="75">
        <v>74.7</v>
      </c>
    </row>
    <row r="16" spans="2:7">
      <c r="B16" s="265" t="s">
        <v>29</v>
      </c>
      <c r="C16" s="264"/>
      <c r="D16" s="57" t="s">
        <v>27</v>
      </c>
      <c r="E16" s="191">
        <f>1000/0.395*G16</f>
        <v>70886.075949367078</v>
      </c>
      <c r="G16" s="75">
        <v>28</v>
      </c>
    </row>
    <row r="17" spans="2:7">
      <c r="B17" s="266" t="s">
        <v>32</v>
      </c>
      <c r="C17" s="267"/>
      <c r="D17" s="57" t="s">
        <v>27</v>
      </c>
      <c r="E17" s="127">
        <f>G17*1000</f>
        <v>130000</v>
      </c>
      <c r="G17" s="75">
        <v>130</v>
      </c>
    </row>
    <row r="18" spans="2:7">
      <c r="B18" s="258" t="s">
        <v>35</v>
      </c>
      <c r="C18" s="259"/>
      <c r="D18" s="57" t="s">
        <v>8</v>
      </c>
      <c r="E18" s="75">
        <v>7200</v>
      </c>
    </row>
    <row r="19" spans="2:7">
      <c r="B19" s="258" t="s">
        <v>107</v>
      </c>
      <c r="C19" s="259"/>
      <c r="D19" s="57" t="s">
        <v>15</v>
      </c>
      <c r="E19" s="75">
        <v>11</v>
      </c>
    </row>
    <row r="20" spans="2:7">
      <c r="B20" s="268" t="s">
        <v>135</v>
      </c>
      <c r="C20" s="268"/>
      <c r="D20" s="57" t="s">
        <v>15</v>
      </c>
      <c r="E20" s="75">
        <v>360</v>
      </c>
    </row>
    <row r="21" spans="2:7">
      <c r="B21" s="145" t="s">
        <v>149</v>
      </c>
      <c r="C21" s="145"/>
      <c r="D21" s="57" t="s">
        <v>12</v>
      </c>
      <c r="E21" s="75">
        <v>980</v>
      </c>
    </row>
    <row r="22" spans="2:7">
      <c r="B22" s="268" t="s">
        <v>153</v>
      </c>
      <c r="C22" s="268"/>
      <c r="D22" s="57" t="s">
        <v>152</v>
      </c>
      <c r="E22" s="75">
        <v>3968</v>
      </c>
    </row>
    <row r="23" spans="2:7">
      <c r="B23" s="258" t="s">
        <v>108</v>
      </c>
      <c r="C23" s="259"/>
      <c r="D23" s="57" t="s">
        <v>16</v>
      </c>
      <c r="E23" s="127">
        <f>E25*F25+E26*F26+E27*F27</f>
        <v>0</v>
      </c>
    </row>
    <row r="24" spans="2:7">
      <c r="E24" s="75"/>
    </row>
    <row r="25" spans="2:7">
      <c r="B25" s="260" t="s">
        <v>121</v>
      </c>
      <c r="C25" s="260"/>
      <c r="D25" s="57" t="s">
        <v>15</v>
      </c>
      <c r="E25" s="75">
        <v>45</v>
      </c>
      <c r="F25" s="126">
        <f>CEILING((расчеты!B13+расчеты!B15+расчеты!B17+расчеты!B19+расчеты!B24)/20+(расчеты!B21+расчеты!B22)/30,1)</f>
        <v>0</v>
      </c>
    </row>
    <row r="26" spans="2:7">
      <c r="B26" s="260" t="s">
        <v>124</v>
      </c>
      <c r="C26" s="260"/>
      <c r="D26" s="57" t="s">
        <v>125</v>
      </c>
      <c r="E26" s="75">
        <v>55</v>
      </c>
      <c r="F26" s="127">
        <f>ROUNDUP(расчеты!H17*8/1000,0)</f>
        <v>0</v>
      </c>
    </row>
    <row r="27" spans="2:7">
      <c r="B27" s="260" t="s">
        <v>129</v>
      </c>
      <c r="C27" s="260"/>
      <c r="D27" s="57" t="s">
        <v>127</v>
      </c>
      <c r="E27" s="75">
        <v>170</v>
      </c>
      <c r="F27" s="126">
        <f>ROUNDUP((данные!E4+данные!E6)/1000*2.2/150,0)</f>
        <v>0</v>
      </c>
    </row>
    <row r="29" spans="2:7">
      <c r="B29" s="43" t="s">
        <v>39</v>
      </c>
      <c r="C29" s="139">
        <v>3500</v>
      </c>
      <c r="D29" s="39" t="s">
        <v>40</v>
      </c>
      <c r="E29" s="138">
        <v>120</v>
      </c>
    </row>
    <row r="30" spans="2:7">
      <c r="B30" s="43" t="s">
        <v>113</v>
      </c>
      <c r="C30" s="139">
        <v>5000</v>
      </c>
      <c r="D30" s="39" t="s">
        <v>40</v>
      </c>
      <c r="E30" s="138">
        <v>120</v>
      </c>
    </row>
    <row r="31" spans="2:7">
      <c r="B31" s="43" t="s">
        <v>114</v>
      </c>
      <c r="C31" s="139">
        <v>18500</v>
      </c>
      <c r="D31" s="39" t="s">
        <v>40</v>
      </c>
      <c r="E31" s="44"/>
    </row>
    <row r="32" spans="2:7">
      <c r="B32" s="47" t="s">
        <v>41</v>
      </c>
      <c r="C32" s="140">
        <v>23500</v>
      </c>
      <c r="D32" s="48" t="s">
        <v>40</v>
      </c>
      <c r="E32" s="48"/>
    </row>
  </sheetData>
  <mergeCells count="21">
    <mergeCell ref="B3:C3"/>
    <mergeCell ref="B6:C6"/>
    <mergeCell ref="B7:C7"/>
    <mergeCell ref="B12:C12"/>
    <mergeCell ref="B13:C13"/>
    <mergeCell ref="B8:C8"/>
    <mergeCell ref="B9:C9"/>
    <mergeCell ref="B10:C10"/>
    <mergeCell ref="B11:C11"/>
    <mergeCell ref="B23:C23"/>
    <mergeCell ref="B25:C25"/>
    <mergeCell ref="B26:C26"/>
    <mergeCell ref="B27:C27"/>
    <mergeCell ref="B14:C14"/>
    <mergeCell ref="B15:C15"/>
    <mergeCell ref="B16:C16"/>
    <mergeCell ref="B17:C17"/>
    <mergeCell ref="B18:C18"/>
    <mergeCell ref="B19:C19"/>
    <mergeCell ref="B20:C20"/>
    <mergeCell ref="B22:C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2:O56"/>
  <sheetViews>
    <sheetView topLeftCell="A10" zoomScale="110" zoomScaleNormal="110" workbookViewId="0">
      <selection activeCell="J48" sqref="J48"/>
    </sheetView>
  </sheetViews>
  <sheetFormatPr baseColWidth="10" defaultColWidth="8.83203125" defaultRowHeight="15"/>
  <cols>
    <col min="1" max="1" width="4.33203125" bestFit="1" customWidth="1"/>
    <col min="2" max="2" width="43.83203125" customWidth="1"/>
    <col min="3" max="3" width="7.33203125" style="71" customWidth="1"/>
    <col min="4" max="4" width="4.5" bestFit="1" customWidth="1"/>
    <col min="5" max="5" width="9.1640625" style="223" bestFit="1" customWidth="1"/>
    <col min="6" max="6" width="10.5" bestFit="1" customWidth="1"/>
    <col min="7" max="7" width="11.6640625" customWidth="1"/>
    <col min="8" max="8" width="34.5" customWidth="1"/>
    <col min="9" max="9" width="6.6640625" bestFit="1" customWidth="1"/>
    <col min="10" max="10" width="7" customWidth="1"/>
    <col min="11" max="11" width="8.33203125" bestFit="1" customWidth="1"/>
    <col min="12" max="12" width="12.33203125" style="223" customWidth="1"/>
    <col min="13" max="13" width="12.33203125" customWidth="1"/>
  </cols>
  <sheetData>
    <row r="2" spans="1:15">
      <c r="A2" s="284" t="s">
        <v>3</v>
      </c>
      <c r="B2" s="284"/>
      <c r="C2" s="92"/>
      <c r="D2" s="1"/>
      <c r="E2" s="215"/>
      <c r="F2" s="215"/>
      <c r="G2" s="2"/>
      <c r="H2" s="3"/>
      <c r="I2" s="3"/>
      <c r="J2" s="2"/>
      <c r="K2" s="215"/>
      <c r="L2" s="215"/>
      <c r="M2" s="4"/>
    </row>
    <row r="3" spans="1:15">
      <c r="A3" s="109">
        <v>1</v>
      </c>
      <c r="B3" s="288" t="s">
        <v>4</v>
      </c>
      <c r="C3" s="288"/>
      <c r="D3" s="100" t="s">
        <v>5</v>
      </c>
      <c r="E3" s="217">
        <f>данные!E16</f>
        <v>0</v>
      </c>
      <c r="F3" s="192">
        <v>50</v>
      </c>
      <c r="G3" s="7">
        <f t="shared" ref="G3:G8" si="0">E3*F3</f>
        <v>0</v>
      </c>
      <c r="H3" s="298" t="s">
        <v>6</v>
      </c>
      <c r="I3" s="299"/>
      <c r="J3" s="8" t="s">
        <v>119</v>
      </c>
      <c r="K3" s="217">
        <f>расчеты!N2</f>
        <v>0</v>
      </c>
      <c r="L3" s="232">
        <v>3850</v>
      </c>
      <c r="M3" s="7">
        <f>K3*L3</f>
        <v>0</v>
      </c>
    </row>
    <row r="4" spans="1:15" ht="27.5" customHeight="1">
      <c r="A4" s="109">
        <v>2</v>
      </c>
      <c r="B4" s="288" t="s">
        <v>7</v>
      </c>
      <c r="C4" s="288"/>
      <c r="D4" s="100" t="s">
        <v>8</v>
      </c>
      <c r="E4" s="217">
        <f>расчеты!I3</f>
        <v>0</v>
      </c>
      <c r="F4" s="192">
        <v>1250</v>
      </c>
      <c r="G4" s="7">
        <f t="shared" si="0"/>
        <v>0</v>
      </c>
      <c r="H4" s="300"/>
      <c r="I4" s="301"/>
      <c r="J4" s="8"/>
      <c r="K4" s="217"/>
      <c r="L4" s="232"/>
      <c r="M4" s="7"/>
    </row>
    <row r="5" spans="1:15">
      <c r="A5" s="5">
        <v>3</v>
      </c>
      <c r="B5" s="289" t="s">
        <v>9</v>
      </c>
      <c r="C5" s="290"/>
      <c r="D5" s="100" t="s">
        <v>5</v>
      </c>
      <c r="E5" s="217">
        <f>расчеты!I5</f>
        <v>0</v>
      </c>
      <c r="F5" s="192">
        <v>300</v>
      </c>
      <c r="G5" s="7">
        <f t="shared" si="0"/>
        <v>0</v>
      </c>
      <c r="H5" s="302"/>
      <c r="I5" s="303"/>
      <c r="J5" s="8"/>
      <c r="K5" s="217"/>
      <c r="L5" s="232"/>
      <c r="M5" s="7"/>
    </row>
    <row r="6" spans="1:15" ht="30">
      <c r="A6" s="110">
        <v>4</v>
      </c>
      <c r="B6" s="112" t="s">
        <v>101</v>
      </c>
      <c r="C6" s="29">
        <f>данные!E14</f>
        <v>0</v>
      </c>
      <c r="D6" s="101" t="s">
        <v>8</v>
      </c>
      <c r="E6" s="218">
        <f>расчеты!I7</f>
        <v>0</v>
      </c>
      <c r="F6" s="194">
        <v>800</v>
      </c>
      <c r="G6" s="9">
        <f t="shared" si="0"/>
        <v>0</v>
      </c>
      <c r="H6" s="269" t="s">
        <v>10</v>
      </c>
      <c r="I6" s="304"/>
      <c r="J6" s="10" t="s">
        <v>8</v>
      </c>
      <c r="K6" s="218">
        <f>E6*1.15</f>
        <v>0</v>
      </c>
      <c r="L6" s="233">
        <f>'Ст-сть матер'!E3</f>
        <v>1300</v>
      </c>
      <c r="M6" s="11">
        <f>K6*L6</f>
        <v>0</v>
      </c>
      <c r="O6" s="128"/>
    </row>
    <row r="7" spans="1:15" ht="30">
      <c r="A7" s="111">
        <v>5</v>
      </c>
      <c r="B7" s="288" t="s">
        <v>155</v>
      </c>
      <c r="C7" s="288"/>
      <c r="D7" s="102" t="s">
        <v>11</v>
      </c>
      <c r="E7" s="219">
        <f>расчеты!H11</f>
        <v>0</v>
      </c>
      <c r="F7" s="196">
        <v>50</v>
      </c>
      <c r="G7" s="12">
        <f t="shared" si="0"/>
        <v>0</v>
      </c>
      <c r="H7" s="146" t="s">
        <v>120</v>
      </c>
      <c r="I7" s="99">
        <f>расчеты!K11</f>
        <v>1500</v>
      </c>
      <c r="J7" s="13" t="s">
        <v>5</v>
      </c>
      <c r="K7" s="219">
        <f>расчеты!H11*1.1</f>
        <v>0</v>
      </c>
      <c r="L7" s="234">
        <f>IF(I7=1500,'Ст-сть матер'!E4,'Ст-сть матер'!E5)</f>
        <v>65</v>
      </c>
      <c r="M7" s="12">
        <f>K7*L7</f>
        <v>0</v>
      </c>
    </row>
    <row r="8" spans="1:15">
      <c r="A8" s="117">
        <v>6</v>
      </c>
      <c r="B8" s="118" t="s">
        <v>102</v>
      </c>
      <c r="C8" s="29">
        <f>данные!E15</f>
        <v>0</v>
      </c>
      <c r="D8" s="103" t="s">
        <v>8</v>
      </c>
      <c r="E8" s="157">
        <f>расчеты!I9</f>
        <v>0</v>
      </c>
      <c r="F8" s="158">
        <v>800</v>
      </c>
      <c r="G8" s="15">
        <f t="shared" si="0"/>
        <v>0</v>
      </c>
      <c r="H8" s="271" t="s">
        <v>13</v>
      </c>
      <c r="I8" s="274"/>
      <c r="J8" s="98" t="s">
        <v>8</v>
      </c>
      <c r="K8" s="157">
        <f>E8*1.15</f>
        <v>0</v>
      </c>
      <c r="L8" s="235">
        <f>'Ст-сть матер'!E6</f>
        <v>3150</v>
      </c>
      <c r="M8" s="15">
        <f>K8*L8</f>
        <v>0</v>
      </c>
    </row>
    <row r="9" spans="1:15">
      <c r="A9" s="2"/>
      <c r="B9" s="16"/>
      <c r="C9" s="2"/>
      <c r="D9" s="2"/>
      <c r="E9" s="285" t="s">
        <v>17</v>
      </c>
      <c r="F9" s="285"/>
      <c r="G9" s="17">
        <f>SUM(G3:G8)</f>
        <v>0</v>
      </c>
      <c r="H9" s="3"/>
      <c r="I9" s="3"/>
      <c r="J9" s="2"/>
      <c r="K9" s="286" t="s">
        <v>18</v>
      </c>
      <c r="L9" s="286"/>
      <c r="M9" s="97">
        <f>SUM(M3:M8)</f>
        <v>0</v>
      </c>
    </row>
    <row r="10" spans="1:15">
      <c r="A10" s="287" t="s">
        <v>19</v>
      </c>
      <c r="B10" s="287"/>
      <c r="C10" s="287"/>
      <c r="D10" s="287"/>
      <c r="E10" s="287"/>
      <c r="F10" s="215"/>
      <c r="G10" s="2"/>
      <c r="H10" s="3"/>
      <c r="I10" s="3"/>
      <c r="J10" s="2"/>
      <c r="K10" s="215"/>
      <c r="L10" s="215"/>
      <c r="M10" s="2"/>
    </row>
    <row r="11" spans="1:15">
      <c r="A11" s="19" t="s">
        <v>20</v>
      </c>
      <c r="B11" s="291" t="s">
        <v>109</v>
      </c>
      <c r="C11" s="292"/>
      <c r="D11" s="104" t="s">
        <v>5</v>
      </c>
      <c r="E11" s="162">
        <f>расчеты!H13</f>
        <v>0</v>
      </c>
      <c r="F11" s="162">
        <v>240</v>
      </c>
      <c r="G11" s="15">
        <f>E11*F11</f>
        <v>0</v>
      </c>
      <c r="H11" s="261" t="s">
        <v>131</v>
      </c>
      <c r="I11" s="262"/>
      <c r="J11" s="19" t="s">
        <v>8</v>
      </c>
      <c r="K11" s="162">
        <f>расчеты!P13</f>
        <v>0</v>
      </c>
      <c r="L11" s="162">
        <f>'Ст-сть матер'!E7</f>
        <v>16500</v>
      </c>
      <c r="M11" s="21">
        <f t="shared" ref="M11:M35" si="1">K11*L11</f>
        <v>0</v>
      </c>
    </row>
    <row r="12" spans="1:15">
      <c r="A12" s="19"/>
      <c r="B12" s="142"/>
      <c r="C12" s="143"/>
      <c r="D12" s="104"/>
      <c r="E12" s="162"/>
      <c r="F12" s="162"/>
      <c r="G12" s="160"/>
      <c r="H12" s="261" t="s">
        <v>139</v>
      </c>
      <c r="I12" s="262"/>
      <c r="J12" s="19" t="s">
        <v>15</v>
      </c>
      <c r="K12" s="162">
        <f>расчеты!O14+расчеты!O15</f>
        <v>0</v>
      </c>
      <c r="L12" s="162">
        <f>'Ст-сть матер'!E8</f>
        <v>240</v>
      </c>
      <c r="M12" s="21">
        <f t="shared" si="1"/>
        <v>0</v>
      </c>
    </row>
    <row r="13" spans="1:15">
      <c r="A13" s="19"/>
      <c r="B13" s="142"/>
      <c r="C13" s="143"/>
      <c r="D13" s="104"/>
      <c r="E13" s="162"/>
      <c r="F13" s="162"/>
      <c r="G13" s="160"/>
      <c r="H13" s="261" t="s">
        <v>138</v>
      </c>
      <c r="I13" s="262"/>
      <c r="J13" s="19" t="s">
        <v>23</v>
      </c>
      <c r="K13" s="162">
        <f>(расчеты!P14+расчеты!P15)/48</f>
        <v>0</v>
      </c>
      <c r="L13" s="162">
        <f>'Ст-сть матер'!E9</f>
        <v>360</v>
      </c>
      <c r="M13" s="21">
        <f t="shared" si="1"/>
        <v>0</v>
      </c>
    </row>
    <row r="14" spans="1:15">
      <c r="A14" s="19"/>
      <c r="B14" s="142"/>
      <c r="C14" s="143"/>
      <c r="D14" s="104"/>
      <c r="E14" s="162"/>
      <c r="F14" s="162"/>
      <c r="G14" s="160"/>
      <c r="H14" s="261" t="s">
        <v>140</v>
      </c>
      <c r="I14" s="262"/>
      <c r="J14" s="19" t="s">
        <v>23</v>
      </c>
      <c r="K14" s="162">
        <f>(расчеты!P14+расчеты!P15)/62</f>
        <v>0</v>
      </c>
      <c r="L14" s="162">
        <f>'Ст-сть матер'!E10</f>
        <v>360</v>
      </c>
      <c r="M14" s="21">
        <f t="shared" si="1"/>
        <v>0</v>
      </c>
    </row>
    <row r="15" spans="1:15">
      <c r="A15" s="19"/>
      <c r="B15" s="142"/>
      <c r="C15" s="143"/>
      <c r="D15" s="104"/>
      <c r="E15" s="162"/>
      <c r="F15" s="162"/>
      <c r="G15" s="160"/>
      <c r="H15" s="261" t="s">
        <v>141</v>
      </c>
      <c r="I15" s="262"/>
      <c r="J15" s="19" t="s">
        <v>14</v>
      </c>
      <c r="K15" s="162">
        <f>расчеты!K16</f>
        <v>0</v>
      </c>
      <c r="L15" s="162">
        <f>'Ст-сть матер'!E11</f>
        <v>60</v>
      </c>
      <c r="M15" s="21">
        <f t="shared" si="1"/>
        <v>0</v>
      </c>
    </row>
    <row r="16" spans="1:15">
      <c r="A16" s="18"/>
      <c r="B16" s="291"/>
      <c r="C16" s="292"/>
      <c r="D16" s="104"/>
      <c r="E16" s="162"/>
      <c r="F16" s="162"/>
      <c r="G16" s="160"/>
      <c r="H16" s="305" t="s">
        <v>22</v>
      </c>
      <c r="I16" s="305"/>
      <c r="J16" s="19" t="s">
        <v>23</v>
      </c>
      <c r="K16" s="162">
        <f>расчеты!K18</f>
        <v>0</v>
      </c>
      <c r="L16" s="162">
        <f>'Ст-сть матер'!E12</f>
        <v>160</v>
      </c>
      <c r="M16" s="21">
        <f t="shared" si="1"/>
        <v>0</v>
      </c>
    </row>
    <row r="17" spans="1:13">
      <c r="A17" s="22"/>
      <c r="B17" s="293"/>
      <c r="C17" s="294"/>
      <c r="D17" s="105"/>
      <c r="E17" s="164"/>
      <c r="F17" s="164"/>
      <c r="G17" s="165"/>
      <c r="H17" s="306" t="s">
        <v>24</v>
      </c>
      <c r="I17" s="307"/>
      <c r="J17" s="147" t="s">
        <v>23</v>
      </c>
      <c r="K17" s="224">
        <f>расчеты!K19</f>
        <v>0</v>
      </c>
      <c r="L17" s="224">
        <f>'Ст-сть матер'!E13</f>
        <v>390</v>
      </c>
      <c r="M17" s="149">
        <f t="shared" si="1"/>
        <v>0</v>
      </c>
    </row>
    <row r="18" spans="1:13">
      <c r="A18" s="18"/>
      <c r="B18" s="293"/>
      <c r="C18" s="294"/>
      <c r="D18" s="104"/>
      <c r="E18" s="162"/>
      <c r="F18" s="162"/>
      <c r="G18" s="160"/>
      <c r="H18" s="261" t="s">
        <v>25</v>
      </c>
      <c r="I18" s="262"/>
      <c r="J18" s="19" t="s">
        <v>5</v>
      </c>
      <c r="K18" s="162">
        <f>расчеты!H17</f>
        <v>0</v>
      </c>
      <c r="L18" s="162">
        <f>'Ст-сть матер'!E14</f>
        <v>100</v>
      </c>
      <c r="M18" s="21">
        <f t="shared" si="1"/>
        <v>0</v>
      </c>
    </row>
    <row r="19" spans="1:13" ht="27.5" customHeight="1">
      <c r="A19" s="113" t="s">
        <v>26</v>
      </c>
      <c r="B19" s="279" t="s">
        <v>105</v>
      </c>
      <c r="C19" s="279"/>
      <c r="D19" s="106" t="s">
        <v>27</v>
      </c>
      <c r="E19" s="220">
        <f>K19+K20+K21+K22+K26+K25</f>
        <v>0</v>
      </c>
      <c r="F19" s="202">
        <v>17500</v>
      </c>
      <c r="G19" s="15">
        <f t="shared" ref="G19:G25" si="2">E19*F19</f>
        <v>0</v>
      </c>
      <c r="H19" s="263" t="s">
        <v>28</v>
      </c>
      <c r="I19" s="264"/>
      <c r="J19" s="23" t="s">
        <v>27</v>
      </c>
      <c r="K19" s="225">
        <f>расчеты!E11</f>
        <v>0</v>
      </c>
      <c r="L19" s="236">
        <f>'Ст-сть матер'!E15</f>
        <v>61735.53719008265</v>
      </c>
      <c r="M19" s="21">
        <f t="shared" si="1"/>
        <v>0</v>
      </c>
    </row>
    <row r="20" spans="1:13">
      <c r="A20" s="114" t="s">
        <v>103</v>
      </c>
      <c r="B20" s="280" t="s">
        <v>104</v>
      </c>
      <c r="C20" s="281"/>
      <c r="D20" s="107" t="s">
        <v>15</v>
      </c>
      <c r="E20" s="221">
        <f>расчеты!B21+расчеты!B22</f>
        <v>0</v>
      </c>
      <c r="F20" s="204">
        <v>12</v>
      </c>
      <c r="G20" s="27">
        <f t="shared" si="2"/>
        <v>0</v>
      </c>
      <c r="H20" s="265" t="s">
        <v>29</v>
      </c>
      <c r="I20" s="264"/>
      <c r="J20" s="24" t="s">
        <v>27</v>
      </c>
      <c r="K20" s="226">
        <f>расчеты!E21+расчеты!E22</f>
        <v>0</v>
      </c>
      <c r="L20" s="231">
        <f>'Ст-сть матер'!E16</f>
        <v>70886.075949367078</v>
      </c>
      <c r="M20" s="21">
        <f t="shared" si="1"/>
        <v>0</v>
      </c>
    </row>
    <row r="21" spans="1:13">
      <c r="A21" s="115" t="s">
        <v>30</v>
      </c>
      <c r="B21" s="277" t="s">
        <v>31</v>
      </c>
      <c r="C21" s="278"/>
      <c r="D21" s="101" t="s">
        <v>15</v>
      </c>
      <c r="E21" s="218">
        <f>расчеты!B17</f>
        <v>0</v>
      </c>
      <c r="F21" s="195">
        <v>7</v>
      </c>
      <c r="G21" s="116">
        <f t="shared" si="2"/>
        <v>0</v>
      </c>
      <c r="H21" s="265" t="s">
        <v>28</v>
      </c>
      <c r="I21" s="264"/>
      <c r="J21" s="23" t="s">
        <v>27</v>
      </c>
      <c r="K21" s="225">
        <f>расчеты!E17</f>
        <v>0</v>
      </c>
      <c r="L21" s="236">
        <f>'Ст-сть матер'!E15</f>
        <v>61735.53719008265</v>
      </c>
      <c r="M21" s="21">
        <f t="shared" si="1"/>
        <v>0</v>
      </c>
    </row>
    <row r="22" spans="1:13">
      <c r="A22" s="26" t="s">
        <v>106</v>
      </c>
      <c r="B22" s="279" t="s">
        <v>111</v>
      </c>
      <c r="C22" s="279"/>
      <c r="D22" s="103" t="s">
        <v>15</v>
      </c>
      <c r="E22" s="157">
        <f>расчеты!B19</f>
        <v>0</v>
      </c>
      <c r="F22" s="160">
        <v>7</v>
      </c>
      <c r="G22" s="15">
        <f t="shared" si="2"/>
        <v>0</v>
      </c>
      <c r="H22" s="265" t="s">
        <v>28</v>
      </c>
      <c r="I22" s="264"/>
      <c r="J22" s="24" t="s">
        <v>27</v>
      </c>
      <c r="K22" s="226">
        <f>расчеты!E19</f>
        <v>0</v>
      </c>
      <c r="L22" s="231">
        <f>'Ст-сть матер'!E15</f>
        <v>61735.53719008265</v>
      </c>
      <c r="M22" s="21">
        <f t="shared" si="1"/>
        <v>0</v>
      </c>
    </row>
    <row r="23" spans="1:13">
      <c r="A23" s="26"/>
      <c r="B23" s="280" t="s">
        <v>136</v>
      </c>
      <c r="C23" s="281"/>
      <c r="D23" s="103" t="s">
        <v>15</v>
      </c>
      <c r="E23" s="157">
        <f>расчеты!B13</f>
        <v>0</v>
      </c>
      <c r="F23" s="160">
        <v>7</v>
      </c>
      <c r="G23" s="15">
        <f t="shared" si="2"/>
        <v>0</v>
      </c>
      <c r="H23" s="265" t="s">
        <v>28</v>
      </c>
      <c r="I23" s="264"/>
      <c r="J23" s="23" t="s">
        <v>27</v>
      </c>
      <c r="K23" s="226">
        <f>расчеты!E13</f>
        <v>0</v>
      </c>
      <c r="L23" s="231">
        <f>'Ст-сть матер'!E15</f>
        <v>61735.53719008265</v>
      </c>
      <c r="M23" s="21">
        <f t="shared" si="1"/>
        <v>0</v>
      </c>
    </row>
    <row r="24" spans="1:13">
      <c r="A24" s="26"/>
      <c r="B24" s="280" t="s">
        <v>137</v>
      </c>
      <c r="C24" s="281"/>
      <c r="D24" s="103" t="s">
        <v>15</v>
      </c>
      <c r="E24" s="157">
        <f>расчеты!B15</f>
        <v>0</v>
      </c>
      <c r="F24" s="160">
        <v>7</v>
      </c>
      <c r="G24" s="15">
        <f t="shared" si="2"/>
        <v>0</v>
      </c>
      <c r="H24" s="265" t="s">
        <v>28</v>
      </c>
      <c r="I24" s="264"/>
      <c r="J24" s="24" t="s">
        <v>27</v>
      </c>
      <c r="K24" s="226">
        <f>расчеты!E15</f>
        <v>0</v>
      </c>
      <c r="L24" s="231">
        <f>'Ст-сть матер'!E15</f>
        <v>61735.53719008265</v>
      </c>
      <c r="M24" s="21">
        <f t="shared" si="1"/>
        <v>0</v>
      </c>
    </row>
    <row r="25" spans="1:13">
      <c r="A25" s="26" t="s">
        <v>110</v>
      </c>
      <c r="B25" s="325" t="s">
        <v>112</v>
      </c>
      <c r="C25" s="326"/>
      <c r="D25" s="14" t="s">
        <v>15</v>
      </c>
      <c r="E25" s="157">
        <f>расчеты!B24</f>
        <v>0</v>
      </c>
      <c r="F25" s="160">
        <v>3</v>
      </c>
      <c r="G25" s="15">
        <f t="shared" si="2"/>
        <v>0</v>
      </c>
      <c r="H25" s="265" t="s">
        <v>28</v>
      </c>
      <c r="I25" s="264"/>
      <c r="J25" s="24" t="s">
        <v>27</v>
      </c>
      <c r="K25" s="226">
        <f>расчеты!E24</f>
        <v>0</v>
      </c>
      <c r="L25" s="231">
        <f>'Ст-сть матер'!E15</f>
        <v>61735.53719008265</v>
      </c>
      <c r="M25" s="21">
        <f t="shared" si="1"/>
        <v>0</v>
      </c>
    </row>
    <row r="26" spans="1:13">
      <c r="A26" s="119"/>
      <c r="B26" s="319"/>
      <c r="C26" s="319"/>
      <c r="D26" s="14"/>
      <c r="E26" s="157"/>
      <c r="F26" s="160"/>
      <c r="G26" s="15"/>
      <c r="H26" s="308" t="s">
        <v>32</v>
      </c>
      <c r="I26" s="308"/>
      <c r="J26" s="24" t="s">
        <v>27</v>
      </c>
      <c r="K26" s="226">
        <f>расчеты!E26</f>
        <v>0</v>
      </c>
      <c r="L26" s="231">
        <f>'Ст-сть матер'!E17</f>
        <v>130000</v>
      </c>
      <c r="M26" s="21">
        <f t="shared" si="1"/>
        <v>0</v>
      </c>
    </row>
    <row r="27" spans="1:13">
      <c r="A27" s="141" t="s">
        <v>132</v>
      </c>
      <c r="B27" s="319" t="s">
        <v>133</v>
      </c>
      <c r="C27" s="319"/>
      <c r="D27" s="14" t="s">
        <v>15</v>
      </c>
      <c r="E27" s="157">
        <f>расчеты!I21+расчеты!I22</f>
        <v>0</v>
      </c>
      <c r="F27" s="160">
        <v>65</v>
      </c>
      <c r="G27" s="15">
        <f t="shared" ref="G27:G28" si="3">E27*F27</f>
        <v>0</v>
      </c>
      <c r="H27" s="265" t="s">
        <v>134</v>
      </c>
      <c r="I27" s="264"/>
      <c r="J27" s="24" t="s">
        <v>15</v>
      </c>
      <c r="K27" s="226" t="e">
        <f>расчеты!L21</f>
        <v>#DIV/0!</v>
      </c>
      <c r="L27" s="231">
        <f>'Ст-сть матер'!E20</f>
        <v>360</v>
      </c>
      <c r="M27" s="21" t="e">
        <f t="shared" si="1"/>
        <v>#DIV/0!</v>
      </c>
    </row>
    <row r="28" spans="1:13">
      <c r="A28" s="120" t="s">
        <v>33</v>
      </c>
      <c r="B28" s="288" t="s">
        <v>34</v>
      </c>
      <c r="C28" s="288"/>
      <c r="D28" s="29" t="s">
        <v>8</v>
      </c>
      <c r="E28" s="157">
        <f>расчеты!A28</f>
        <v>0</v>
      </c>
      <c r="F28" s="158">
        <v>5850</v>
      </c>
      <c r="G28" s="15">
        <f t="shared" si="3"/>
        <v>0</v>
      </c>
      <c r="H28" s="309" t="s">
        <v>35</v>
      </c>
      <c r="I28" s="309"/>
      <c r="J28" s="28" t="s">
        <v>8</v>
      </c>
      <c r="K28" s="227">
        <f>E28*1.1</f>
        <v>0</v>
      </c>
      <c r="L28" s="231">
        <f>'Ст-сть матер'!E18</f>
        <v>7200</v>
      </c>
      <c r="M28" s="21">
        <f t="shared" si="1"/>
        <v>0</v>
      </c>
    </row>
    <row r="29" spans="1:13">
      <c r="A29" s="121"/>
      <c r="B29" s="288"/>
      <c r="C29" s="288"/>
      <c r="D29" s="29"/>
      <c r="E29" s="157"/>
      <c r="F29" s="158"/>
      <c r="G29" s="15"/>
      <c r="H29" s="309" t="s">
        <v>107</v>
      </c>
      <c r="I29" s="309"/>
      <c r="J29" s="28" t="s">
        <v>15</v>
      </c>
      <c r="K29" s="227">
        <f>расчеты!B24</f>
        <v>0</v>
      </c>
      <c r="L29" s="231">
        <f>'Ст-сть матер'!E19</f>
        <v>11</v>
      </c>
      <c r="M29" s="21">
        <f t="shared" si="1"/>
        <v>0</v>
      </c>
    </row>
    <row r="30" spans="1:13">
      <c r="A30" s="121"/>
      <c r="B30" s="288"/>
      <c r="C30" s="288"/>
      <c r="D30" s="108"/>
      <c r="E30" s="157"/>
      <c r="F30" s="158"/>
      <c r="G30" s="15"/>
      <c r="H30" s="258" t="s">
        <v>108</v>
      </c>
      <c r="I30" s="259"/>
      <c r="J30" s="28" t="s">
        <v>16</v>
      </c>
      <c r="K30" s="227">
        <f>1</f>
        <v>1</v>
      </c>
      <c r="L30" s="231"/>
      <c r="M30" s="21"/>
    </row>
    <row r="31" spans="1:13">
      <c r="A31" s="154"/>
      <c r="B31" s="329"/>
      <c r="C31" s="330"/>
      <c r="D31" s="29"/>
      <c r="E31" s="157"/>
      <c r="F31" s="158"/>
      <c r="G31" s="15"/>
      <c r="H31" s="320" t="s">
        <v>121</v>
      </c>
      <c r="I31" s="320"/>
      <c r="J31" s="28" t="s">
        <v>15</v>
      </c>
      <c r="K31" s="227">
        <f>'Ст-сть матер'!F25</f>
        <v>0</v>
      </c>
      <c r="L31" s="231">
        <f>'Ст-сть матер'!E25</f>
        <v>45</v>
      </c>
      <c r="M31" s="21">
        <f t="shared" si="1"/>
        <v>0</v>
      </c>
    </row>
    <row r="32" spans="1:13">
      <c r="A32" s="154"/>
      <c r="B32" s="329"/>
      <c r="C32" s="330"/>
      <c r="D32" s="29"/>
      <c r="E32" s="157"/>
      <c r="F32" s="158"/>
      <c r="G32" s="15"/>
      <c r="H32" s="320" t="s">
        <v>124</v>
      </c>
      <c r="I32" s="320"/>
      <c r="J32" s="28" t="s">
        <v>144</v>
      </c>
      <c r="K32" s="227">
        <f>'Ст-сть матер'!F26</f>
        <v>0</v>
      </c>
      <c r="L32" s="231">
        <f>'Ст-сть матер'!E26</f>
        <v>55</v>
      </c>
      <c r="M32" s="21">
        <f t="shared" si="1"/>
        <v>0</v>
      </c>
    </row>
    <row r="33" spans="1:13">
      <c r="A33" s="154"/>
      <c r="B33" s="329"/>
      <c r="C33" s="330"/>
      <c r="D33" s="29"/>
      <c r="E33" s="157"/>
      <c r="F33" s="158"/>
      <c r="G33" s="15"/>
      <c r="H33" s="320" t="s">
        <v>129</v>
      </c>
      <c r="I33" s="320"/>
      <c r="J33" s="28" t="s">
        <v>145</v>
      </c>
      <c r="K33" s="227">
        <f>'Ст-сть матер'!F27</f>
        <v>0</v>
      </c>
      <c r="L33" s="231">
        <f>'Ст-сть матер'!E27</f>
        <v>170</v>
      </c>
      <c r="M33" s="21">
        <f t="shared" si="1"/>
        <v>0</v>
      </c>
    </row>
    <row r="34" spans="1:13">
      <c r="A34" s="154" t="s">
        <v>147</v>
      </c>
      <c r="B34" s="327" t="s">
        <v>148</v>
      </c>
      <c r="C34" s="328"/>
      <c r="D34" s="29" t="s">
        <v>5</v>
      </c>
      <c r="E34" s="157">
        <f>расчеты!N24</f>
        <v>0</v>
      </c>
      <c r="F34" s="158">
        <v>450</v>
      </c>
      <c r="G34" s="15">
        <f>E34*F34</f>
        <v>0</v>
      </c>
      <c r="H34" s="321" t="s">
        <v>149</v>
      </c>
      <c r="I34" s="322"/>
      <c r="J34" s="28" t="s">
        <v>12</v>
      </c>
      <c r="K34" s="227" t="e">
        <f>расчеты!J24</f>
        <v>#DIV/0!</v>
      </c>
      <c r="L34" s="231">
        <f>'Ст-сть матер'!E21</f>
        <v>980</v>
      </c>
      <c r="M34" s="21" t="e">
        <f t="shared" si="1"/>
        <v>#DIV/0!</v>
      </c>
    </row>
    <row r="35" spans="1:13">
      <c r="A35" s="154"/>
      <c r="B35" s="144"/>
      <c r="C35" s="144"/>
      <c r="D35" s="29"/>
      <c r="E35" s="157"/>
      <c r="F35" s="158"/>
      <c r="G35" s="15"/>
      <c r="H35" s="323" t="s">
        <v>153</v>
      </c>
      <c r="I35" s="324"/>
      <c r="J35" s="28" t="s">
        <v>152</v>
      </c>
      <c r="K35" s="227">
        <f>расчеты!N26</f>
        <v>0</v>
      </c>
      <c r="L35" s="231">
        <f>'Ст-сть матер'!E22</f>
        <v>3968</v>
      </c>
      <c r="M35" s="21">
        <f t="shared" si="1"/>
        <v>0</v>
      </c>
    </row>
    <row r="36" spans="1:13">
      <c r="A36" s="30"/>
      <c r="B36" s="31"/>
      <c r="C36" s="32"/>
      <c r="D36" s="32"/>
      <c r="E36" s="285" t="s">
        <v>17</v>
      </c>
      <c r="F36" s="286"/>
      <c r="G36" s="33">
        <f>SUM(G11:G34)</f>
        <v>0</v>
      </c>
      <c r="H36" s="3"/>
      <c r="I36" s="3"/>
      <c r="J36" s="2"/>
      <c r="K36" s="286" t="s">
        <v>18</v>
      </c>
      <c r="L36" s="286"/>
      <c r="M36" s="153" t="e">
        <f>SUM(M11:M35)</f>
        <v>#DIV/0!</v>
      </c>
    </row>
    <row r="37" spans="1:13">
      <c r="A37" s="282" t="s">
        <v>36</v>
      </c>
      <c r="B37" s="283"/>
      <c r="C37" s="36"/>
      <c r="D37" s="34"/>
      <c r="E37" s="216"/>
      <c r="F37" s="216"/>
      <c r="G37" s="36"/>
      <c r="H37" s="37"/>
      <c r="I37" s="37"/>
      <c r="J37" s="34"/>
      <c r="K37" s="228"/>
      <c r="L37" s="228"/>
      <c r="M37" s="36"/>
    </row>
    <row r="38" spans="1:13">
      <c r="A38" s="39"/>
      <c r="B38" s="276" t="s">
        <v>37</v>
      </c>
      <c r="C38" s="276"/>
      <c r="D38" s="93" t="s">
        <v>38</v>
      </c>
      <c r="E38" s="162">
        <f>K40</f>
        <v>0</v>
      </c>
      <c r="F38" s="207">
        <v>4500</v>
      </c>
      <c r="G38" s="39">
        <f>E38*F38</f>
        <v>0</v>
      </c>
      <c r="H38" s="40"/>
      <c r="I38" s="40"/>
      <c r="J38" s="41"/>
      <c r="K38" s="42"/>
      <c r="L38" s="231"/>
      <c r="M38" s="39"/>
    </row>
    <row r="39" spans="1:13">
      <c r="A39" s="39"/>
      <c r="B39" s="276"/>
      <c r="C39" s="276"/>
      <c r="D39" s="93"/>
      <c r="E39" s="162"/>
      <c r="F39" s="207"/>
      <c r="G39" s="39"/>
      <c r="H39" s="43" t="s">
        <v>39</v>
      </c>
      <c r="I39" s="43"/>
      <c r="J39" s="39" t="s">
        <v>40</v>
      </c>
      <c r="K39" s="229">
        <f>расчеты!I30</f>
        <v>1</v>
      </c>
      <c r="L39" s="229">
        <f>'Ст-сть матер'!C29+'Ст-сть матер'!E29*данные!E17</f>
        <v>3500</v>
      </c>
      <c r="M39" s="39">
        <f>K39*L39</f>
        <v>3500</v>
      </c>
    </row>
    <row r="40" spans="1:13">
      <c r="A40" s="39"/>
      <c r="B40" s="276"/>
      <c r="C40" s="276"/>
      <c r="D40" s="93"/>
      <c r="E40" s="222"/>
      <c r="F40" s="208"/>
      <c r="G40" s="46"/>
      <c r="H40" s="43" t="s">
        <v>113</v>
      </c>
      <c r="I40" s="43"/>
      <c r="J40" s="39" t="s">
        <v>40</v>
      </c>
      <c r="K40" s="229">
        <f>расчеты!E30</f>
        <v>0</v>
      </c>
      <c r="L40" s="229">
        <f>'Ст-сть матер'!C30+'Ст-сть матер'!E30*данные!E17</f>
        <v>5000</v>
      </c>
      <c r="M40" s="39">
        <f>K40*L40</f>
        <v>0</v>
      </c>
    </row>
    <row r="41" spans="1:13">
      <c r="A41" s="39"/>
      <c r="B41" s="20"/>
      <c r="C41" s="20"/>
      <c r="D41" s="93"/>
      <c r="E41" s="222"/>
      <c r="F41" s="208"/>
      <c r="G41" s="46"/>
      <c r="H41" s="43" t="s">
        <v>114</v>
      </c>
      <c r="I41" s="43"/>
      <c r="J41" s="39" t="s">
        <v>40</v>
      </c>
      <c r="K41" s="229">
        <f>расчеты!J30*расчеты!K30</f>
        <v>0</v>
      </c>
      <c r="L41" s="229">
        <f>'Ст-сть матер'!C31</f>
        <v>18500</v>
      </c>
      <c r="M41" s="39">
        <f t="shared" ref="M41:M42" si="4">K41*L41</f>
        <v>0</v>
      </c>
    </row>
    <row r="42" spans="1:13">
      <c r="A42" s="39"/>
      <c r="B42" s="276"/>
      <c r="C42" s="276"/>
      <c r="D42" s="93"/>
      <c r="E42" s="222"/>
      <c r="F42" s="208"/>
      <c r="G42" s="46"/>
      <c r="H42" s="47" t="s">
        <v>41</v>
      </c>
      <c r="I42" s="47"/>
      <c r="J42" s="48" t="s">
        <v>40</v>
      </c>
      <c r="K42" s="162">
        <f>расчеты!L30</f>
        <v>0</v>
      </c>
      <c r="L42" s="162">
        <f>'Ст-сть матер'!C32</f>
        <v>23500</v>
      </c>
      <c r="M42" s="39">
        <f t="shared" si="4"/>
        <v>0</v>
      </c>
    </row>
    <row r="43" spans="1:13">
      <c r="A43" s="34"/>
      <c r="B43" s="37"/>
      <c r="C43" s="34"/>
      <c r="D43" s="34"/>
      <c r="E43" s="317" t="s">
        <v>17</v>
      </c>
      <c r="F43" s="318"/>
      <c r="G43" s="46">
        <f>SUM(G38:G42)</f>
        <v>0</v>
      </c>
      <c r="H43" s="37"/>
      <c r="I43" s="37"/>
      <c r="J43" s="34"/>
      <c r="K43" s="295" t="s">
        <v>18</v>
      </c>
      <c r="L43" s="296"/>
      <c r="M43" s="46">
        <f>SUM(M38:M42)</f>
        <v>3500</v>
      </c>
    </row>
    <row r="44" spans="1:13">
      <c r="A44" s="34"/>
      <c r="B44" s="37"/>
      <c r="C44" s="34"/>
      <c r="D44" s="34"/>
      <c r="E44" s="216"/>
      <c r="F44" s="216"/>
      <c r="G44" s="36"/>
      <c r="H44" s="37"/>
      <c r="I44" s="37"/>
      <c r="J44" s="34"/>
      <c r="K44" s="228"/>
      <c r="L44" s="228"/>
      <c r="M44" s="36"/>
    </row>
    <row r="46" spans="1:13">
      <c r="F46" s="297" t="s">
        <v>42</v>
      </c>
      <c r="G46" s="297"/>
      <c r="H46" s="49">
        <f>G9+G36+G43</f>
        <v>0</v>
      </c>
      <c r="I46" s="94"/>
    </row>
    <row r="47" spans="1:13" ht="28.25" customHeight="1">
      <c r="F47" s="297" t="s">
        <v>43</v>
      </c>
      <c r="G47" s="297"/>
      <c r="H47" s="49">
        <f>H46*0.03</f>
        <v>0</v>
      </c>
      <c r="I47" s="94"/>
    </row>
    <row r="48" spans="1:13" ht="30" customHeight="1">
      <c r="F48" s="297" t="s">
        <v>44</v>
      </c>
      <c r="G48" s="297"/>
      <c r="H48" s="49">
        <f>H46*0.16</f>
        <v>0</v>
      </c>
      <c r="I48" s="94"/>
    </row>
    <row r="49" spans="6:12">
      <c r="F49" s="297" t="s">
        <v>45</v>
      </c>
      <c r="G49" s="297"/>
      <c r="H49" s="49">
        <f>H46+H47+H48</f>
        <v>0</v>
      </c>
      <c r="I49" s="94"/>
    </row>
    <row r="50" spans="6:12">
      <c r="F50" s="297" t="s">
        <v>46</v>
      </c>
      <c r="G50" s="297"/>
      <c r="H50" s="49" t="e">
        <f>M9+M36</f>
        <v>#DIV/0!</v>
      </c>
      <c r="I50" s="94"/>
    </row>
    <row r="51" spans="6:12" ht="30" customHeight="1">
      <c r="F51" s="315" t="s">
        <v>116</v>
      </c>
      <c r="G51" s="316"/>
      <c r="H51" s="49" t="e">
        <f>H50*0.035</f>
        <v>#DIV/0!</v>
      </c>
      <c r="I51" s="94"/>
    </row>
    <row r="52" spans="6:12">
      <c r="F52" s="297" t="s">
        <v>47</v>
      </c>
      <c r="G52" s="297"/>
      <c r="H52" s="49">
        <f>M43</f>
        <v>3500</v>
      </c>
      <c r="I52" s="94"/>
    </row>
    <row r="53" spans="6:12">
      <c r="F53" s="297" t="s">
        <v>45</v>
      </c>
      <c r="G53" s="297"/>
      <c r="H53" s="49" t="e">
        <f>H50+H51+H52</f>
        <v>#DIV/0!</v>
      </c>
      <c r="I53" s="94"/>
    </row>
    <row r="54" spans="6:12">
      <c r="F54" s="312" t="s">
        <v>48</v>
      </c>
      <c r="G54" s="312"/>
      <c r="H54" s="50" t="e">
        <f>H49+H53</f>
        <v>#DIV/0!</v>
      </c>
      <c r="I54" s="95"/>
    </row>
    <row r="55" spans="6:12" ht="16" thickBot="1">
      <c r="F55" s="313" t="s">
        <v>49</v>
      </c>
      <c r="G55" s="314"/>
      <c r="H55" s="51">
        <f>H46*0.03</f>
        <v>0</v>
      </c>
      <c r="I55" s="96"/>
    </row>
    <row r="56" spans="6:12" ht="17" thickBot="1">
      <c r="F56" s="310" t="s">
        <v>50</v>
      </c>
      <c r="G56" s="311"/>
      <c r="H56" s="52" t="e">
        <f>H54+H55</f>
        <v>#DIV/0!</v>
      </c>
      <c r="I56" s="96"/>
      <c r="K56" s="230"/>
      <c r="L56" s="237"/>
    </row>
  </sheetData>
  <mergeCells count="78">
    <mergeCell ref="B25:C25"/>
    <mergeCell ref="B34:C34"/>
    <mergeCell ref="B31:C31"/>
    <mergeCell ref="B32:C32"/>
    <mergeCell ref="B33:C33"/>
    <mergeCell ref="B30:C30"/>
    <mergeCell ref="F48:G48"/>
    <mergeCell ref="E43:F43"/>
    <mergeCell ref="H25:I25"/>
    <mergeCell ref="B39:C39"/>
    <mergeCell ref="B40:C40"/>
    <mergeCell ref="B27:C27"/>
    <mergeCell ref="H31:I31"/>
    <mergeCell ref="H32:I32"/>
    <mergeCell ref="H33:I33"/>
    <mergeCell ref="H34:I34"/>
    <mergeCell ref="H35:I35"/>
    <mergeCell ref="B42:C42"/>
    <mergeCell ref="H30:I30"/>
    <mergeCell ref="B26:C26"/>
    <mergeCell ref="B28:C28"/>
    <mergeCell ref="B29:C29"/>
    <mergeCell ref="F56:G56"/>
    <mergeCell ref="F49:G49"/>
    <mergeCell ref="F50:G50"/>
    <mergeCell ref="F52:G52"/>
    <mergeCell ref="F53:G53"/>
    <mergeCell ref="F54:G54"/>
    <mergeCell ref="F55:G55"/>
    <mergeCell ref="F51:G51"/>
    <mergeCell ref="K43:L43"/>
    <mergeCell ref="F46:G46"/>
    <mergeCell ref="F47:G47"/>
    <mergeCell ref="H3:I3"/>
    <mergeCell ref="H4:I4"/>
    <mergeCell ref="H5:I5"/>
    <mergeCell ref="H6:I6"/>
    <mergeCell ref="H8:I8"/>
    <mergeCell ref="H11:I11"/>
    <mergeCell ref="H16:I16"/>
    <mergeCell ref="H17:I17"/>
    <mergeCell ref="H18:I18"/>
    <mergeCell ref="H19:I19"/>
    <mergeCell ref="H26:I26"/>
    <mergeCell ref="H29:I29"/>
    <mergeCell ref="H28:I28"/>
    <mergeCell ref="A2:B2"/>
    <mergeCell ref="E9:F9"/>
    <mergeCell ref="K9:L9"/>
    <mergeCell ref="A10:E10"/>
    <mergeCell ref="E36:F36"/>
    <mergeCell ref="K36:L36"/>
    <mergeCell ref="B3:C3"/>
    <mergeCell ref="B4:C4"/>
    <mergeCell ref="B5:C5"/>
    <mergeCell ref="B7:C7"/>
    <mergeCell ref="B11:C11"/>
    <mergeCell ref="B16:C16"/>
    <mergeCell ref="B17:C17"/>
    <mergeCell ref="B18:C18"/>
    <mergeCell ref="B19:C19"/>
    <mergeCell ref="B20:C20"/>
    <mergeCell ref="B38:C38"/>
    <mergeCell ref="H12:I12"/>
    <mergeCell ref="H13:I13"/>
    <mergeCell ref="H14:I14"/>
    <mergeCell ref="H15:I15"/>
    <mergeCell ref="H27:I27"/>
    <mergeCell ref="H20:I20"/>
    <mergeCell ref="H21:I21"/>
    <mergeCell ref="H22:I22"/>
    <mergeCell ref="H23:I23"/>
    <mergeCell ref="H24:I24"/>
    <mergeCell ref="B21:C21"/>
    <mergeCell ref="B22:C22"/>
    <mergeCell ref="B23:C23"/>
    <mergeCell ref="B24:C24"/>
    <mergeCell ref="A37:B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2:O49"/>
  <sheetViews>
    <sheetView topLeftCell="A4" workbookViewId="0">
      <selection activeCell="K12" sqref="K12"/>
    </sheetView>
  </sheetViews>
  <sheetFormatPr baseColWidth="10" defaultColWidth="8.83203125" defaultRowHeight="15"/>
  <cols>
    <col min="1" max="1" width="4.33203125" bestFit="1" customWidth="1"/>
    <col min="2" max="2" width="43.83203125" customWidth="1"/>
    <col min="3" max="3" width="7.33203125" style="71" customWidth="1"/>
    <col min="4" max="4" width="4.5" bestFit="1" customWidth="1"/>
    <col min="5" max="5" width="9.1640625" bestFit="1" customWidth="1"/>
    <col min="6" max="6" width="10.5" bestFit="1" customWidth="1"/>
    <col min="7" max="7" width="11.6640625" customWidth="1"/>
    <col min="8" max="8" width="34.5" customWidth="1"/>
    <col min="9" max="9" width="6.6640625" bestFit="1" customWidth="1"/>
    <col min="10" max="10" width="7" customWidth="1"/>
    <col min="11" max="11" width="8.83203125" bestFit="1" customWidth="1"/>
    <col min="12" max="13" width="12.33203125" customWidth="1"/>
  </cols>
  <sheetData>
    <row r="2" spans="1:15">
      <c r="A2" s="284" t="s">
        <v>3</v>
      </c>
      <c r="B2" s="284"/>
      <c r="C2" s="92"/>
      <c r="D2" s="1"/>
      <c r="E2" s="2"/>
      <c r="F2" s="2"/>
      <c r="G2" s="2"/>
      <c r="H2" s="3"/>
      <c r="I2" s="3"/>
      <c r="J2" s="2"/>
      <c r="K2" s="2"/>
      <c r="L2" s="2"/>
      <c r="M2" s="4"/>
    </row>
    <row r="3" spans="1:15">
      <c r="A3" s="109">
        <v>1</v>
      </c>
      <c r="B3" s="288" t="s">
        <v>4</v>
      </c>
      <c r="C3" s="288"/>
      <c r="D3" s="100" t="s">
        <v>5</v>
      </c>
      <c r="E3" s="198">
        <f>данные!E16</f>
        <v>0</v>
      </c>
      <c r="F3" s="192"/>
      <c r="G3" s="193"/>
      <c r="H3" s="298" t="s">
        <v>6</v>
      </c>
      <c r="I3" s="299"/>
      <c r="J3" s="8" t="s">
        <v>119</v>
      </c>
      <c r="K3" s="168">
        <f>расчеты!N2</f>
        <v>0</v>
      </c>
      <c r="L3" s="129">
        <v>3850</v>
      </c>
      <c r="M3" s="7">
        <f>K3*L3</f>
        <v>0</v>
      </c>
    </row>
    <row r="4" spans="1:15" ht="27.5" customHeight="1">
      <c r="A4" s="109">
        <v>2</v>
      </c>
      <c r="B4" s="288" t="s">
        <v>7</v>
      </c>
      <c r="C4" s="288"/>
      <c r="D4" s="100" t="s">
        <v>8</v>
      </c>
      <c r="E4" s="198">
        <f>расчеты!I3</f>
        <v>0</v>
      </c>
      <c r="F4" s="192"/>
      <c r="G4" s="193"/>
      <c r="H4" s="300"/>
      <c r="I4" s="301"/>
      <c r="J4" s="8"/>
      <c r="K4" s="6"/>
      <c r="L4" s="167"/>
      <c r="M4" s="7"/>
    </row>
    <row r="5" spans="1:15">
      <c r="A5" s="5">
        <v>3</v>
      </c>
      <c r="B5" s="289" t="s">
        <v>9</v>
      </c>
      <c r="C5" s="290"/>
      <c r="D5" s="100" t="s">
        <v>5</v>
      </c>
      <c r="E5" s="198">
        <f>расчеты!I5</f>
        <v>0</v>
      </c>
      <c r="F5" s="192"/>
      <c r="G5" s="193"/>
      <c r="H5" s="302"/>
      <c r="I5" s="303"/>
      <c r="J5" s="8"/>
      <c r="K5" s="6"/>
      <c r="L5" s="167"/>
      <c r="M5" s="7"/>
    </row>
    <row r="6" spans="1:15" ht="30">
      <c r="A6" s="110">
        <v>4</v>
      </c>
      <c r="B6" s="112" t="s">
        <v>101</v>
      </c>
      <c r="C6" s="29">
        <f>данные!E14</f>
        <v>0</v>
      </c>
      <c r="D6" s="101" t="s">
        <v>8</v>
      </c>
      <c r="E6" s="199">
        <f>расчеты!I7</f>
        <v>0</v>
      </c>
      <c r="F6" s="194"/>
      <c r="G6" s="195"/>
      <c r="H6" s="269" t="s">
        <v>10</v>
      </c>
      <c r="I6" s="304"/>
      <c r="J6" s="10" t="s">
        <v>8</v>
      </c>
      <c r="K6" s="169">
        <f>E6*1.15</f>
        <v>0</v>
      </c>
      <c r="L6" s="130">
        <f>'Ст-сть матер'!E3</f>
        <v>1300</v>
      </c>
      <c r="M6" s="11">
        <f>K6*L6</f>
        <v>0</v>
      </c>
      <c r="O6" s="128"/>
    </row>
    <row r="7" spans="1:15" ht="30">
      <c r="A7" s="111">
        <v>5</v>
      </c>
      <c r="B7" s="288" t="s">
        <v>155</v>
      </c>
      <c r="C7" s="288"/>
      <c r="D7" s="102" t="s">
        <v>11</v>
      </c>
      <c r="E7" s="200">
        <f>расчеты!H11</f>
        <v>0</v>
      </c>
      <c r="F7" s="196"/>
      <c r="G7" s="197"/>
      <c r="H7" s="146" t="s">
        <v>120</v>
      </c>
      <c r="I7" s="99">
        <f>расчеты!K11</f>
        <v>1500</v>
      </c>
      <c r="J7" s="13" t="s">
        <v>5</v>
      </c>
      <c r="K7" s="170">
        <f>расчеты!H11*1.1</f>
        <v>0</v>
      </c>
      <c r="L7" s="131">
        <f>IF(I7=1500,'Ст-сть матер'!E4,'Ст-сть матер'!E5)</f>
        <v>65</v>
      </c>
      <c r="M7" s="12">
        <f>K7*L7</f>
        <v>0</v>
      </c>
    </row>
    <row r="8" spans="1:15">
      <c r="A8" s="117">
        <v>6</v>
      </c>
      <c r="B8" s="118" t="s">
        <v>102</v>
      </c>
      <c r="C8" s="29">
        <f>данные!E15</f>
        <v>0</v>
      </c>
      <c r="D8" s="103" t="s">
        <v>8</v>
      </c>
      <c r="E8" s="159">
        <f>расчеты!I9</f>
        <v>0</v>
      </c>
      <c r="F8" s="158"/>
      <c r="G8" s="160"/>
      <c r="H8" s="271" t="s">
        <v>13</v>
      </c>
      <c r="I8" s="274"/>
      <c r="J8" s="98" t="s">
        <v>8</v>
      </c>
      <c r="K8" s="156">
        <f>E8*1.15</f>
        <v>0</v>
      </c>
      <c r="L8" s="132">
        <f>'Ст-сть матер'!E6</f>
        <v>3150</v>
      </c>
      <c r="M8" s="15">
        <f>K8*L8</f>
        <v>0</v>
      </c>
    </row>
    <row r="9" spans="1:15">
      <c r="A9" s="2"/>
      <c r="B9" s="16"/>
      <c r="C9" s="2"/>
      <c r="D9" s="2"/>
      <c r="E9" s="285" t="s">
        <v>17</v>
      </c>
      <c r="F9" s="285"/>
      <c r="G9" s="17"/>
      <c r="H9" s="3"/>
      <c r="I9" s="3"/>
      <c r="J9" s="2"/>
      <c r="K9" s="286" t="s">
        <v>18</v>
      </c>
      <c r="L9" s="286"/>
      <c r="M9" s="97">
        <f>SUM(M3:M8)</f>
        <v>0</v>
      </c>
    </row>
    <row r="10" spans="1:15">
      <c r="A10" s="287" t="s">
        <v>19</v>
      </c>
      <c r="B10" s="287"/>
      <c r="C10" s="287"/>
      <c r="D10" s="287"/>
      <c r="E10" s="287"/>
      <c r="F10" s="2"/>
      <c r="G10" s="2"/>
      <c r="H10" s="3"/>
      <c r="I10" s="3"/>
      <c r="J10" s="2"/>
      <c r="K10" s="2"/>
      <c r="L10" s="2"/>
      <c r="M10" s="2"/>
    </row>
    <row r="11" spans="1:15">
      <c r="A11" s="19" t="s">
        <v>20</v>
      </c>
      <c r="B11" s="291" t="s">
        <v>109</v>
      </c>
      <c r="C11" s="292"/>
      <c r="D11" s="104" t="s">
        <v>5</v>
      </c>
      <c r="E11" s="161">
        <f>расчеты!H13</f>
        <v>0</v>
      </c>
      <c r="F11" s="162"/>
      <c r="G11" s="160"/>
      <c r="H11" s="261" t="s">
        <v>131</v>
      </c>
      <c r="I11" s="262"/>
      <c r="J11" s="19" t="s">
        <v>15</v>
      </c>
      <c r="K11" s="171">
        <f>ROUNDUP(расчеты!P13*33,0)</f>
        <v>0</v>
      </c>
      <c r="L11" s="133">
        <f>'Ст-сть матер'!G7</f>
        <v>500</v>
      </c>
      <c r="M11" s="21">
        <f t="shared" ref="M11:M35" si="0">K11*L11</f>
        <v>0</v>
      </c>
    </row>
    <row r="12" spans="1:15">
      <c r="A12" s="19"/>
      <c r="B12" s="142"/>
      <c r="C12" s="143"/>
      <c r="D12" s="104"/>
      <c r="E12" s="161"/>
      <c r="F12" s="162"/>
      <c r="G12" s="160"/>
      <c r="H12" s="261" t="s">
        <v>139</v>
      </c>
      <c r="I12" s="262"/>
      <c r="J12" s="19" t="s">
        <v>15</v>
      </c>
      <c r="K12" s="171">
        <f>расчеты!O14+расчеты!O15</f>
        <v>0</v>
      </c>
      <c r="L12" s="133">
        <f>'Ст-сть матер'!E8</f>
        <v>240</v>
      </c>
      <c r="M12" s="21">
        <f t="shared" si="0"/>
        <v>0</v>
      </c>
    </row>
    <row r="13" spans="1:15">
      <c r="A13" s="19"/>
      <c r="B13" s="142"/>
      <c r="C13" s="143"/>
      <c r="D13" s="104"/>
      <c r="E13" s="161"/>
      <c r="F13" s="162"/>
      <c r="G13" s="160"/>
      <c r="H13" s="261" t="s">
        <v>138</v>
      </c>
      <c r="I13" s="262"/>
      <c r="J13" s="19" t="s">
        <v>23</v>
      </c>
      <c r="K13" s="171">
        <f>(расчеты!P14+расчеты!P15)/48</f>
        <v>0</v>
      </c>
      <c r="L13" s="133">
        <f>'Ст-сть матер'!E9</f>
        <v>360</v>
      </c>
      <c r="M13" s="21">
        <f t="shared" si="0"/>
        <v>0</v>
      </c>
    </row>
    <row r="14" spans="1:15">
      <c r="A14" s="19"/>
      <c r="B14" s="142"/>
      <c r="C14" s="143"/>
      <c r="D14" s="104"/>
      <c r="E14" s="161"/>
      <c r="F14" s="162"/>
      <c r="G14" s="160"/>
      <c r="H14" s="261" t="s">
        <v>140</v>
      </c>
      <c r="I14" s="262"/>
      <c r="J14" s="19" t="s">
        <v>23</v>
      </c>
      <c r="K14" s="171">
        <f>(расчеты!P14+расчеты!P15)/62</f>
        <v>0</v>
      </c>
      <c r="L14" s="133">
        <f>'Ст-сть матер'!E10</f>
        <v>360</v>
      </c>
      <c r="M14" s="21">
        <f t="shared" si="0"/>
        <v>0</v>
      </c>
    </row>
    <row r="15" spans="1:15">
      <c r="A15" s="19"/>
      <c r="B15" s="142"/>
      <c r="C15" s="143"/>
      <c r="D15" s="104"/>
      <c r="E15" s="161"/>
      <c r="F15" s="162"/>
      <c r="G15" s="160"/>
      <c r="H15" s="261" t="s">
        <v>141</v>
      </c>
      <c r="I15" s="262"/>
      <c r="J15" s="19" t="s">
        <v>14</v>
      </c>
      <c r="K15" s="171">
        <f>расчеты!K16</f>
        <v>0</v>
      </c>
      <c r="L15" s="133">
        <f>'Ст-сть матер'!E11</f>
        <v>60</v>
      </c>
      <c r="M15" s="21">
        <f t="shared" si="0"/>
        <v>0</v>
      </c>
    </row>
    <row r="16" spans="1:15">
      <c r="A16" s="18"/>
      <c r="B16" s="291"/>
      <c r="C16" s="292"/>
      <c r="D16" s="104"/>
      <c r="E16" s="161"/>
      <c r="F16" s="162"/>
      <c r="G16" s="160"/>
      <c r="H16" s="305" t="s">
        <v>22</v>
      </c>
      <c r="I16" s="305"/>
      <c r="J16" s="19" t="s">
        <v>23</v>
      </c>
      <c r="K16" s="171">
        <f>расчеты!K18</f>
        <v>0</v>
      </c>
      <c r="L16" s="133">
        <f>'Ст-сть матер'!E12</f>
        <v>160</v>
      </c>
      <c r="M16" s="21">
        <f t="shared" si="0"/>
        <v>0</v>
      </c>
    </row>
    <row r="17" spans="1:13">
      <c r="A17" s="22"/>
      <c r="B17" s="293"/>
      <c r="C17" s="294"/>
      <c r="D17" s="105"/>
      <c r="E17" s="163"/>
      <c r="F17" s="164"/>
      <c r="G17" s="165"/>
      <c r="H17" s="306" t="s">
        <v>24</v>
      </c>
      <c r="I17" s="307"/>
      <c r="J17" s="147" t="s">
        <v>23</v>
      </c>
      <c r="K17" s="172">
        <f>расчеты!K19</f>
        <v>0</v>
      </c>
      <c r="L17" s="148">
        <f>'Ст-сть матер'!E13</f>
        <v>390</v>
      </c>
      <c r="M17" s="149">
        <f t="shared" si="0"/>
        <v>0</v>
      </c>
    </row>
    <row r="18" spans="1:13">
      <c r="A18" s="18"/>
      <c r="B18" s="293"/>
      <c r="C18" s="294"/>
      <c r="D18" s="104"/>
      <c r="E18" s="161"/>
      <c r="F18" s="162"/>
      <c r="G18" s="160"/>
      <c r="H18" s="261" t="s">
        <v>25</v>
      </c>
      <c r="I18" s="262"/>
      <c r="J18" s="19" t="s">
        <v>5</v>
      </c>
      <c r="K18" s="171">
        <f>расчеты!H17</f>
        <v>0</v>
      </c>
      <c r="L18" s="133">
        <f>'Ст-сть матер'!E14</f>
        <v>100</v>
      </c>
      <c r="M18" s="21">
        <f t="shared" si="0"/>
        <v>0</v>
      </c>
    </row>
    <row r="19" spans="1:13">
      <c r="A19" s="113" t="s">
        <v>26</v>
      </c>
      <c r="B19" s="279" t="s">
        <v>105</v>
      </c>
      <c r="C19" s="279"/>
      <c r="D19" s="106" t="s">
        <v>27</v>
      </c>
      <c r="E19" s="201">
        <f>K19+K20+K21+K22+K26+K25</f>
        <v>0</v>
      </c>
      <c r="F19" s="202"/>
      <c r="G19" s="160"/>
      <c r="H19" s="263" t="s">
        <v>28</v>
      </c>
      <c r="I19" s="264"/>
      <c r="J19" s="24" t="s">
        <v>14</v>
      </c>
      <c r="K19" s="173">
        <f>ROUNDUP(расчеты!E11/0.889*1000,0)</f>
        <v>0</v>
      </c>
      <c r="L19" s="134">
        <f>'Ст-сть матер'!G15</f>
        <v>74.7</v>
      </c>
      <c r="M19" s="21">
        <f t="shared" si="0"/>
        <v>0</v>
      </c>
    </row>
    <row r="20" spans="1:13">
      <c r="A20" s="114" t="s">
        <v>103</v>
      </c>
      <c r="B20" s="280" t="s">
        <v>104</v>
      </c>
      <c r="C20" s="281"/>
      <c r="D20" s="107" t="s">
        <v>15</v>
      </c>
      <c r="E20" s="203">
        <f>расчеты!B21+расчеты!B22</f>
        <v>0</v>
      </c>
      <c r="F20" s="204"/>
      <c r="G20" s="205"/>
      <c r="H20" s="265" t="s">
        <v>29</v>
      </c>
      <c r="I20" s="264"/>
      <c r="J20" s="24" t="s">
        <v>14</v>
      </c>
      <c r="K20" s="174">
        <f>ROUNDUP((расчеты!E21+расчеты!E22)/0.395*1000,0)</f>
        <v>0</v>
      </c>
      <c r="L20" s="135">
        <f>'Ст-сть матер'!G16</f>
        <v>28</v>
      </c>
      <c r="M20" s="21">
        <f t="shared" si="0"/>
        <v>0</v>
      </c>
    </row>
    <row r="21" spans="1:13">
      <c r="A21" s="115" t="s">
        <v>30</v>
      </c>
      <c r="B21" s="277" t="s">
        <v>31</v>
      </c>
      <c r="C21" s="278"/>
      <c r="D21" s="101" t="s">
        <v>15</v>
      </c>
      <c r="E21" s="199">
        <f>расчеты!B17</f>
        <v>0</v>
      </c>
      <c r="F21" s="195"/>
      <c r="G21" s="206"/>
      <c r="H21" s="265" t="s">
        <v>28</v>
      </c>
      <c r="I21" s="264"/>
      <c r="J21" s="24" t="s">
        <v>14</v>
      </c>
      <c r="K21" s="173">
        <f>ROUNDUP(расчеты!E17/0.889*1000,0)</f>
        <v>0</v>
      </c>
      <c r="L21" s="134">
        <f>'Ст-сть матер'!G15</f>
        <v>74.7</v>
      </c>
      <c r="M21" s="21">
        <f t="shared" si="0"/>
        <v>0</v>
      </c>
    </row>
    <row r="22" spans="1:13">
      <c r="A22" s="26" t="s">
        <v>106</v>
      </c>
      <c r="B22" s="279" t="s">
        <v>111</v>
      </c>
      <c r="C22" s="279"/>
      <c r="D22" s="103" t="s">
        <v>15</v>
      </c>
      <c r="E22" s="159">
        <f>расчеты!B19</f>
        <v>0</v>
      </c>
      <c r="F22" s="160"/>
      <c r="G22" s="160"/>
      <c r="H22" s="265" t="s">
        <v>28</v>
      </c>
      <c r="I22" s="264"/>
      <c r="J22" s="24" t="s">
        <v>14</v>
      </c>
      <c r="K22" s="174">
        <f>ROUNDUP(расчеты!E19/0.889*1000,0)</f>
        <v>0</v>
      </c>
      <c r="L22" s="135">
        <f>'Ст-сть матер'!G15</f>
        <v>74.7</v>
      </c>
      <c r="M22" s="21">
        <f t="shared" si="0"/>
        <v>0</v>
      </c>
    </row>
    <row r="23" spans="1:13">
      <c r="A23" s="26"/>
      <c r="B23" s="280" t="s">
        <v>136</v>
      </c>
      <c r="C23" s="281"/>
      <c r="D23" s="103" t="s">
        <v>15</v>
      </c>
      <c r="E23" s="159">
        <f>расчеты!B13</f>
        <v>0</v>
      </c>
      <c r="F23" s="160"/>
      <c r="G23" s="160"/>
      <c r="H23" s="265" t="s">
        <v>28</v>
      </c>
      <c r="I23" s="264"/>
      <c r="J23" s="24" t="s">
        <v>14</v>
      </c>
      <c r="K23" s="174">
        <f>ROUNDUP(расчеты!E13/0.889*1000,0)</f>
        <v>0</v>
      </c>
      <c r="L23" s="135">
        <f>'Ст-сть матер'!G15</f>
        <v>74.7</v>
      </c>
      <c r="M23" s="21">
        <f t="shared" si="0"/>
        <v>0</v>
      </c>
    </row>
    <row r="24" spans="1:13">
      <c r="A24" s="26"/>
      <c r="B24" s="280" t="s">
        <v>137</v>
      </c>
      <c r="C24" s="281"/>
      <c r="D24" s="103" t="s">
        <v>15</v>
      </c>
      <c r="E24" s="159">
        <f>расчеты!B15</f>
        <v>0</v>
      </c>
      <c r="F24" s="160"/>
      <c r="G24" s="160"/>
      <c r="H24" s="265" t="s">
        <v>28</v>
      </c>
      <c r="I24" s="264"/>
      <c r="J24" s="24" t="s">
        <v>14</v>
      </c>
      <c r="K24" s="174">
        <f>ROUNDUP(расчеты!E15/0.889*1000,0)</f>
        <v>0</v>
      </c>
      <c r="L24" s="135">
        <f>'Ст-сть матер'!G15</f>
        <v>74.7</v>
      </c>
      <c r="M24" s="21">
        <f t="shared" si="0"/>
        <v>0</v>
      </c>
    </row>
    <row r="25" spans="1:13">
      <c r="A25" s="26" t="s">
        <v>110</v>
      </c>
      <c r="B25" s="325" t="s">
        <v>112</v>
      </c>
      <c r="C25" s="326"/>
      <c r="D25" s="14" t="s">
        <v>15</v>
      </c>
      <c r="E25" s="159">
        <f>расчеты!B24</f>
        <v>0</v>
      </c>
      <c r="F25" s="160"/>
      <c r="G25" s="160"/>
      <c r="H25" s="265" t="s">
        <v>28</v>
      </c>
      <c r="I25" s="264"/>
      <c r="J25" s="24" t="s">
        <v>14</v>
      </c>
      <c r="K25" s="174">
        <f>ROUNDUP(расчеты!E24/0.889*1000,0)</f>
        <v>0</v>
      </c>
      <c r="L25" s="135">
        <f>'Ст-сть матер'!G15</f>
        <v>74.7</v>
      </c>
      <c r="M25" s="21">
        <f t="shared" si="0"/>
        <v>0</v>
      </c>
    </row>
    <row r="26" spans="1:13">
      <c r="A26" s="119"/>
      <c r="B26" s="319"/>
      <c r="C26" s="319"/>
      <c r="D26" s="14"/>
      <c r="E26" s="159"/>
      <c r="F26" s="160"/>
      <c r="G26" s="160"/>
      <c r="H26" s="308" t="s">
        <v>32</v>
      </c>
      <c r="I26" s="308"/>
      <c r="J26" s="24" t="s">
        <v>23</v>
      </c>
      <c r="K26" s="174">
        <f>ROUNDUP(расчеты!E26*1000,0)</f>
        <v>0</v>
      </c>
      <c r="L26" s="135">
        <f>'Ст-сть матер'!G17</f>
        <v>130</v>
      </c>
      <c r="M26" s="21">
        <f t="shared" si="0"/>
        <v>0</v>
      </c>
    </row>
    <row r="27" spans="1:13">
      <c r="A27" s="141" t="s">
        <v>132</v>
      </c>
      <c r="B27" s="319" t="s">
        <v>133</v>
      </c>
      <c r="C27" s="319"/>
      <c r="D27" s="14" t="s">
        <v>15</v>
      </c>
      <c r="E27" s="159">
        <f>расчеты!I21+расчеты!I22</f>
        <v>0</v>
      </c>
      <c r="F27" s="160"/>
      <c r="G27" s="160"/>
      <c r="H27" s="265" t="s">
        <v>134</v>
      </c>
      <c r="I27" s="264"/>
      <c r="J27" s="24" t="s">
        <v>15</v>
      </c>
      <c r="K27" s="174" t="e">
        <f>расчеты!L21</f>
        <v>#DIV/0!</v>
      </c>
      <c r="L27" s="135">
        <f>'Ст-сть матер'!E20</f>
        <v>360</v>
      </c>
      <c r="M27" s="21" t="e">
        <f t="shared" si="0"/>
        <v>#DIV/0!</v>
      </c>
    </row>
    <row r="28" spans="1:13">
      <c r="A28" s="120" t="s">
        <v>33</v>
      </c>
      <c r="B28" s="288" t="s">
        <v>34</v>
      </c>
      <c r="C28" s="288"/>
      <c r="D28" s="29" t="s">
        <v>8</v>
      </c>
      <c r="E28" s="159">
        <f>расчеты!A28</f>
        <v>0</v>
      </c>
      <c r="F28" s="158"/>
      <c r="G28" s="160"/>
      <c r="H28" s="309" t="s">
        <v>35</v>
      </c>
      <c r="I28" s="309"/>
      <c r="J28" s="28" t="s">
        <v>8</v>
      </c>
      <c r="K28" s="175">
        <f>E28*1.1</f>
        <v>0</v>
      </c>
      <c r="L28" s="135">
        <f>'Ст-сть матер'!E18</f>
        <v>7200</v>
      </c>
      <c r="M28" s="21">
        <f t="shared" si="0"/>
        <v>0</v>
      </c>
    </row>
    <row r="29" spans="1:13">
      <c r="A29" s="121"/>
      <c r="B29" s="288"/>
      <c r="C29" s="288"/>
      <c r="D29" s="29"/>
      <c r="E29" s="157"/>
      <c r="F29" s="158"/>
      <c r="G29" s="160"/>
      <c r="H29" s="309" t="s">
        <v>107</v>
      </c>
      <c r="I29" s="309"/>
      <c r="J29" s="28" t="s">
        <v>15</v>
      </c>
      <c r="K29" s="175">
        <f>расчеты!B24</f>
        <v>0</v>
      </c>
      <c r="L29" s="135">
        <f>'Ст-сть матер'!E19</f>
        <v>11</v>
      </c>
      <c r="M29" s="21">
        <f t="shared" si="0"/>
        <v>0</v>
      </c>
    </row>
    <row r="30" spans="1:13">
      <c r="A30" s="121"/>
      <c r="B30" s="288"/>
      <c r="C30" s="288"/>
      <c r="D30" s="108"/>
      <c r="E30" s="157"/>
      <c r="F30" s="158"/>
      <c r="G30" s="160"/>
      <c r="H30" s="258" t="s">
        <v>108</v>
      </c>
      <c r="I30" s="259"/>
      <c r="J30" s="28" t="s">
        <v>16</v>
      </c>
      <c r="K30" s="175">
        <f>1</f>
        <v>1</v>
      </c>
      <c r="L30" s="155"/>
      <c r="M30" s="21"/>
    </row>
    <row r="31" spans="1:13">
      <c r="A31" s="154"/>
      <c r="B31" s="329"/>
      <c r="C31" s="330"/>
      <c r="D31" s="29"/>
      <c r="E31" s="157"/>
      <c r="F31" s="158"/>
      <c r="G31" s="160"/>
      <c r="H31" s="320" t="s">
        <v>121</v>
      </c>
      <c r="I31" s="320"/>
      <c r="J31" s="28" t="s">
        <v>15</v>
      </c>
      <c r="K31" s="175">
        <f>'Ст-сть матер'!F25</f>
        <v>0</v>
      </c>
      <c r="L31" s="135">
        <f>'Ст-сть матер'!E25</f>
        <v>45</v>
      </c>
      <c r="M31" s="21">
        <f t="shared" si="0"/>
        <v>0</v>
      </c>
    </row>
    <row r="32" spans="1:13">
      <c r="A32" s="154"/>
      <c r="B32" s="329"/>
      <c r="C32" s="330"/>
      <c r="D32" s="29"/>
      <c r="E32" s="157"/>
      <c r="F32" s="158"/>
      <c r="G32" s="160"/>
      <c r="H32" s="320" t="s">
        <v>124</v>
      </c>
      <c r="I32" s="320"/>
      <c r="J32" s="28" t="s">
        <v>144</v>
      </c>
      <c r="K32" s="175">
        <f>'Ст-сть матер'!F26</f>
        <v>0</v>
      </c>
      <c r="L32" s="135">
        <f>'Ст-сть матер'!E26</f>
        <v>55</v>
      </c>
      <c r="M32" s="21">
        <f t="shared" si="0"/>
        <v>0</v>
      </c>
    </row>
    <row r="33" spans="1:13">
      <c r="A33" s="154"/>
      <c r="B33" s="329"/>
      <c r="C33" s="330"/>
      <c r="D33" s="29"/>
      <c r="E33" s="157"/>
      <c r="F33" s="158"/>
      <c r="G33" s="160"/>
      <c r="H33" s="320" t="s">
        <v>129</v>
      </c>
      <c r="I33" s="320"/>
      <c r="J33" s="28" t="s">
        <v>145</v>
      </c>
      <c r="K33" s="175">
        <f>'Ст-сть матер'!F27</f>
        <v>0</v>
      </c>
      <c r="L33" s="135">
        <f>'Ст-сть матер'!E27</f>
        <v>170</v>
      </c>
      <c r="M33" s="21">
        <f t="shared" si="0"/>
        <v>0</v>
      </c>
    </row>
    <row r="34" spans="1:13">
      <c r="A34" s="154" t="s">
        <v>147</v>
      </c>
      <c r="B34" s="327" t="s">
        <v>148</v>
      </c>
      <c r="C34" s="328"/>
      <c r="D34" s="29" t="s">
        <v>5</v>
      </c>
      <c r="E34" s="157">
        <f>расчеты!N24</f>
        <v>0</v>
      </c>
      <c r="F34" s="158"/>
      <c r="G34" s="160"/>
      <c r="H34" s="321" t="s">
        <v>149</v>
      </c>
      <c r="I34" s="322"/>
      <c r="J34" s="28" t="s">
        <v>12</v>
      </c>
      <c r="K34" s="175" t="e">
        <f>расчеты!J24</f>
        <v>#DIV/0!</v>
      </c>
      <c r="L34" s="135">
        <f>'Ст-сть матер'!E21</f>
        <v>980</v>
      </c>
      <c r="M34" s="21" t="e">
        <f t="shared" si="0"/>
        <v>#DIV/0!</v>
      </c>
    </row>
    <row r="35" spans="1:13">
      <c r="A35" s="154"/>
      <c r="B35" s="144"/>
      <c r="C35" s="144"/>
      <c r="D35" s="29"/>
      <c r="E35" s="157"/>
      <c r="F35" s="158"/>
      <c r="G35" s="160"/>
      <c r="H35" s="323" t="s">
        <v>153</v>
      </c>
      <c r="I35" s="324"/>
      <c r="J35" s="28" t="s">
        <v>152</v>
      </c>
      <c r="K35" s="175">
        <f>расчеты!N26</f>
        <v>0</v>
      </c>
      <c r="L35" s="135">
        <f>'Ст-сть матер'!E22</f>
        <v>3968</v>
      </c>
      <c r="M35" s="21">
        <f t="shared" si="0"/>
        <v>0</v>
      </c>
    </row>
    <row r="36" spans="1:13">
      <c r="A36" s="30"/>
      <c r="B36" s="31"/>
      <c r="C36" s="32"/>
      <c r="D36" s="32"/>
      <c r="E36" s="285" t="s">
        <v>17</v>
      </c>
      <c r="F36" s="286"/>
      <c r="G36" s="33"/>
      <c r="H36" s="3"/>
      <c r="I36" s="3"/>
      <c r="J36" s="2"/>
      <c r="K36" s="286" t="s">
        <v>18</v>
      </c>
      <c r="L36" s="286"/>
      <c r="M36" s="153" t="e">
        <f>SUM(M11:M35)</f>
        <v>#DIV/0!</v>
      </c>
    </row>
    <row r="37" spans="1:13">
      <c r="A37" s="282" t="s">
        <v>36</v>
      </c>
      <c r="B37" s="283"/>
      <c r="C37" s="36"/>
      <c r="D37" s="34"/>
      <c r="E37" s="35"/>
      <c r="F37" s="35"/>
      <c r="G37" s="36"/>
      <c r="H37" s="37"/>
      <c r="I37" s="37"/>
      <c r="J37" s="34"/>
      <c r="K37" s="38"/>
      <c r="L37" s="38"/>
      <c r="M37" s="36"/>
    </row>
    <row r="38" spans="1:13">
      <c r="A38" s="39"/>
      <c r="B38" s="276" t="s">
        <v>37</v>
      </c>
      <c r="C38" s="276"/>
      <c r="D38" s="93" t="s">
        <v>38</v>
      </c>
      <c r="E38" s="161"/>
      <c r="F38" s="207"/>
      <c r="G38" s="162"/>
      <c r="H38" s="40"/>
      <c r="I38" s="40"/>
      <c r="J38" s="41"/>
      <c r="K38" s="42"/>
      <c r="L38" s="25"/>
      <c r="M38" s="39"/>
    </row>
    <row r="39" spans="1:13">
      <c r="A39" s="39"/>
      <c r="B39" s="276"/>
      <c r="C39" s="276"/>
      <c r="D39" s="93"/>
      <c r="E39" s="161"/>
      <c r="F39" s="207"/>
      <c r="G39" s="162"/>
      <c r="H39" s="43" t="s">
        <v>39</v>
      </c>
      <c r="I39" s="43"/>
      <c r="J39" s="39" t="s">
        <v>40</v>
      </c>
      <c r="K39" s="176">
        <f>расчеты!I30</f>
        <v>1</v>
      </c>
      <c r="L39" s="136">
        <f>'Ст-сть матер'!C29+'Ст-сть матер'!E29*данные!E17</f>
        <v>3500</v>
      </c>
      <c r="M39" s="39">
        <f>K39*L39</f>
        <v>3500</v>
      </c>
    </row>
    <row r="40" spans="1:13">
      <c r="A40" s="39"/>
      <c r="B40" s="276"/>
      <c r="C40" s="276"/>
      <c r="D40" s="93"/>
      <c r="E40" s="166"/>
      <c r="F40" s="208"/>
      <c r="G40" s="209"/>
      <c r="H40" s="43" t="s">
        <v>113</v>
      </c>
      <c r="I40" s="43"/>
      <c r="J40" s="39" t="s">
        <v>40</v>
      </c>
      <c r="K40" s="176">
        <f>расчеты!E30</f>
        <v>0</v>
      </c>
      <c r="L40" s="136">
        <f>'Ст-сть матер'!C30+'Ст-сть матер'!E30*данные!E17</f>
        <v>5000</v>
      </c>
      <c r="M40" s="39">
        <f>K40*L40</f>
        <v>0</v>
      </c>
    </row>
    <row r="41" spans="1:13">
      <c r="A41" s="39"/>
      <c r="B41" s="20"/>
      <c r="C41" s="20"/>
      <c r="D41" s="93"/>
      <c r="E41" s="166"/>
      <c r="F41" s="208"/>
      <c r="G41" s="209"/>
      <c r="H41" s="43" t="s">
        <v>114</v>
      </c>
      <c r="I41" s="43"/>
      <c r="J41" s="39" t="s">
        <v>40</v>
      </c>
      <c r="K41" s="176">
        <f>расчеты!J30*расчеты!K30</f>
        <v>0</v>
      </c>
      <c r="L41" s="136">
        <f>'Ст-сть матер'!C31</f>
        <v>18500</v>
      </c>
      <c r="M41" s="39">
        <f t="shared" ref="M41:M42" si="1">K41*L41</f>
        <v>0</v>
      </c>
    </row>
    <row r="42" spans="1:13">
      <c r="A42" s="39"/>
      <c r="B42" s="276"/>
      <c r="C42" s="276"/>
      <c r="D42" s="93"/>
      <c r="E42" s="166"/>
      <c r="F42" s="45"/>
      <c r="G42" s="46"/>
      <c r="H42" s="47" t="s">
        <v>41</v>
      </c>
      <c r="I42" s="47"/>
      <c r="J42" s="48" t="s">
        <v>40</v>
      </c>
      <c r="K42" s="177">
        <f>расчеты!L30</f>
        <v>0</v>
      </c>
      <c r="L42" s="137">
        <f>'Ст-сть матер'!C32</f>
        <v>23500</v>
      </c>
      <c r="M42" s="39">
        <f t="shared" si="1"/>
        <v>0</v>
      </c>
    </row>
    <row r="43" spans="1:13">
      <c r="A43" s="34"/>
      <c r="B43" s="37"/>
      <c r="C43" s="34"/>
      <c r="D43" s="34"/>
      <c r="E43" s="317" t="s">
        <v>17</v>
      </c>
      <c r="F43" s="318"/>
      <c r="G43" s="46"/>
      <c r="H43" s="37"/>
      <c r="I43" s="37"/>
      <c r="J43" s="34"/>
      <c r="K43" s="295" t="s">
        <v>18</v>
      </c>
      <c r="L43" s="296"/>
      <c r="M43" s="46">
        <f>SUM(M38:M42)</f>
        <v>3500</v>
      </c>
    </row>
    <row r="44" spans="1:13">
      <c r="A44" s="34"/>
      <c r="B44" s="37"/>
      <c r="C44" s="34"/>
      <c r="D44" s="34"/>
      <c r="E44" s="35"/>
      <c r="F44" s="35"/>
      <c r="G44" s="36"/>
      <c r="H44" s="37"/>
      <c r="I44" s="37"/>
      <c r="J44" s="34"/>
      <c r="K44" s="38"/>
      <c r="L44" s="38"/>
      <c r="M44" s="36"/>
    </row>
    <row r="46" spans="1:13">
      <c r="C46" s="337" t="s">
        <v>42</v>
      </c>
      <c r="D46" s="338"/>
      <c r="E46" s="210">
        <f>E28</f>
        <v>0</v>
      </c>
      <c r="F46" s="211" t="s">
        <v>154</v>
      </c>
      <c r="G46" s="214">
        <v>6000</v>
      </c>
      <c r="H46" s="49">
        <f>E46*G46</f>
        <v>0</v>
      </c>
    </row>
    <row r="47" spans="1:13">
      <c r="C47" s="331" t="s">
        <v>46</v>
      </c>
      <c r="D47" s="331"/>
      <c r="E47" s="331"/>
      <c r="F47" s="331"/>
      <c r="G47" s="332"/>
      <c r="H47" s="212" t="e">
        <f>M9+M36</f>
        <v>#DIV/0!</v>
      </c>
    </row>
    <row r="48" spans="1:13">
      <c r="C48" s="333" t="s">
        <v>47</v>
      </c>
      <c r="D48" s="333"/>
      <c r="E48" s="333"/>
      <c r="F48" s="333"/>
      <c r="G48" s="334"/>
      <c r="H48" s="212">
        <f>M43</f>
        <v>3500</v>
      </c>
    </row>
    <row r="49" spans="3:8">
      <c r="C49" s="335" t="s">
        <v>48</v>
      </c>
      <c r="D49" s="335"/>
      <c r="E49" s="335"/>
      <c r="F49" s="335"/>
      <c r="G49" s="336"/>
      <c r="H49" s="213" t="e">
        <f>H46+H47+H48</f>
        <v>#DIV/0!</v>
      </c>
    </row>
  </sheetData>
  <mergeCells count="71">
    <mergeCell ref="K9:L9"/>
    <mergeCell ref="A10:E10"/>
    <mergeCell ref="A2:B2"/>
    <mergeCell ref="B3:C3"/>
    <mergeCell ref="H3:I3"/>
    <mergeCell ref="B4:C4"/>
    <mergeCell ref="H4:I4"/>
    <mergeCell ref="B5:C5"/>
    <mergeCell ref="H5:I5"/>
    <mergeCell ref="H15:I15"/>
    <mergeCell ref="H6:I6"/>
    <mergeCell ref="B7:C7"/>
    <mergeCell ref="H8:I8"/>
    <mergeCell ref="E9:F9"/>
    <mergeCell ref="B11:C11"/>
    <mergeCell ref="H11:I11"/>
    <mergeCell ref="H12:I12"/>
    <mergeCell ref="H13:I13"/>
    <mergeCell ref="H14:I14"/>
    <mergeCell ref="B16:C16"/>
    <mergeCell ref="H16:I16"/>
    <mergeCell ref="B17:C17"/>
    <mergeCell ref="H17:I17"/>
    <mergeCell ref="B18:C18"/>
    <mergeCell ref="H18:I18"/>
    <mergeCell ref="B19:C19"/>
    <mergeCell ref="H19:I19"/>
    <mergeCell ref="B20:C20"/>
    <mergeCell ref="H20:I20"/>
    <mergeCell ref="B21:C21"/>
    <mergeCell ref="H21:I21"/>
    <mergeCell ref="B22:C22"/>
    <mergeCell ref="H22:I22"/>
    <mergeCell ref="B23:C23"/>
    <mergeCell ref="H23:I23"/>
    <mergeCell ref="B24:C24"/>
    <mergeCell ref="H24:I24"/>
    <mergeCell ref="B25:C25"/>
    <mergeCell ref="H25:I25"/>
    <mergeCell ref="B26:C26"/>
    <mergeCell ref="H26:I26"/>
    <mergeCell ref="B27:C27"/>
    <mergeCell ref="H27:I27"/>
    <mergeCell ref="B28:C28"/>
    <mergeCell ref="H28:I28"/>
    <mergeCell ref="B29:C29"/>
    <mergeCell ref="H29:I29"/>
    <mergeCell ref="B30:C30"/>
    <mergeCell ref="H30:I30"/>
    <mergeCell ref="B31:C31"/>
    <mergeCell ref="H31:I31"/>
    <mergeCell ref="B32:C32"/>
    <mergeCell ref="H32:I32"/>
    <mergeCell ref="B33:C33"/>
    <mergeCell ref="H33:I33"/>
    <mergeCell ref="K43:L43"/>
    <mergeCell ref="B34:C34"/>
    <mergeCell ref="H34:I34"/>
    <mergeCell ref="H35:I35"/>
    <mergeCell ref="E36:F36"/>
    <mergeCell ref="K36:L36"/>
    <mergeCell ref="A37:B37"/>
    <mergeCell ref="C47:G47"/>
    <mergeCell ref="C48:G48"/>
    <mergeCell ref="C49:G49"/>
    <mergeCell ref="C46:D46"/>
    <mergeCell ref="B38:C38"/>
    <mergeCell ref="B39:C39"/>
    <mergeCell ref="B40:C40"/>
    <mergeCell ref="B42:C42"/>
    <mergeCell ref="E43:F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данные</vt:lpstr>
      <vt:lpstr>расчеты</vt:lpstr>
      <vt:lpstr>Ст-сть матер</vt:lpstr>
      <vt:lpstr>смета договор</vt:lpstr>
      <vt:lpstr>смета 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Borodin</cp:lastModifiedBy>
  <dcterms:created xsi:type="dcterms:W3CDTF">2023-10-27T11:10:16Z</dcterms:created>
  <dcterms:modified xsi:type="dcterms:W3CDTF">2024-01-24T19:18:24Z</dcterms:modified>
</cp:coreProperties>
</file>